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hahnme_a\PycharmProjects\premise\premise\data\metals\"/>
    </mc:Choice>
  </mc:AlternateContent>
  <bookViews>
    <workbookView xWindow="240" yWindow="15" windowWidth="16095" windowHeight="9585"/>
  </bookViews>
  <sheets>
    <sheet name="Sheet1" sheetId="1" r:id="rId1"/>
    <sheet name="Summary" sheetId="8" r:id="rId2"/>
    <sheet name="BGS" sheetId="4" r:id="rId3"/>
    <sheet name="Copper" sheetId="2" r:id="rId4"/>
    <sheet name="Molybdenum" sheetId="3" r:id="rId5"/>
    <sheet name="Rhenium" sheetId="5" r:id="rId6"/>
    <sheet name="Pig iron" sheetId="7" r:id="rId7"/>
    <sheet name="Iron, ore" sheetId="6" r:id="rId8"/>
    <sheet name="REE Refining" sheetId="9" r:id="rId9"/>
  </sheets>
  <calcPr calcId="162913"/>
</workbook>
</file>

<file path=xl/calcChain.xml><?xml version="1.0" encoding="utf-8"?>
<calcChain xmlns="http://schemas.openxmlformats.org/spreadsheetml/2006/main">
  <c r="C2111" i="1" l="1"/>
  <c r="C2110" i="1"/>
  <c r="C2109" i="1"/>
  <c r="C2108" i="1"/>
  <c r="C2107" i="1"/>
  <c r="C3134" i="1" l="1"/>
  <c r="C3133" i="1"/>
  <c r="C3132" i="1"/>
  <c r="C3131" i="1"/>
  <c r="C3130" i="1"/>
  <c r="C3065" i="1" l="1"/>
  <c r="C3061" i="1"/>
  <c r="C3057" i="1"/>
  <c r="C3053" i="1"/>
  <c r="C3049" i="1"/>
  <c r="C1527" i="1" l="1"/>
  <c r="C1528" i="1"/>
  <c r="F4" i="7"/>
  <c r="F5" i="7"/>
  <c r="F6" i="7"/>
  <c r="F7" i="7"/>
  <c r="F8" i="7"/>
  <c r="F9" i="7"/>
  <c r="F10" i="7"/>
  <c r="F11" i="7"/>
  <c r="F12" i="7"/>
  <c r="F13" i="7"/>
  <c r="F14" i="7"/>
  <c r="F15" i="7"/>
  <c r="F16" i="7"/>
  <c r="F17" i="7"/>
  <c r="F18" i="7"/>
  <c r="F19" i="7"/>
  <c r="F20" i="7"/>
  <c r="F21" i="7"/>
  <c r="F22" i="7"/>
  <c r="F23" i="7"/>
  <c r="F24" i="7"/>
  <c r="F25" i="7"/>
  <c r="F26" i="7"/>
  <c r="F3" i="7"/>
  <c r="C1502" i="1"/>
  <c r="C1503" i="1"/>
  <c r="A80" i="6"/>
  <c r="F59" i="6" s="1"/>
  <c r="C1474" i="1"/>
  <c r="C1473" i="1"/>
  <c r="C1472" i="1"/>
  <c r="C1471" i="1"/>
  <c r="C1470" i="1"/>
  <c r="A49" i="6"/>
  <c r="F5" i="6" s="1"/>
  <c r="F73" i="6" l="1"/>
  <c r="F66" i="6"/>
  <c r="F65" i="6"/>
  <c r="F57" i="6"/>
  <c r="F58" i="6"/>
  <c r="F74" i="6"/>
  <c r="F64" i="6"/>
  <c r="F56" i="6"/>
  <c r="F53" i="6"/>
  <c r="F71" i="6"/>
  <c r="F63" i="6"/>
  <c r="F55" i="6"/>
  <c r="F78" i="6"/>
  <c r="F54" i="6"/>
  <c r="F77" i="6"/>
  <c r="F76" i="6"/>
  <c r="F68" i="6"/>
  <c r="F60" i="6"/>
  <c r="F72" i="6"/>
  <c r="F70" i="6"/>
  <c r="F62" i="6"/>
  <c r="F69" i="6"/>
  <c r="F61" i="6"/>
  <c r="F75" i="6"/>
  <c r="F67" i="6"/>
  <c r="F3" i="6"/>
  <c r="F17" i="6"/>
  <c r="F9" i="6"/>
  <c r="F28" i="6"/>
  <c r="F35" i="6"/>
  <c r="F34" i="6"/>
  <c r="F41" i="6"/>
  <c r="F16" i="6"/>
  <c r="F8" i="6"/>
  <c r="F20" i="6"/>
  <c r="F27" i="6"/>
  <c r="F42" i="6"/>
  <c r="F2" i="6"/>
  <c r="F24" i="6"/>
  <c r="F47" i="6"/>
  <c r="F39" i="6"/>
  <c r="F31" i="6"/>
  <c r="F23" i="6"/>
  <c r="F15" i="6"/>
  <c r="F7" i="6"/>
  <c r="F44" i="6"/>
  <c r="F4" i="6"/>
  <c r="F19" i="6"/>
  <c r="F26" i="6"/>
  <c r="F10" i="6"/>
  <c r="F25" i="6"/>
  <c r="F32" i="6"/>
  <c r="F46" i="6"/>
  <c r="F38" i="6"/>
  <c r="F30" i="6"/>
  <c r="F22" i="6"/>
  <c r="F14" i="6"/>
  <c r="F6" i="6"/>
  <c r="F36" i="6"/>
  <c r="F12" i="6"/>
  <c r="F43" i="6"/>
  <c r="F11" i="6"/>
  <c r="F18" i="6"/>
  <c r="F33" i="6"/>
  <c r="F40" i="6"/>
  <c r="F45" i="6"/>
  <c r="F37" i="6"/>
  <c r="F29" i="6"/>
  <c r="F21" i="6"/>
  <c r="F13" i="6"/>
  <c r="C2034" i="1"/>
  <c r="C2032" i="1"/>
  <c r="C2017" i="1"/>
  <c r="C2011" i="1"/>
  <c r="C2003" i="1"/>
  <c r="F49" i="6" l="1"/>
  <c r="C2043" i="1"/>
  <c r="C2041" i="1" s="1"/>
  <c r="C2039" i="1" s="1"/>
  <c r="C2037" i="1" s="1"/>
  <c r="C2035" i="1" s="1"/>
  <c r="C2033" i="1" s="1"/>
  <c r="C2022" i="1" s="1"/>
  <c r="C2018" i="1" s="1"/>
  <c r="C3033" i="1"/>
  <c r="C3032" i="1"/>
  <c r="C3021" i="1"/>
  <c r="C3031" i="1"/>
  <c r="C3030" i="1"/>
  <c r="C3029" i="1"/>
  <c r="C3028" i="1"/>
  <c r="C3027" i="1"/>
  <c r="C3026" i="1"/>
  <c r="C3025" i="1"/>
  <c r="C3024" i="1"/>
  <c r="C3023" i="1"/>
  <c r="C3022" i="1"/>
  <c r="C3020" i="1"/>
  <c r="C3019" i="1"/>
  <c r="C3018" i="1"/>
  <c r="C3017" i="1"/>
  <c r="C3016" i="1"/>
  <c r="C3015" i="1"/>
  <c r="C3014" i="1"/>
  <c r="C3013" i="1"/>
  <c r="C3012" i="1"/>
  <c r="C3011" i="1"/>
  <c r="C3010" i="1"/>
  <c r="C3009" i="1"/>
  <c r="C3008" i="1"/>
  <c r="C3007" i="1"/>
  <c r="C3006" i="1"/>
  <c r="C3005" i="1"/>
  <c r="C3004" i="1"/>
  <c r="C3003" i="1"/>
  <c r="C3002" i="1"/>
  <c r="C3001" i="1"/>
  <c r="C3000" i="1"/>
  <c r="C2999" i="1"/>
  <c r="C2998" i="1"/>
  <c r="C2997" i="1"/>
  <c r="C2996" i="1"/>
  <c r="C2995" i="1"/>
  <c r="C2994" i="1"/>
  <c r="C2993" i="1"/>
  <c r="C2992" i="1"/>
  <c r="C2804" i="1"/>
  <c r="C2803" i="1"/>
  <c r="C2802" i="1"/>
  <c r="C2801" i="1"/>
  <c r="C2800" i="1"/>
  <c r="C2799" i="1"/>
  <c r="C2798" i="1"/>
  <c r="C2797" i="1"/>
  <c r="C2796" i="1"/>
  <c r="C2795" i="1"/>
  <c r="C2794" i="1"/>
  <c r="C2793" i="1"/>
  <c r="C2792" i="1"/>
  <c r="C2791" i="1"/>
  <c r="C2790" i="1"/>
  <c r="C2789" i="1"/>
  <c r="C2788" i="1"/>
  <c r="C2787" i="1"/>
  <c r="C2786" i="1"/>
  <c r="C2785" i="1"/>
  <c r="C2784" i="1"/>
  <c r="C2783" i="1"/>
  <c r="C2782" i="1"/>
  <c r="C2781" i="1"/>
  <c r="C2780" i="1"/>
  <c r="C2779" i="1"/>
  <c r="C2778" i="1"/>
  <c r="C2777" i="1"/>
  <c r="C2776" i="1"/>
  <c r="C2775" i="1"/>
  <c r="C2774" i="1"/>
  <c r="C2773" i="1"/>
  <c r="C2771" i="1"/>
  <c r="C2770" i="1"/>
  <c r="C2769" i="1"/>
  <c r="C2768" i="1"/>
  <c r="C2767" i="1"/>
  <c r="C2766" i="1"/>
  <c r="C2765" i="1"/>
  <c r="C2764" i="1"/>
  <c r="C2763" i="1"/>
  <c r="C2762" i="1"/>
  <c r="C2761" i="1"/>
  <c r="C2760" i="1"/>
  <c r="C2759" i="1"/>
  <c r="C2758" i="1"/>
  <c r="C2757" i="1"/>
  <c r="C2756" i="1"/>
  <c r="C2755" i="1"/>
  <c r="C2754" i="1"/>
  <c r="C2753" i="1"/>
  <c r="C2752" i="1"/>
  <c r="C2751" i="1"/>
  <c r="C2750" i="1"/>
  <c r="C2749" i="1"/>
  <c r="C2748" i="1"/>
  <c r="C2747" i="1"/>
  <c r="C2746" i="1"/>
  <c r="C2744" i="1"/>
  <c r="C2743" i="1"/>
  <c r="C2742" i="1"/>
  <c r="C2741" i="1"/>
  <c r="C2740" i="1"/>
  <c r="C2739" i="1"/>
  <c r="C2738" i="1"/>
  <c r="C2737" i="1"/>
  <c r="C2736" i="1"/>
  <c r="C2735" i="1"/>
  <c r="C2734" i="1"/>
  <c r="C2733" i="1"/>
  <c r="C2732" i="1"/>
  <c r="C2731" i="1"/>
  <c r="C2730" i="1"/>
  <c r="C2729" i="1"/>
  <c r="C2728" i="1"/>
  <c r="C2727" i="1"/>
  <c r="C2726" i="1"/>
  <c r="C2725" i="1"/>
  <c r="C2724" i="1"/>
  <c r="C2723" i="1"/>
  <c r="C2722" i="1"/>
  <c r="C2721" i="1"/>
  <c r="C2720" i="1"/>
  <c r="C2745" i="1"/>
  <c r="C2718" i="1"/>
  <c r="C2717" i="1"/>
  <c r="C2716" i="1"/>
  <c r="C2715" i="1"/>
  <c r="C2714" i="1"/>
  <c r="C2713" i="1"/>
  <c r="C2712" i="1"/>
  <c r="C2711" i="1"/>
  <c r="C2710" i="1"/>
  <c r="C2709" i="1"/>
  <c r="C2708" i="1"/>
  <c r="C2707" i="1"/>
  <c r="C2706" i="1"/>
  <c r="C2705" i="1"/>
  <c r="C2704" i="1"/>
  <c r="C2703" i="1"/>
  <c r="C2702" i="1"/>
  <c r="C2701" i="1"/>
  <c r="C2700" i="1"/>
  <c r="C2699" i="1"/>
  <c r="C2698" i="1"/>
  <c r="C2697" i="1"/>
  <c r="C2696" i="1"/>
  <c r="C2695" i="1"/>
  <c r="C2694" i="1"/>
  <c r="C2693" i="1"/>
  <c r="C2692" i="1"/>
  <c r="C2691" i="1"/>
  <c r="C2690" i="1"/>
  <c r="C2689" i="1"/>
  <c r="C2688" i="1"/>
  <c r="C2687" i="1"/>
  <c r="C2686" i="1"/>
  <c r="C2685" i="1"/>
  <c r="C2684" i="1"/>
  <c r="C2683" i="1"/>
  <c r="C2682" i="1"/>
  <c r="C2681" i="1"/>
  <c r="C2680" i="1"/>
  <c r="C2679" i="1"/>
  <c r="C2678" i="1"/>
  <c r="C2677" i="1"/>
  <c r="C2676" i="1"/>
  <c r="C2675" i="1"/>
  <c r="C2674" i="1"/>
  <c r="C2673" i="1"/>
  <c r="C2672" i="1"/>
  <c r="C2671" i="1"/>
  <c r="C2670" i="1"/>
  <c r="C2669" i="1"/>
  <c r="C2668" i="1"/>
  <c r="C2667" i="1"/>
  <c r="C2666" i="1"/>
  <c r="C2665" i="1"/>
  <c r="C2664" i="1"/>
  <c r="C2663" i="1"/>
  <c r="C2662" i="1"/>
  <c r="C2661" i="1"/>
  <c r="C2660" i="1"/>
  <c r="C2659" i="1"/>
  <c r="C2658" i="1"/>
  <c r="C2657" i="1"/>
  <c r="C2656" i="1"/>
  <c r="C2655" i="1"/>
  <c r="C2654" i="1"/>
  <c r="C2653" i="1"/>
  <c r="C2652" i="1"/>
  <c r="C2651" i="1"/>
  <c r="C2650" i="1"/>
  <c r="C2649" i="1"/>
  <c r="C2648" i="1"/>
  <c r="C2647" i="1"/>
  <c r="C2646" i="1"/>
  <c r="C2645" i="1"/>
  <c r="C2644" i="1"/>
  <c r="C2643" i="1"/>
  <c r="C2642" i="1"/>
  <c r="C2641" i="1"/>
  <c r="C2640" i="1"/>
  <c r="C2639" i="1"/>
  <c r="C2638" i="1"/>
  <c r="C2637" i="1"/>
  <c r="C2636" i="1"/>
  <c r="C2635" i="1"/>
  <c r="C2634" i="1"/>
  <c r="C2633" i="1"/>
  <c r="C2632" i="1"/>
  <c r="C2631" i="1"/>
  <c r="C2630" i="1"/>
  <c r="C2629" i="1"/>
  <c r="C2628" i="1"/>
  <c r="C2627" i="1"/>
  <c r="C2626" i="1"/>
  <c r="C2625" i="1"/>
  <c r="C2624" i="1"/>
  <c r="C2623" i="1"/>
  <c r="C2622" i="1"/>
  <c r="C2621" i="1"/>
  <c r="C2620" i="1"/>
  <c r="C2619" i="1"/>
  <c r="C2618" i="1"/>
  <c r="C2617" i="1"/>
  <c r="C2616" i="1"/>
  <c r="C2615" i="1"/>
  <c r="C2614" i="1"/>
  <c r="C2613" i="1"/>
  <c r="C2612" i="1"/>
  <c r="C2611" i="1"/>
  <c r="C2610" i="1"/>
  <c r="C2609" i="1"/>
  <c r="C2608" i="1"/>
  <c r="C2607" i="1"/>
  <c r="C2606" i="1"/>
  <c r="C2605" i="1"/>
  <c r="C2604" i="1"/>
  <c r="C2603" i="1"/>
  <c r="C2602" i="1"/>
  <c r="C2601" i="1"/>
  <c r="C2600" i="1"/>
  <c r="C2599" i="1"/>
  <c r="C2598" i="1"/>
  <c r="C2597" i="1"/>
  <c r="C2596" i="1"/>
  <c r="C2595" i="1"/>
  <c r="C2594" i="1"/>
  <c r="C2593" i="1"/>
  <c r="C2592" i="1"/>
  <c r="C2591" i="1"/>
  <c r="C2590" i="1"/>
  <c r="C2589" i="1"/>
  <c r="C2588" i="1"/>
  <c r="C2587" i="1"/>
  <c r="C2586" i="1"/>
  <c r="C2585" i="1"/>
  <c r="C2584" i="1"/>
  <c r="C2583" i="1"/>
  <c r="C2582" i="1"/>
  <c r="C2581" i="1"/>
  <c r="C2580" i="1"/>
  <c r="C2579" i="1"/>
  <c r="C2578" i="1"/>
  <c r="C2577" i="1"/>
  <c r="C2576" i="1"/>
  <c r="C2575" i="1"/>
  <c r="C2574" i="1"/>
  <c r="C2573" i="1"/>
  <c r="C2572" i="1"/>
  <c r="C2571" i="1"/>
  <c r="C2570" i="1"/>
  <c r="C2569" i="1"/>
  <c r="C2568" i="1"/>
  <c r="C2567" i="1"/>
  <c r="C2564" i="1"/>
  <c r="C2563" i="1"/>
  <c r="C2562" i="1"/>
  <c r="C2561" i="1"/>
  <c r="C2560" i="1"/>
  <c r="C2559" i="1"/>
  <c r="C2558" i="1"/>
  <c r="C2557" i="1"/>
  <c r="C2556" i="1"/>
  <c r="C2555" i="1"/>
  <c r="C2554" i="1"/>
  <c r="C2553" i="1"/>
  <c r="C2552" i="1"/>
  <c r="C2551" i="1"/>
  <c r="C2550" i="1"/>
  <c r="C2549" i="1"/>
  <c r="C2548" i="1"/>
  <c r="C2547" i="1"/>
  <c r="C2546" i="1"/>
  <c r="C2545" i="1"/>
  <c r="C2544" i="1"/>
  <c r="C2543" i="1"/>
  <c r="C2542" i="1"/>
  <c r="C2541" i="1"/>
  <c r="C2540" i="1"/>
  <c r="C2539" i="1"/>
  <c r="C2538" i="1"/>
  <c r="C2537" i="1"/>
  <c r="C2536" i="1"/>
  <c r="C2535" i="1"/>
  <c r="C2534" i="1"/>
  <c r="C2533" i="1"/>
  <c r="C2532" i="1"/>
  <c r="C2531" i="1"/>
  <c r="C2530" i="1"/>
  <c r="C2529" i="1"/>
  <c r="C2528" i="1"/>
  <c r="C2527" i="1"/>
  <c r="C2526" i="1"/>
  <c r="C2525" i="1"/>
  <c r="C3122" i="1"/>
  <c r="C3121" i="1"/>
  <c r="C3120" i="1"/>
  <c r="C3119" i="1"/>
  <c r="C3116" i="1"/>
  <c r="C3115" i="1"/>
  <c r="C3114" i="1"/>
  <c r="C3113" i="1"/>
  <c r="C3112" i="1"/>
  <c r="C3111" i="1"/>
  <c r="C3110" i="1"/>
  <c r="C3109" i="1"/>
  <c r="C3108" i="1"/>
  <c r="C3107" i="1"/>
  <c r="C3106" i="1"/>
  <c r="C3105" i="1"/>
  <c r="C3104" i="1"/>
  <c r="C3103" i="1"/>
  <c r="C3102" i="1"/>
  <c r="C3101" i="1"/>
  <c r="C3100" i="1"/>
  <c r="C3099" i="1"/>
  <c r="C3098" i="1"/>
  <c r="C3097" i="1"/>
  <c r="C3096" i="1"/>
  <c r="C3095" i="1"/>
  <c r="C3092" i="1"/>
  <c r="C3091" i="1"/>
  <c r="C3090" i="1"/>
  <c r="C3089" i="1"/>
  <c r="C3118" i="1"/>
  <c r="C3117" i="1"/>
  <c r="C3094" i="1"/>
  <c r="C3093" i="1"/>
  <c r="C2429" i="1" l="1"/>
  <c r="C2428" i="1"/>
  <c r="C2427" i="1"/>
  <c r="C2426" i="1"/>
  <c r="C2425" i="1"/>
  <c r="C2424" i="1"/>
  <c r="C2423" i="1"/>
  <c r="C2422" i="1"/>
  <c r="C2421" i="1"/>
  <c r="C2420" i="1"/>
  <c r="C2419" i="1"/>
  <c r="C2418" i="1"/>
  <c r="C2417" i="1"/>
  <c r="C2416" i="1"/>
  <c r="C2415" i="1"/>
  <c r="C2414" i="1"/>
  <c r="C2413" i="1"/>
  <c r="C2412" i="1"/>
  <c r="C2411" i="1"/>
  <c r="C2410" i="1"/>
  <c r="C2409" i="1"/>
  <c r="C2408" i="1"/>
  <c r="C2407" i="1"/>
  <c r="C2406" i="1"/>
  <c r="C2405" i="1"/>
  <c r="C2404" i="1"/>
  <c r="C2403" i="1"/>
  <c r="C2402" i="1"/>
  <c r="C2401" i="1"/>
  <c r="C2400" i="1"/>
  <c r="C2399" i="1"/>
  <c r="C2398" i="1"/>
  <c r="C2397" i="1"/>
  <c r="C2396" i="1"/>
  <c r="C2395" i="1"/>
  <c r="C2394" i="1"/>
  <c r="C2298" i="1"/>
  <c r="C2297" i="1"/>
  <c r="C2296" i="1"/>
  <c r="C2295" i="1"/>
  <c r="C2294" i="1"/>
  <c r="C2293" i="1"/>
  <c r="C2290" i="1"/>
  <c r="C2289" i="1"/>
  <c r="C2288" i="1"/>
  <c r="C2287" i="1"/>
  <c r="C2286" i="1"/>
  <c r="C2285" i="1"/>
  <c r="C2284" i="1"/>
  <c r="C2283" i="1"/>
  <c r="C2282" i="1"/>
  <c r="C2281" i="1"/>
  <c r="C2280" i="1"/>
  <c r="C2279" i="1"/>
  <c r="C2278" i="1"/>
  <c r="C2277" i="1"/>
  <c r="C2276" i="1"/>
  <c r="C2275" i="1"/>
  <c r="C2274" i="1"/>
  <c r="C2273" i="1"/>
  <c r="C2272" i="1"/>
  <c r="C2271" i="1"/>
  <c r="C2270" i="1"/>
  <c r="C2269" i="1"/>
  <c r="C2268" i="1"/>
  <c r="C2267" i="1"/>
  <c r="C2266" i="1"/>
  <c r="C2265" i="1"/>
  <c r="C2264" i="1"/>
  <c r="C2263" i="1"/>
  <c r="C2262" i="1"/>
  <c r="C2261" i="1"/>
  <c r="C2260" i="1"/>
  <c r="C2259" i="1"/>
  <c r="C2258" i="1"/>
  <c r="C2257" i="1"/>
  <c r="C2256" i="1"/>
  <c r="C2255" i="1"/>
  <c r="C2254" i="1"/>
  <c r="C2253" i="1"/>
  <c r="C2252" i="1"/>
  <c r="C2251" i="1"/>
  <c r="C2250" i="1"/>
  <c r="C2249" i="1"/>
  <c r="C2248" i="1"/>
  <c r="C2247" i="1"/>
  <c r="C2246" i="1"/>
  <c r="C2245" i="1"/>
  <c r="C2244" i="1"/>
  <c r="C2243" i="1"/>
  <c r="C2242" i="1"/>
  <c r="C2241" i="1"/>
  <c r="C2240" i="1"/>
  <c r="C2239" i="1"/>
  <c r="C2238" i="1"/>
  <c r="C2237" i="1"/>
  <c r="C2236" i="1"/>
  <c r="C2235" i="1"/>
  <c r="C2234" i="1"/>
  <c r="C2233" i="1"/>
  <c r="C2232" i="1"/>
  <c r="C2231" i="1"/>
  <c r="C2229" i="1"/>
  <c r="C2228" i="1"/>
  <c r="C2227" i="1"/>
  <c r="C2226" i="1"/>
  <c r="C2225" i="1"/>
  <c r="C2224" i="1"/>
  <c r="C2223" i="1"/>
  <c r="C2222" i="1"/>
  <c r="C2221" i="1"/>
  <c r="C2220" i="1"/>
  <c r="C2219" i="1"/>
  <c r="C2218" i="1"/>
  <c r="C2217" i="1"/>
  <c r="C2216" i="1"/>
  <c r="C2215" i="1"/>
  <c r="C2214" i="1"/>
  <c r="C2213" i="1"/>
  <c r="C2212" i="1"/>
  <c r="C2211" i="1"/>
  <c r="C2210" i="1"/>
  <c r="C2209" i="1"/>
  <c r="C2208" i="1"/>
  <c r="C2207" i="1"/>
  <c r="C2206" i="1"/>
  <c r="C2205" i="1"/>
  <c r="C2204" i="1"/>
  <c r="C2203" i="1"/>
  <c r="C2202" i="1"/>
  <c r="C2201" i="1"/>
  <c r="C2200" i="1"/>
  <c r="C2199" i="1"/>
  <c r="C2198" i="1"/>
  <c r="C2197" i="1"/>
  <c r="C2196" i="1"/>
  <c r="C2195" i="1"/>
  <c r="C2194" i="1"/>
  <c r="C2193" i="1"/>
  <c r="C2192" i="1"/>
  <c r="C2191" i="1"/>
  <c r="C2190" i="1"/>
  <c r="C2189" i="1"/>
  <c r="C2188" i="1"/>
  <c r="C2187" i="1"/>
  <c r="C2186" i="1"/>
  <c r="C2185" i="1"/>
  <c r="C2184" i="1"/>
  <c r="C2183" i="1"/>
  <c r="C2182" i="1"/>
  <c r="C2181" i="1"/>
  <c r="C2180" i="1"/>
  <c r="C2179" i="1"/>
  <c r="C2178" i="1"/>
  <c r="C2177" i="1"/>
  <c r="C2176" i="1"/>
  <c r="C2175" i="1"/>
  <c r="C2174" i="1"/>
  <c r="C2173" i="1"/>
  <c r="C2172" i="1"/>
  <c r="C2163" i="1"/>
  <c r="C2170" i="1"/>
  <c r="C2169" i="1"/>
  <c r="C2168" i="1"/>
  <c r="C2167" i="1"/>
  <c r="C2166" i="1"/>
  <c r="C2165" i="1"/>
  <c r="C2164" i="1"/>
  <c r="C1923" i="1" l="1"/>
  <c r="C1922" i="1"/>
  <c r="C1921" i="1"/>
  <c r="C1920" i="1"/>
  <c r="C1919" i="1"/>
  <c r="C1918" i="1"/>
  <c r="C1917" i="1"/>
  <c r="C1916" i="1"/>
  <c r="C1915" i="1"/>
  <c r="C1914" i="1"/>
  <c r="C1913" i="1"/>
  <c r="C1912" i="1"/>
  <c r="C1911" i="1"/>
  <c r="C1910" i="1"/>
  <c r="C1909" i="1"/>
  <c r="C1908" i="1"/>
  <c r="C1907" i="1"/>
  <c r="C1906" i="1"/>
  <c r="C1905" i="1"/>
  <c r="C1904" i="1"/>
  <c r="C1903" i="1"/>
  <c r="C1902" i="1"/>
  <c r="C1901" i="1"/>
  <c r="C1900" i="1"/>
  <c r="C1899" i="1"/>
  <c r="C1898" i="1"/>
  <c r="C1897" i="1"/>
  <c r="C1896" i="1"/>
  <c r="C1895" i="1"/>
  <c r="C1894" i="1"/>
  <c r="C1893" i="1"/>
  <c r="C1892" i="1"/>
  <c r="C1891" i="1"/>
  <c r="C1890" i="1"/>
  <c r="C1889" i="1"/>
  <c r="C1888" i="1"/>
  <c r="C1887" i="1"/>
  <c r="C1886" i="1"/>
  <c r="C1885" i="1"/>
  <c r="C1884" i="1"/>
  <c r="C1883" i="1"/>
  <c r="C1882" i="1"/>
  <c r="C1881" i="1"/>
  <c r="C1880" i="1"/>
  <c r="C1879" i="1"/>
  <c r="C1877" i="1"/>
  <c r="C1876" i="1"/>
  <c r="C1875" i="1"/>
  <c r="C1874" i="1"/>
  <c r="C1873" i="1"/>
  <c r="C1872" i="1"/>
  <c r="C1871" i="1"/>
  <c r="C1870" i="1"/>
  <c r="C1869" i="1"/>
  <c r="C1868" i="1"/>
  <c r="C1867" i="1"/>
  <c r="C1866" i="1"/>
  <c r="C1865" i="1"/>
  <c r="C1864" i="1"/>
  <c r="C1863" i="1"/>
  <c r="C1862" i="1"/>
  <c r="C1861" i="1"/>
  <c r="C1860" i="1"/>
  <c r="C1859" i="1"/>
  <c r="C1858" i="1"/>
  <c r="C1857" i="1"/>
  <c r="C1856" i="1"/>
  <c r="C1855" i="1"/>
  <c r="C1854" i="1"/>
  <c r="C1853" i="1"/>
  <c r="C1852" i="1"/>
  <c r="C1851" i="1"/>
  <c r="C1850" i="1"/>
  <c r="C1849" i="1"/>
  <c r="C1848" i="1"/>
  <c r="C1847" i="1"/>
  <c r="C1846" i="1"/>
  <c r="C1845" i="1"/>
  <c r="C1844" i="1"/>
  <c r="C1843" i="1"/>
  <c r="C1842" i="1"/>
  <c r="C1841" i="1"/>
  <c r="C1840" i="1"/>
  <c r="C1839" i="1"/>
  <c r="C1838" i="1"/>
  <c r="C1837" i="1"/>
  <c r="C1836" i="1"/>
  <c r="C1835" i="1"/>
  <c r="C1834" i="1"/>
  <c r="C1833" i="1"/>
  <c r="C1832" i="1"/>
  <c r="C1831" i="1"/>
  <c r="C1830" i="1"/>
  <c r="C1829" i="1"/>
  <c r="C1828" i="1"/>
  <c r="C1827" i="1"/>
  <c r="C1826" i="1"/>
  <c r="C1825" i="1"/>
  <c r="C1824" i="1"/>
  <c r="C1823" i="1"/>
  <c r="C1822" i="1"/>
  <c r="C1821" i="1"/>
  <c r="C1820" i="1"/>
  <c r="C1819" i="1"/>
  <c r="C1818" i="1"/>
  <c r="C1817" i="1"/>
  <c r="C1816" i="1"/>
  <c r="C1815" i="1"/>
  <c r="C1814" i="1"/>
  <c r="C1813" i="1"/>
  <c r="C1812" i="1"/>
  <c r="C1811" i="1"/>
  <c r="C1810" i="1"/>
  <c r="C1809" i="1"/>
  <c r="C1808" i="1"/>
  <c r="C1807" i="1"/>
  <c r="C1806" i="1"/>
  <c r="C1805" i="1"/>
  <c r="C1804" i="1"/>
  <c r="C1803" i="1"/>
  <c r="C1802" i="1"/>
  <c r="C1801" i="1"/>
  <c r="C1800" i="1"/>
  <c r="C1799" i="1"/>
  <c r="C1798" i="1"/>
  <c r="C1797" i="1"/>
  <c r="C1795" i="1"/>
  <c r="C1794" i="1"/>
  <c r="C1793" i="1"/>
  <c r="C1792" i="1"/>
  <c r="C1791" i="1"/>
  <c r="C1790" i="1"/>
  <c r="C1789" i="1"/>
  <c r="C1788" i="1"/>
  <c r="C1787" i="1"/>
  <c r="C1786" i="1"/>
  <c r="C1785" i="1"/>
  <c r="C1784" i="1"/>
  <c r="C1783" i="1"/>
  <c r="C1782" i="1"/>
  <c r="C1781" i="1"/>
  <c r="C1780" i="1"/>
  <c r="C1779" i="1"/>
  <c r="C1778" i="1"/>
  <c r="D23" i="5" l="1"/>
  <c r="D22" i="5"/>
  <c r="D21" i="5"/>
  <c r="D17" i="5"/>
  <c r="D16" i="5"/>
  <c r="D15" i="5"/>
  <c r="D11" i="5"/>
  <c r="D10" i="5"/>
  <c r="D9" i="5"/>
  <c r="D4" i="5"/>
  <c r="D5" i="5"/>
  <c r="D3" i="5"/>
  <c r="E21" i="5" l="1"/>
  <c r="E10" i="5"/>
  <c r="E11" i="5"/>
  <c r="E16" i="5"/>
  <c r="E23" i="5"/>
  <c r="E22" i="5"/>
  <c r="E17" i="5"/>
  <c r="E15" i="5"/>
  <c r="E9" i="5"/>
  <c r="E3" i="5"/>
  <c r="E5" i="5"/>
  <c r="E4" i="5"/>
  <c r="C1460" i="1" l="1"/>
  <c r="C1459" i="1"/>
  <c r="C1457" i="1"/>
  <c r="C1456" i="1"/>
  <c r="C1454" i="1"/>
  <c r="C1453" i="1"/>
  <c r="C1451" i="1"/>
  <c r="C1450" i="1"/>
  <c r="C1448" i="1"/>
  <c r="C1447" i="1"/>
  <c r="C1445" i="1"/>
  <c r="C1444" i="1"/>
  <c r="C1442" i="1"/>
  <c r="C1441" i="1"/>
  <c r="C1439" i="1"/>
  <c r="C1438" i="1"/>
  <c r="C1436" i="1"/>
  <c r="C1435" i="1"/>
  <c r="C1433" i="1"/>
  <c r="C1432" i="1"/>
  <c r="C1358" i="1"/>
  <c r="C1357" i="1"/>
  <c r="C1356" i="1"/>
  <c r="C1355" i="1"/>
  <c r="C1354" i="1"/>
  <c r="C1353" i="1"/>
  <c r="C1352" i="1"/>
  <c r="C1351" i="1"/>
  <c r="C1350" i="1"/>
  <c r="C1349" i="1"/>
  <c r="C1348" i="1"/>
  <c r="C1347" i="1"/>
  <c r="C1346" i="1"/>
  <c r="C1345" i="1"/>
  <c r="C1344" i="1"/>
  <c r="C1343" i="1"/>
  <c r="C1342" i="1"/>
  <c r="C1341" i="1"/>
  <c r="C1340" i="1"/>
  <c r="C1339" i="1"/>
  <c r="C1338" i="1"/>
  <c r="C1337" i="1"/>
  <c r="C1336" i="1"/>
  <c r="C1335" i="1"/>
  <c r="C1334" i="1"/>
  <c r="C1333" i="1"/>
  <c r="C1332" i="1"/>
  <c r="C1331" i="1"/>
  <c r="C1330" i="1"/>
  <c r="C1329" i="1"/>
  <c r="C1328" i="1"/>
  <c r="C1327" i="1"/>
  <c r="C1326" i="1"/>
  <c r="C1325" i="1"/>
  <c r="C1324" i="1"/>
  <c r="C1323" i="1"/>
  <c r="C1322" i="1"/>
  <c r="C1321" i="1"/>
  <c r="C1320" i="1"/>
  <c r="C1319" i="1"/>
  <c r="C1317" i="1"/>
  <c r="C1316" i="1"/>
  <c r="C1315" i="1"/>
  <c r="C1314" i="1"/>
  <c r="C1313" i="1"/>
  <c r="C1312" i="1"/>
  <c r="C1311" i="1"/>
  <c r="C1310" i="1"/>
  <c r="C1309" i="1"/>
  <c r="C1308" i="1"/>
  <c r="C1306" i="1"/>
  <c r="C1305" i="1"/>
  <c r="C1304" i="1"/>
  <c r="C1303" i="1"/>
  <c r="C1302" i="1"/>
  <c r="C1301" i="1"/>
  <c r="C1300" i="1"/>
  <c r="C1299" i="1"/>
  <c r="C1298" i="1"/>
  <c r="C1297" i="1"/>
  <c r="C1295" i="1"/>
  <c r="C1294" i="1"/>
  <c r="C1293" i="1"/>
  <c r="C1292" i="1"/>
  <c r="C1291" i="1"/>
  <c r="C1290" i="1"/>
  <c r="C1289" i="1"/>
  <c r="C1288" i="1"/>
  <c r="C1287" i="1"/>
  <c r="C1286" i="1"/>
  <c r="C1285" i="1"/>
  <c r="C1284" i="1"/>
  <c r="C1283" i="1"/>
  <c r="C1282" i="1"/>
  <c r="C1281" i="1"/>
  <c r="C1280" i="1"/>
  <c r="C1279" i="1"/>
  <c r="C1278" i="1"/>
  <c r="C1277" i="1"/>
  <c r="C1276" i="1"/>
  <c r="C1273" i="1"/>
  <c r="C1272" i="1"/>
  <c r="C1271" i="1"/>
  <c r="C1270" i="1"/>
  <c r="C1269" i="1"/>
  <c r="C1268" i="1"/>
  <c r="C1267" i="1"/>
  <c r="C1266" i="1"/>
  <c r="C1265" i="1"/>
  <c r="C1264" i="1"/>
  <c r="C1263" i="1"/>
  <c r="C1262" i="1"/>
  <c r="C1261" i="1"/>
  <c r="C1260" i="1"/>
  <c r="C1259" i="1"/>
  <c r="C1258" i="1"/>
  <c r="C1257" i="1"/>
  <c r="C1256" i="1"/>
  <c r="C1255" i="1"/>
  <c r="C1254" i="1"/>
  <c r="C1253" i="1"/>
  <c r="C1252" i="1"/>
  <c r="C1251" i="1"/>
  <c r="C1250" i="1"/>
  <c r="C1249" i="1"/>
  <c r="C1248" i="1"/>
  <c r="C1247" i="1"/>
  <c r="C1246" i="1"/>
  <c r="C1245" i="1"/>
  <c r="C1244" i="1"/>
  <c r="C1243" i="1"/>
  <c r="C1242" i="1"/>
  <c r="C1241" i="1"/>
  <c r="C1240" i="1"/>
  <c r="C1239" i="1"/>
  <c r="C1238" i="1"/>
  <c r="C1237" i="1"/>
  <c r="C1236" i="1"/>
  <c r="C1235" i="1"/>
  <c r="C1234" i="1"/>
  <c r="C1233" i="1"/>
  <c r="C1232" i="1"/>
  <c r="C1231" i="1"/>
  <c r="C1230" i="1"/>
  <c r="C1229" i="1"/>
  <c r="C1228" i="1"/>
  <c r="C1227" i="1"/>
  <c r="C1226" i="1"/>
  <c r="C1225" i="1"/>
  <c r="C1224" i="1"/>
  <c r="C1223" i="1"/>
  <c r="C1222" i="1"/>
  <c r="C1221" i="1"/>
  <c r="C1220" i="1"/>
  <c r="C1219" i="1"/>
  <c r="C1217" i="1"/>
  <c r="C1216" i="1"/>
  <c r="C1215" i="1"/>
  <c r="C1214" i="1"/>
  <c r="C1213" i="1"/>
  <c r="C1212" i="1"/>
  <c r="C1211" i="1"/>
  <c r="C1210" i="1"/>
  <c r="C1209" i="1"/>
  <c r="C1208" i="1"/>
  <c r="C1207" i="1"/>
  <c r="C1206" i="1"/>
  <c r="C1205" i="1"/>
  <c r="C1204" i="1"/>
  <c r="C1203" i="1"/>
  <c r="C1202" i="1"/>
  <c r="C1201" i="1"/>
  <c r="C1200" i="1"/>
  <c r="C1199" i="1"/>
  <c r="C1198" i="1"/>
  <c r="C1197" i="1"/>
  <c r="C1196" i="1"/>
  <c r="C1195" i="1"/>
  <c r="C1194" i="1"/>
  <c r="C1193" i="1"/>
  <c r="C1192" i="1"/>
  <c r="C1191" i="1"/>
  <c r="C1190" i="1"/>
  <c r="C1189" i="1"/>
  <c r="C1188" i="1"/>
  <c r="C1187" i="1"/>
  <c r="C1186" i="1"/>
  <c r="C1185" i="1"/>
  <c r="C1184" i="1"/>
  <c r="C1183" i="1"/>
  <c r="C1182" i="1"/>
  <c r="C1181" i="1"/>
  <c r="C1180" i="1"/>
  <c r="C1179" i="1"/>
  <c r="C1178" i="1"/>
  <c r="C1177" i="1"/>
  <c r="C1176" i="1"/>
  <c r="C1175" i="1"/>
  <c r="C1174" i="1"/>
  <c r="C1173" i="1"/>
  <c r="C1172" i="1"/>
  <c r="C1171" i="1"/>
  <c r="C1170" i="1"/>
  <c r="C1169" i="1"/>
  <c r="C1168" i="1"/>
  <c r="C1167" i="1"/>
  <c r="C1166" i="1"/>
  <c r="C1165" i="1"/>
  <c r="C1164" i="1"/>
  <c r="C1163" i="1"/>
  <c r="C1162" i="1"/>
  <c r="C1161" i="1"/>
  <c r="C1160" i="1"/>
  <c r="C1159" i="1"/>
  <c r="C1158" i="1"/>
  <c r="C1157" i="1"/>
  <c r="C1156" i="1"/>
  <c r="C1155" i="1"/>
  <c r="C1154" i="1"/>
  <c r="C1153" i="1"/>
  <c r="C1152" i="1"/>
  <c r="C1151" i="1"/>
  <c r="C1150" i="1"/>
  <c r="C1149" i="1"/>
  <c r="C1148" i="1"/>
  <c r="C1147" i="1"/>
  <c r="C1146" i="1"/>
  <c r="C1145" i="1"/>
  <c r="C1144" i="1"/>
  <c r="C1143" i="1"/>
  <c r="C1142" i="1"/>
  <c r="C1141" i="1"/>
  <c r="C1140" i="1"/>
  <c r="C1139" i="1"/>
  <c r="C1138" i="1"/>
  <c r="C1137" i="1"/>
  <c r="C1136" i="1"/>
  <c r="C1135" i="1"/>
  <c r="C1134" i="1"/>
  <c r="C1133" i="1"/>
  <c r="C1132" i="1"/>
  <c r="C1131" i="1"/>
  <c r="C1130" i="1"/>
  <c r="C1129" i="1"/>
  <c r="C1128" i="1"/>
  <c r="C1127" i="1"/>
  <c r="C1126" i="1"/>
  <c r="C1125" i="1"/>
  <c r="C1124" i="1"/>
  <c r="C1123" i="1"/>
  <c r="C1122" i="1"/>
  <c r="C1121" i="1"/>
  <c r="C1120" i="1"/>
  <c r="C1119" i="1"/>
  <c r="C1118" i="1"/>
  <c r="C1117" i="1"/>
  <c r="C1116" i="1"/>
  <c r="C1115" i="1"/>
  <c r="C1114" i="1"/>
  <c r="C1113" i="1"/>
  <c r="C1112" i="1"/>
  <c r="C1111" i="1"/>
  <c r="C1110" i="1"/>
  <c r="C1109" i="1"/>
  <c r="C1108" i="1"/>
  <c r="C1107" i="1"/>
  <c r="C1106" i="1"/>
  <c r="C1105" i="1"/>
  <c r="C1104" i="1"/>
  <c r="C1103" i="1"/>
  <c r="C1102" i="1"/>
  <c r="C1101" i="1"/>
  <c r="C1100" i="1"/>
  <c r="C1099" i="1"/>
  <c r="C1098" i="1"/>
  <c r="C1097" i="1"/>
  <c r="C1096" i="1"/>
  <c r="C1095" i="1"/>
  <c r="C1094" i="1"/>
  <c r="C1093" i="1"/>
  <c r="C1092" i="1"/>
  <c r="C1091" i="1"/>
  <c r="C1090" i="1"/>
  <c r="C1089" i="1"/>
  <c r="C1088" i="1"/>
  <c r="C1087" i="1"/>
  <c r="C1086" i="1"/>
  <c r="C1085" i="1"/>
  <c r="C1084" i="1"/>
  <c r="C1083" i="1"/>
  <c r="C1082" i="1"/>
  <c r="C1081" i="1"/>
  <c r="C1080" i="1"/>
  <c r="C1079" i="1"/>
  <c r="C1078" i="1"/>
  <c r="C1077" i="1"/>
  <c r="C1076" i="1"/>
  <c r="C1075" i="1"/>
  <c r="C1074" i="1"/>
  <c r="C1073" i="1"/>
  <c r="C1072" i="1"/>
  <c r="C1071" i="1"/>
  <c r="C1070" i="1"/>
  <c r="C1069" i="1"/>
  <c r="C1068" i="1"/>
  <c r="C1067" i="1"/>
  <c r="C1066" i="1"/>
  <c r="C1065" i="1"/>
  <c r="C1064" i="1"/>
  <c r="C1063" i="1"/>
  <c r="C1062" i="1"/>
  <c r="C1061" i="1"/>
  <c r="C1060" i="1"/>
  <c r="C1059" i="1"/>
  <c r="C1058" i="1"/>
  <c r="C1057" i="1"/>
  <c r="C1056" i="1"/>
  <c r="C1055" i="1"/>
  <c r="C1054" i="1"/>
  <c r="C1053" i="1"/>
  <c r="C1052" i="1"/>
  <c r="C1051" i="1"/>
  <c r="C1050" i="1"/>
  <c r="C1049" i="1"/>
  <c r="C1048" i="1"/>
  <c r="C1047" i="1"/>
  <c r="C1046" i="1"/>
  <c r="C1045" i="1"/>
  <c r="C1044" i="1"/>
  <c r="C1043" i="1"/>
  <c r="C1042" i="1"/>
  <c r="C1041" i="1"/>
  <c r="C1040" i="1"/>
  <c r="C1039" i="1"/>
  <c r="C1038" i="1"/>
  <c r="C1037" i="1"/>
  <c r="C1036" i="1"/>
  <c r="C1035" i="1"/>
  <c r="C1034" i="1"/>
  <c r="C1033" i="1"/>
  <c r="C1032" i="1"/>
  <c r="C1031" i="1"/>
  <c r="C1030" i="1"/>
  <c r="C1029" i="1"/>
  <c r="C1028" i="1"/>
  <c r="C1027" i="1"/>
  <c r="C1026" i="1"/>
  <c r="C1025" i="1"/>
  <c r="C1024" i="1"/>
  <c r="C1023" i="1"/>
  <c r="C1022" i="1"/>
  <c r="C1021" i="1"/>
  <c r="C1020" i="1"/>
  <c r="C1019" i="1"/>
  <c r="C1018" i="1"/>
  <c r="C1017" i="1"/>
  <c r="C1016" i="1"/>
  <c r="C1015" i="1"/>
  <c r="C1014" i="1"/>
  <c r="C1013" i="1"/>
  <c r="C1012" i="1"/>
  <c r="C1011" i="1"/>
  <c r="C1010" i="1"/>
  <c r="C1009" i="1"/>
  <c r="C1008" i="1"/>
  <c r="C1007" i="1"/>
  <c r="C1006" i="1"/>
  <c r="C1005" i="1"/>
  <c r="C1004" i="1"/>
  <c r="C1003" i="1"/>
  <c r="C1002" i="1"/>
  <c r="C1001" i="1"/>
  <c r="C1000" i="1"/>
  <c r="C999" i="1"/>
  <c r="C998" i="1"/>
  <c r="C997" i="1"/>
  <c r="C996" i="1"/>
  <c r="C995" i="1"/>
  <c r="C994" i="1"/>
  <c r="C993" i="1"/>
  <c r="C992" i="1"/>
  <c r="C991" i="1"/>
  <c r="C990" i="1"/>
  <c r="C989" i="1"/>
  <c r="C988" i="1"/>
  <c r="C987" i="1"/>
  <c r="C986" i="1"/>
  <c r="C985" i="1"/>
  <c r="C984" i="1"/>
  <c r="C983" i="1"/>
  <c r="C982" i="1"/>
  <c r="C981" i="1"/>
  <c r="C980" i="1"/>
  <c r="C979" i="1"/>
  <c r="C978" i="1"/>
  <c r="C977" i="1"/>
  <c r="C976" i="1"/>
  <c r="C975" i="1"/>
  <c r="C974" i="1"/>
  <c r="C973" i="1"/>
  <c r="C972" i="1"/>
  <c r="C971" i="1"/>
  <c r="C970" i="1"/>
  <c r="C969" i="1"/>
  <c r="C968" i="1"/>
  <c r="C967" i="1"/>
  <c r="C966" i="1"/>
  <c r="C965" i="1"/>
  <c r="C964" i="1"/>
  <c r="C963" i="1"/>
  <c r="C962" i="1"/>
  <c r="C961" i="1"/>
  <c r="C960" i="1"/>
  <c r="C959" i="1"/>
  <c r="C958" i="1"/>
  <c r="C957" i="1"/>
  <c r="C956" i="1"/>
  <c r="C955" i="1"/>
  <c r="C954" i="1"/>
  <c r="C953" i="1"/>
  <c r="C952" i="1"/>
  <c r="C951" i="1"/>
  <c r="C950" i="1"/>
  <c r="C949" i="1"/>
  <c r="C948" i="1"/>
  <c r="C946" i="1"/>
  <c r="C945" i="1"/>
  <c r="C944" i="1"/>
  <c r="C943" i="1"/>
  <c r="C942" i="1"/>
  <c r="C939" i="1"/>
  <c r="C938" i="1"/>
  <c r="C937" i="1"/>
  <c r="C936" i="1"/>
  <c r="C935" i="1"/>
  <c r="C934" i="1"/>
  <c r="C933" i="1"/>
  <c r="C932" i="1"/>
  <c r="C931" i="1"/>
  <c r="C930" i="1"/>
  <c r="C929" i="1"/>
  <c r="C928" i="1"/>
  <c r="C927" i="1"/>
  <c r="C926" i="1"/>
  <c r="C925" i="1"/>
  <c r="C924" i="1"/>
  <c r="C923" i="1"/>
  <c r="C922" i="1"/>
  <c r="C921" i="1"/>
  <c r="C920" i="1"/>
  <c r="C919" i="1"/>
  <c r="C918" i="1"/>
  <c r="C917" i="1"/>
  <c r="C916" i="1"/>
  <c r="C915" i="1"/>
  <c r="C914" i="1"/>
  <c r="C913" i="1"/>
  <c r="C912" i="1"/>
  <c r="C911" i="1"/>
  <c r="C910" i="1"/>
  <c r="C909" i="1"/>
  <c r="C908" i="1"/>
  <c r="C907" i="1"/>
  <c r="C906" i="1"/>
  <c r="C905" i="1"/>
  <c r="C904" i="1"/>
  <c r="C903" i="1"/>
  <c r="C902" i="1"/>
  <c r="C901" i="1"/>
  <c r="C900" i="1"/>
  <c r="C899" i="1"/>
  <c r="C898" i="1"/>
  <c r="C897" i="1"/>
  <c r="C896" i="1"/>
  <c r="C895" i="1"/>
  <c r="C893" i="1"/>
  <c r="C892" i="1"/>
  <c r="C891" i="1"/>
  <c r="C890" i="1"/>
  <c r="C889" i="1"/>
  <c r="C888" i="1"/>
  <c r="C887" i="1"/>
  <c r="C886" i="1"/>
  <c r="C885" i="1"/>
  <c r="C884" i="1"/>
  <c r="C883" i="1"/>
  <c r="C882" i="1"/>
  <c r="C881" i="1"/>
  <c r="C880" i="1"/>
  <c r="C879" i="1"/>
  <c r="C878" i="1"/>
  <c r="C877" i="1"/>
  <c r="C876" i="1"/>
  <c r="C875" i="1"/>
  <c r="C874" i="1"/>
  <c r="C1275" i="1"/>
  <c r="C1274" i="1"/>
  <c r="C941" i="1"/>
  <c r="C940" i="1"/>
  <c r="C2145" i="1"/>
  <c r="C2144" i="1"/>
  <c r="C2143" i="1"/>
  <c r="C2142" i="1"/>
  <c r="C2141" i="1"/>
  <c r="C2140" i="1"/>
  <c r="C2139" i="1"/>
  <c r="C2138" i="1"/>
  <c r="C2137" i="1"/>
  <c r="C2136" i="1"/>
  <c r="C2135" i="1"/>
  <c r="C2134" i="1"/>
  <c r="C2133" i="1"/>
  <c r="C2132" i="1"/>
  <c r="C2131" i="1"/>
  <c r="C2130" i="1"/>
  <c r="C2129" i="1"/>
  <c r="C2128" i="1"/>
  <c r="C2127" i="1"/>
  <c r="C2126" i="1"/>
  <c r="C2125" i="1"/>
  <c r="C2124" i="1"/>
  <c r="C2123" i="1"/>
  <c r="C2122" i="1"/>
  <c r="C2121" i="1"/>
  <c r="C2120" i="1"/>
  <c r="C2119" i="1"/>
  <c r="C2118" i="1"/>
  <c r="C2117" i="1"/>
  <c r="C2116" i="1"/>
  <c r="C2115" i="1"/>
  <c r="C2114" i="1"/>
  <c r="C2113" i="1"/>
  <c r="C2112" i="1"/>
  <c r="A12" i="3"/>
  <c r="A11" i="3"/>
  <c r="A8" i="3"/>
  <c r="C865" i="1"/>
  <c r="C864" i="1"/>
  <c r="C863" i="1"/>
  <c r="C862" i="1"/>
  <c r="C861" i="1"/>
  <c r="C860" i="1"/>
  <c r="C859" i="1"/>
  <c r="C858" i="1"/>
  <c r="C857" i="1"/>
  <c r="C856" i="1"/>
  <c r="C855" i="1"/>
  <c r="C854" i="1"/>
  <c r="C853" i="1"/>
  <c r="C852" i="1"/>
  <c r="C851" i="1"/>
  <c r="C850" i="1"/>
  <c r="C849" i="1"/>
  <c r="C848" i="1"/>
  <c r="C847" i="1"/>
  <c r="C846" i="1"/>
  <c r="C845" i="1"/>
  <c r="C844" i="1"/>
  <c r="C843" i="1"/>
  <c r="C842" i="1"/>
  <c r="C841" i="1"/>
  <c r="C840" i="1"/>
  <c r="C839" i="1"/>
  <c r="C838" i="1"/>
  <c r="C837" i="1"/>
  <c r="C836" i="1"/>
  <c r="C835" i="1"/>
  <c r="C834" i="1"/>
  <c r="C833" i="1"/>
  <c r="C832" i="1"/>
  <c r="C831" i="1"/>
  <c r="C830" i="1"/>
  <c r="C829" i="1"/>
  <c r="C828" i="1"/>
  <c r="C827" i="1"/>
  <c r="C826" i="1"/>
  <c r="C825" i="1"/>
  <c r="C824" i="1"/>
  <c r="C823" i="1"/>
  <c r="C822" i="1"/>
  <c r="C821" i="1"/>
  <c r="C820" i="1"/>
  <c r="C819" i="1"/>
  <c r="C818" i="1"/>
  <c r="C817" i="1"/>
  <c r="C816" i="1"/>
  <c r="C815" i="1"/>
  <c r="C814" i="1"/>
  <c r="C813" i="1"/>
  <c r="C812" i="1"/>
  <c r="C811" i="1"/>
  <c r="C810" i="1"/>
  <c r="C809" i="1"/>
  <c r="C808" i="1"/>
  <c r="C807" i="1"/>
  <c r="C806" i="1"/>
  <c r="C805" i="1"/>
  <c r="C804" i="1"/>
  <c r="C803" i="1"/>
  <c r="C802" i="1"/>
  <c r="C801" i="1"/>
  <c r="C800" i="1"/>
  <c r="C799" i="1"/>
  <c r="C798" i="1"/>
  <c r="C797" i="1"/>
  <c r="C796" i="1"/>
  <c r="C795" i="1"/>
  <c r="C794" i="1"/>
  <c r="C793" i="1"/>
  <c r="C792" i="1"/>
  <c r="C791" i="1"/>
  <c r="C790" i="1"/>
  <c r="C789" i="1"/>
  <c r="C788" i="1"/>
  <c r="C787" i="1"/>
  <c r="C786" i="1"/>
  <c r="C785" i="1"/>
  <c r="C784" i="1"/>
  <c r="C783" i="1"/>
  <c r="C782" i="1"/>
  <c r="C781" i="1"/>
  <c r="C780" i="1"/>
  <c r="C779" i="1"/>
  <c r="C778" i="1"/>
  <c r="C777" i="1"/>
  <c r="C776" i="1"/>
  <c r="C775" i="1"/>
  <c r="C774" i="1"/>
  <c r="C773" i="1"/>
  <c r="C772" i="1"/>
  <c r="C771" i="1"/>
  <c r="C770" i="1"/>
  <c r="C769" i="1"/>
  <c r="C768" i="1"/>
  <c r="C767" i="1"/>
  <c r="C766" i="1"/>
  <c r="C765" i="1"/>
  <c r="C764" i="1"/>
  <c r="C763" i="1"/>
  <c r="C762" i="1"/>
  <c r="C761" i="1"/>
  <c r="C760" i="1"/>
  <c r="C759" i="1"/>
  <c r="C758" i="1"/>
  <c r="C757" i="1"/>
  <c r="C756" i="1"/>
  <c r="C755" i="1"/>
  <c r="C754" i="1"/>
  <c r="C753" i="1"/>
  <c r="C752" i="1"/>
  <c r="C751" i="1"/>
  <c r="C750" i="1"/>
  <c r="C749" i="1"/>
  <c r="C748" i="1"/>
  <c r="C747" i="1"/>
  <c r="C746" i="1"/>
  <c r="C745" i="1"/>
  <c r="C744" i="1"/>
  <c r="C743" i="1"/>
  <c r="C742" i="1"/>
  <c r="C741" i="1"/>
  <c r="C740" i="1"/>
  <c r="C739" i="1"/>
  <c r="C738" i="1"/>
  <c r="C737" i="1"/>
  <c r="C736" i="1"/>
  <c r="C735" i="1"/>
  <c r="C734" i="1"/>
  <c r="C733" i="1"/>
  <c r="C732" i="1"/>
  <c r="C731" i="1"/>
  <c r="C730" i="1"/>
  <c r="C729" i="1"/>
  <c r="C728" i="1"/>
  <c r="C727" i="1"/>
  <c r="C726" i="1"/>
  <c r="C725" i="1"/>
  <c r="C724" i="1"/>
  <c r="C723" i="1"/>
  <c r="C722" i="1"/>
  <c r="C721" i="1"/>
  <c r="C720" i="1"/>
  <c r="C719" i="1"/>
  <c r="C718" i="1"/>
  <c r="C717" i="1"/>
  <c r="C716" i="1"/>
  <c r="C715" i="1"/>
  <c r="C714" i="1"/>
  <c r="C713" i="1"/>
  <c r="C712" i="1"/>
  <c r="C711" i="1"/>
  <c r="C710" i="1"/>
  <c r="C709" i="1"/>
  <c r="C708" i="1"/>
  <c r="C707" i="1"/>
  <c r="C706" i="1"/>
  <c r="C705" i="1"/>
  <c r="C704" i="1"/>
  <c r="C703" i="1"/>
  <c r="C702" i="1"/>
  <c r="C701" i="1"/>
  <c r="C700" i="1"/>
  <c r="C699" i="1"/>
  <c r="C698" i="1"/>
  <c r="C697" i="1"/>
  <c r="C696" i="1"/>
  <c r="C695" i="1"/>
  <c r="C694" i="1"/>
  <c r="C693" i="1"/>
  <c r="C692" i="1"/>
  <c r="C691" i="1"/>
  <c r="C690" i="1"/>
  <c r="C689" i="1"/>
  <c r="C688" i="1"/>
  <c r="C687" i="1"/>
  <c r="C686" i="1"/>
  <c r="C685" i="1"/>
  <c r="C684" i="1"/>
  <c r="C683" i="1"/>
  <c r="C682" i="1"/>
  <c r="C681" i="1"/>
  <c r="C680" i="1"/>
  <c r="C679" i="1"/>
  <c r="C678" i="1"/>
  <c r="C677" i="1"/>
  <c r="C676" i="1"/>
  <c r="C675" i="1"/>
  <c r="C674" i="1"/>
  <c r="C673" i="1"/>
  <c r="C672" i="1"/>
  <c r="C671" i="1"/>
  <c r="C670" i="1"/>
  <c r="C669" i="1"/>
  <c r="C668" i="1"/>
  <c r="C667" i="1"/>
  <c r="C666" i="1"/>
  <c r="C665" i="1"/>
  <c r="C664" i="1"/>
  <c r="C663" i="1"/>
  <c r="C662" i="1"/>
  <c r="C661" i="1"/>
  <c r="C660" i="1"/>
  <c r="C659" i="1"/>
  <c r="C658" i="1"/>
  <c r="C657" i="1"/>
  <c r="C656" i="1"/>
  <c r="C655" i="1"/>
  <c r="C654" i="1"/>
  <c r="C653" i="1"/>
  <c r="C652" i="1"/>
  <c r="C651" i="1"/>
  <c r="C650" i="1"/>
  <c r="C649" i="1"/>
  <c r="C648" i="1"/>
  <c r="C647" i="1"/>
  <c r="C646" i="1"/>
  <c r="C645" i="1"/>
  <c r="C644" i="1"/>
  <c r="C643" i="1"/>
  <c r="C642"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6" i="1"/>
  <c r="C605" i="1"/>
  <c r="C604" i="1"/>
  <c r="C603" i="1"/>
  <c r="C602" i="1"/>
  <c r="C601" i="1"/>
  <c r="C600" i="1"/>
  <c r="C599" i="1"/>
  <c r="C598" i="1"/>
  <c r="C597" i="1"/>
  <c r="C596" i="1"/>
  <c r="F29" i="2"/>
  <c r="F30" i="2"/>
  <c r="F31" i="2"/>
  <c r="F32" i="2"/>
  <c r="F33" i="2"/>
  <c r="F34" i="2"/>
  <c r="F35" i="2"/>
  <c r="F36" i="2"/>
  <c r="F37" i="2"/>
  <c r="F38" i="2"/>
  <c r="F28" i="2"/>
  <c r="C595" i="1"/>
  <c r="C594" i="1"/>
  <c r="C593" i="1"/>
  <c r="C592" i="1"/>
  <c r="C591" i="1"/>
  <c r="A24" i="2"/>
  <c r="C555" i="1"/>
  <c r="C554" i="1"/>
  <c r="C553" i="1"/>
  <c r="C551" i="1"/>
  <c r="C550" i="1"/>
  <c r="C549" i="1"/>
  <c r="C548" i="1"/>
  <c r="C547" i="1"/>
  <c r="C546"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4" i="1"/>
  <c r="C515" i="1"/>
  <c r="C516" i="1"/>
  <c r="C513" i="1"/>
  <c r="C512" i="1"/>
  <c r="C511" i="1"/>
  <c r="C510" i="1"/>
  <c r="C509" i="1"/>
  <c r="C508" i="1"/>
  <c r="C507" i="1"/>
  <c r="C506" i="1"/>
  <c r="C505" i="1"/>
  <c r="C504" i="1"/>
  <c r="C503" i="1"/>
  <c r="C502" i="1"/>
  <c r="C501" i="1"/>
  <c r="C500" i="1"/>
  <c r="C499" i="1"/>
  <c r="C498" i="1"/>
  <c r="C497" i="1"/>
  <c r="C496" i="1"/>
  <c r="C495" i="1"/>
  <c r="C494" i="1"/>
  <c r="C493" i="1"/>
  <c r="C490" i="1"/>
  <c r="C491" i="1"/>
  <c r="C492" i="1"/>
  <c r="C487" i="1"/>
  <c r="C488" i="1"/>
  <c r="C489" i="1"/>
  <c r="C484" i="1"/>
  <c r="C485" i="1"/>
  <c r="C486" i="1"/>
  <c r="C481" i="1"/>
  <c r="C482" i="1"/>
  <c r="C483" i="1"/>
  <c r="C478" i="1"/>
  <c r="C479" i="1"/>
  <c r="C480" i="1"/>
  <c r="C475" i="1"/>
  <c r="C476" i="1"/>
  <c r="C477" i="1"/>
  <c r="C472" i="1"/>
  <c r="C473" i="1"/>
  <c r="C474" i="1"/>
  <c r="C469" i="1"/>
  <c r="C470" i="1"/>
  <c r="C471" i="1"/>
  <c r="C466" i="1"/>
  <c r="C467" i="1"/>
  <c r="C468" i="1"/>
  <c r="C463" i="1"/>
  <c r="C464" i="1"/>
  <c r="C465" i="1"/>
  <c r="C461" i="1"/>
  <c r="C460" i="1"/>
  <c r="C459" i="1"/>
  <c r="C457" i="1"/>
  <c r="C456" i="1"/>
  <c r="C455" i="1"/>
  <c r="C454" i="1"/>
  <c r="C453" i="1"/>
  <c r="C452" i="1"/>
  <c r="C449" i="1"/>
  <c r="C450" i="1"/>
  <c r="C451" i="1"/>
  <c r="C446" i="1"/>
  <c r="C447" i="1"/>
  <c r="C448" i="1"/>
  <c r="C443" i="1"/>
  <c r="C444" i="1"/>
  <c r="C445" i="1"/>
  <c r="C440" i="1"/>
  <c r="C441" i="1"/>
  <c r="C442" i="1"/>
  <c r="C439" i="1"/>
  <c r="C438" i="1"/>
  <c r="C437" i="1"/>
  <c r="C435" i="1"/>
  <c r="C434" i="1"/>
  <c r="C433" i="1"/>
  <c r="C428" i="1"/>
  <c r="C427" i="1"/>
  <c r="C426" i="1"/>
  <c r="C425" i="1"/>
  <c r="C424" i="1"/>
  <c r="C423" i="1"/>
  <c r="C422" i="1"/>
  <c r="C421" i="1"/>
  <c r="C420" i="1"/>
  <c r="C419" i="1"/>
  <c r="C418" i="1"/>
  <c r="C417" i="1"/>
  <c r="C416" i="1"/>
  <c r="C415" i="1"/>
  <c r="C414" i="1"/>
  <c r="C412" i="1"/>
  <c r="C411" i="1"/>
  <c r="C410" i="1"/>
  <c r="C409" i="1"/>
  <c r="C408" i="1"/>
  <c r="C407" i="1"/>
  <c r="C404" i="1"/>
  <c r="C405" i="1"/>
  <c r="C406" i="1"/>
  <c r="C429" i="1"/>
  <c r="C430" i="1"/>
  <c r="C356" i="1"/>
  <c r="C357" i="1"/>
  <c r="C327" i="1"/>
  <c r="C325" i="1"/>
  <c r="C323" i="1"/>
  <c r="C321" i="1"/>
  <c r="C319" i="1"/>
  <c r="C317" i="1"/>
  <c r="C315" i="1"/>
  <c r="C313" i="1"/>
  <c r="C311" i="1"/>
  <c r="C309" i="1"/>
  <c r="C307" i="1"/>
  <c r="C305" i="1"/>
  <c r="C303" i="1"/>
  <c r="C301" i="1"/>
  <c r="C299" i="1"/>
  <c r="C297" i="1"/>
  <c r="C295" i="1"/>
  <c r="C293" i="1"/>
  <c r="C328" i="1"/>
  <c r="C326" i="1"/>
  <c r="C324" i="1"/>
  <c r="C322" i="1"/>
  <c r="C320" i="1"/>
  <c r="C318" i="1"/>
  <c r="C316" i="1"/>
  <c r="C314" i="1"/>
  <c r="C312" i="1"/>
  <c r="C310" i="1"/>
  <c r="C308" i="1"/>
  <c r="C306" i="1"/>
  <c r="C304" i="1"/>
  <c r="C302" i="1"/>
  <c r="C300" i="1"/>
  <c r="C298" i="1"/>
  <c r="C296" i="1"/>
  <c r="C294" i="1"/>
  <c r="F41" i="2" l="1"/>
</calcChain>
</file>

<file path=xl/sharedStrings.xml><?xml version="1.0" encoding="utf-8"?>
<sst xmlns="http://schemas.openxmlformats.org/spreadsheetml/2006/main" count="22834" uniqueCount="770">
  <si>
    <t>Metal</t>
  </si>
  <si>
    <t>Country</t>
  </si>
  <si>
    <t>Year 2012</t>
  </si>
  <si>
    <t>Year 2013</t>
  </si>
  <si>
    <t>Year 2014</t>
  </si>
  <si>
    <t>Year 2015</t>
  </si>
  <si>
    <t>Year 2016</t>
  </si>
  <si>
    <t>Year 2017</t>
  </si>
  <si>
    <t>Year 2018</t>
  </si>
  <si>
    <t>Year 2019</t>
  </si>
  <si>
    <t>Year 2020</t>
  </si>
  <si>
    <t>Year 2021</t>
  </si>
  <si>
    <t>Sum_2017_2021</t>
  </si>
  <si>
    <t>Share_2017_2021</t>
  </si>
  <si>
    <t>Bauxite</t>
  </si>
  <si>
    <t>Alumina (Al2O3)</t>
  </si>
  <si>
    <t>Aluminium, primary</t>
  </si>
  <si>
    <t>Beryl</t>
  </si>
  <si>
    <t>Borates</t>
  </si>
  <si>
    <t>Cadmium</t>
  </si>
  <si>
    <t>Chromium ores and concentrate</t>
  </si>
  <si>
    <t>Cobalt, mine</t>
  </si>
  <si>
    <t>Cobalt, refined</t>
  </si>
  <si>
    <t>Copper, mine</t>
  </si>
  <si>
    <t>Copper, smelter</t>
  </si>
  <si>
    <t>Copper, refined</t>
  </si>
  <si>
    <t>Gallium</t>
  </si>
  <si>
    <t>Germanium metal</t>
  </si>
  <si>
    <t>Gold, mine</t>
  </si>
  <si>
    <t>Graphite, natural</t>
  </si>
  <si>
    <t>Indium production</t>
  </si>
  <si>
    <t>Iron, ore</t>
  </si>
  <si>
    <t>Iron, pig</t>
  </si>
  <si>
    <t>Steel, crude</t>
  </si>
  <si>
    <t xml:space="preserve">Ferro-chrome                                      </t>
  </si>
  <si>
    <t xml:space="preserve">Ferro-silico-manganese                            </t>
  </si>
  <si>
    <t xml:space="preserve">Ferro-silicon                                     </t>
  </si>
  <si>
    <t xml:space="preserve">Ferro-molybdenum                                  </t>
  </si>
  <si>
    <t xml:space="preserve">Ferro-manganese &amp; ferro-silico-manganese          </t>
  </si>
  <si>
    <t xml:space="preserve">Silicon metal                                     </t>
  </si>
  <si>
    <t xml:space="preserve">Ferro-nickel                                      </t>
  </si>
  <si>
    <t xml:space="preserve">Ferro-vanadium                                    </t>
  </si>
  <si>
    <t xml:space="preserve">Ferro-alloys                                      </t>
  </si>
  <si>
    <t xml:space="preserve">Ferro-manganese                                   </t>
  </si>
  <si>
    <t xml:space="preserve">Ferro-niobium                                     </t>
  </si>
  <si>
    <t xml:space="preserve">Ferro-silico-magnesium                            </t>
  </si>
  <si>
    <t xml:space="preserve">Other ferro-alloys                                </t>
  </si>
  <si>
    <t xml:space="preserve">Ferro-aluminium                                   </t>
  </si>
  <si>
    <t xml:space="preserve">Ferro-titanium                                    </t>
  </si>
  <si>
    <t xml:space="preserve">Ferro-silico-chrome                               </t>
  </si>
  <si>
    <t xml:space="preserve">Spiegeleisen                                      </t>
  </si>
  <si>
    <t>Ferro-Alloys (Ferro-silicon &amp; silicon metal)</t>
  </si>
  <si>
    <t>Lead, mine</t>
  </si>
  <si>
    <t>Lead, refined</t>
  </si>
  <si>
    <t>Lithium, minerals</t>
  </si>
  <si>
    <t>Magnesite</t>
  </si>
  <si>
    <t>Magnesium metal, ore</t>
  </si>
  <si>
    <t>Manganese, ore</t>
  </si>
  <si>
    <t>Molybdenum, mine</t>
  </si>
  <si>
    <t>Nickel, mine</t>
  </si>
  <si>
    <t>Nickel, smelter-refiner</t>
  </si>
  <si>
    <t>Phosphate rock</t>
  </si>
  <si>
    <t xml:space="preserve">Palladium                                         </t>
  </si>
  <si>
    <t xml:space="preserve">Platinum                                          </t>
  </si>
  <si>
    <t>REE minerals</t>
  </si>
  <si>
    <t>REE oxides</t>
  </si>
  <si>
    <t>Rhenium</t>
  </si>
  <si>
    <t>Selenium, refined</t>
  </si>
  <si>
    <t>Silver, mine</t>
  </si>
  <si>
    <t>Strontium, mineral</t>
  </si>
  <si>
    <t>Tantalum and niobium minerals</t>
  </si>
  <si>
    <t>Tellurium, refined</t>
  </si>
  <si>
    <t>Tin, mine</t>
  </si>
  <si>
    <t>Tin, smelter</t>
  </si>
  <si>
    <t xml:space="preserve">Ilmenite                                          </t>
  </si>
  <si>
    <t xml:space="preserve">Leucoxene                                         </t>
  </si>
  <si>
    <t xml:space="preserve">Rutile                                            </t>
  </si>
  <si>
    <t>Ilmenite</t>
  </si>
  <si>
    <t>Tungsten, mine</t>
  </si>
  <si>
    <t>Uranium</t>
  </si>
  <si>
    <t>Vanadium, mine</t>
  </si>
  <si>
    <t>Zinc, mine</t>
  </si>
  <si>
    <t>Zinc, slab</t>
  </si>
  <si>
    <t>Australia</t>
  </si>
  <si>
    <t>Bosnia &amp; Herzegovina</t>
  </si>
  <si>
    <t>Brazil</t>
  </si>
  <si>
    <t>China</t>
  </si>
  <si>
    <t>Colombia</t>
  </si>
  <si>
    <t>Croatia</t>
  </si>
  <si>
    <t>Dominican Republic</t>
  </si>
  <si>
    <t>Fiji</t>
  </si>
  <si>
    <t>France</t>
  </si>
  <si>
    <t>Ghana</t>
  </si>
  <si>
    <t>Greece</t>
  </si>
  <si>
    <t>Guinea</t>
  </si>
  <si>
    <t>Guyana</t>
  </si>
  <si>
    <t>Hungary</t>
  </si>
  <si>
    <t>India</t>
  </si>
  <si>
    <t>Indonesia</t>
  </si>
  <si>
    <t>Iran</t>
  </si>
  <si>
    <t>Ivory Coast</t>
  </si>
  <si>
    <t>Jamaica</t>
  </si>
  <si>
    <t>Kazakhstan</t>
  </si>
  <si>
    <t>Malaysia</t>
  </si>
  <si>
    <t>Montenegro</t>
  </si>
  <si>
    <t>Mozambique</t>
  </si>
  <si>
    <t>Pakistan</t>
  </si>
  <si>
    <t>Russia</t>
  </si>
  <si>
    <t>Saudi Arabia</t>
  </si>
  <si>
    <t>Sierra Leone</t>
  </si>
  <si>
    <t>Solomon Islands</t>
  </si>
  <si>
    <t>Tanzania</t>
  </si>
  <si>
    <t>Turkey</t>
  </si>
  <si>
    <t>USA</t>
  </si>
  <si>
    <t>Venezuela</t>
  </si>
  <si>
    <t>Vietnam</t>
  </si>
  <si>
    <t>Canada</t>
  </si>
  <si>
    <t>Germany</t>
  </si>
  <si>
    <t>Ireland, Republic of</t>
  </si>
  <si>
    <t>Japan</t>
  </si>
  <si>
    <t>Romania</t>
  </si>
  <si>
    <t>Spain</t>
  </si>
  <si>
    <t>Ukraine</t>
  </si>
  <si>
    <t>United Arab Emirates</t>
  </si>
  <si>
    <t>Argentina</t>
  </si>
  <si>
    <t>Azerbaijan</t>
  </si>
  <si>
    <t>Bahrain</t>
  </si>
  <si>
    <t>Cameroon</t>
  </si>
  <si>
    <t>Egypt</t>
  </si>
  <si>
    <t>Iceland</t>
  </si>
  <si>
    <t>Netherlands</t>
  </si>
  <si>
    <t>New Zealand</t>
  </si>
  <si>
    <t>Norway</t>
  </si>
  <si>
    <t>Oman</t>
  </si>
  <si>
    <t>Qatar</t>
  </si>
  <si>
    <t>Slovakia</t>
  </si>
  <si>
    <t>Slovenia</t>
  </si>
  <si>
    <t>South Africa</t>
  </si>
  <si>
    <t>Sweden</t>
  </si>
  <si>
    <t>Tajikistan</t>
  </si>
  <si>
    <t>United Kingdom</t>
  </si>
  <si>
    <t>Madagascar</t>
  </si>
  <si>
    <t>Uganda</t>
  </si>
  <si>
    <t>Zambia</t>
  </si>
  <si>
    <t>Bolivia</t>
  </si>
  <si>
    <t>Chile</t>
  </si>
  <si>
    <t>Peru</t>
  </si>
  <si>
    <t>Bulgaria</t>
  </si>
  <si>
    <t>Korea (Rep. of)</t>
  </si>
  <si>
    <t>Korea, Dem. P.R. of</t>
  </si>
  <si>
    <t>Mexico</t>
  </si>
  <si>
    <t>Poland</t>
  </si>
  <si>
    <t>Afghanistan</t>
  </si>
  <si>
    <t>Albania</t>
  </si>
  <si>
    <t>Finland</t>
  </si>
  <si>
    <t>Papua New Guinea</t>
  </si>
  <si>
    <t>Philippines</t>
  </si>
  <si>
    <t>Sudan</t>
  </si>
  <si>
    <t>Zimbabwe</t>
  </si>
  <si>
    <t>Congo, Democratic Republic</t>
  </si>
  <si>
    <t>Cuba</t>
  </si>
  <si>
    <t>Morocco</t>
  </si>
  <si>
    <t>New Caledonia</t>
  </si>
  <si>
    <t>Belgium</t>
  </si>
  <si>
    <t>Armenia</t>
  </si>
  <si>
    <t>Botswana</t>
  </si>
  <si>
    <t>Cyprus</t>
  </si>
  <si>
    <t>Ecuador</t>
  </si>
  <si>
    <t>Eritrea</t>
  </si>
  <si>
    <t>Georgia</t>
  </si>
  <si>
    <t>Kyrgyzstan</t>
  </si>
  <si>
    <t>Laos</t>
  </si>
  <si>
    <t>Mauritania</t>
  </si>
  <si>
    <t>Mongolia</t>
  </si>
  <si>
    <t>Myanmar</t>
  </si>
  <si>
    <t>Namibia</t>
  </si>
  <si>
    <t>North Macedonia</t>
  </si>
  <si>
    <t>Panama</t>
  </si>
  <si>
    <t>Portugal</t>
  </si>
  <si>
    <t>Serbia</t>
  </si>
  <si>
    <t>Uzbekistan</t>
  </si>
  <si>
    <t>Austria</t>
  </si>
  <si>
    <t>Italy</t>
  </si>
  <si>
    <t>Algeria</t>
  </si>
  <si>
    <t>Angola</t>
  </si>
  <si>
    <t>Benin</t>
  </si>
  <si>
    <t>Burkina Faso</t>
  </si>
  <si>
    <t>Burundi</t>
  </si>
  <si>
    <t>Central African Republic</t>
  </si>
  <si>
    <t>Congo</t>
  </si>
  <si>
    <t>Costa Rica</t>
  </si>
  <si>
    <t>Equatorial Guinea</t>
  </si>
  <si>
    <t>Eswatini (Swaziland)</t>
  </si>
  <si>
    <t>Ethiopia</t>
  </si>
  <si>
    <t>France (French Guiana)</t>
  </si>
  <si>
    <t>Gabon</t>
  </si>
  <si>
    <t>Guatemala</t>
  </si>
  <si>
    <t>Honduras</t>
  </si>
  <si>
    <t>Kenya</t>
  </si>
  <si>
    <t>Liberia</t>
  </si>
  <si>
    <t>Mali</t>
  </si>
  <si>
    <t>Nicaragua</t>
  </si>
  <si>
    <t>Niger</t>
  </si>
  <si>
    <t>Nigeria</t>
  </si>
  <si>
    <t>Rwanda</t>
  </si>
  <si>
    <t>Senegal</t>
  </si>
  <si>
    <t>South Sudan</t>
  </si>
  <si>
    <t>Suriname</t>
  </si>
  <si>
    <t>Taiwan</t>
  </si>
  <si>
    <t>Togo</t>
  </si>
  <si>
    <t>Uruguay</t>
  </si>
  <si>
    <t>Sri Lanka</t>
  </si>
  <si>
    <t>Bhutan</t>
  </si>
  <si>
    <t>Malawi</t>
  </si>
  <si>
    <t>Nepal</t>
  </si>
  <si>
    <t>Thailand</t>
  </si>
  <si>
    <t>Tunisia</t>
  </si>
  <si>
    <t>Czech Republic</t>
  </si>
  <si>
    <t>Libya</t>
  </si>
  <si>
    <t>Paraguay</t>
  </si>
  <si>
    <t>Belarus</t>
  </si>
  <si>
    <t>El Salvador</t>
  </si>
  <si>
    <t>Israel</t>
  </si>
  <si>
    <t>Jordan</t>
  </si>
  <si>
    <t>Kuwait</t>
  </si>
  <si>
    <t>Luxembourg</t>
  </si>
  <si>
    <t>Moldova</t>
  </si>
  <si>
    <t>Singapore</t>
  </si>
  <si>
    <t>Switzerland</t>
  </si>
  <si>
    <t>Syria</t>
  </si>
  <si>
    <t>Kosovo</t>
  </si>
  <si>
    <t>Estonia</t>
  </si>
  <si>
    <t>Lebanon</t>
  </si>
  <si>
    <t>Christmas Island</t>
  </si>
  <si>
    <t>Iraq</t>
  </si>
  <si>
    <t>Nauru</t>
  </si>
  <si>
    <t>Gambia</t>
  </si>
  <si>
    <t>Region</t>
  </si>
  <si>
    <t>Process</t>
  </si>
  <si>
    <t>Reference product</t>
  </si>
  <si>
    <t>Work done</t>
  </si>
  <si>
    <t>Comment</t>
  </si>
  <si>
    <t>GLO</t>
  </si>
  <si>
    <t>bauxite mine operation</t>
  </si>
  <si>
    <t>bauxite</t>
  </si>
  <si>
    <t>Yes</t>
  </si>
  <si>
    <t>aluminium oxide, metallurgical</t>
  </si>
  <si>
    <t>aluminium oxide production</t>
  </si>
  <si>
    <t>UN-OCEANIA</t>
  </si>
  <si>
    <t>aluminium hydroxide production</t>
  </si>
  <si>
    <t>aluminium hydroxide</t>
  </si>
  <si>
    <t>IAI Area, Russia &amp; RER w/o EU27 &amp; EFTA</t>
  </si>
  <si>
    <t>IAI Area, South America</t>
  </si>
  <si>
    <t>RNA</t>
  </si>
  <si>
    <t>CN</t>
  </si>
  <si>
    <t>IAI Area, EU27 &amp; EFTA</t>
  </si>
  <si>
    <t>RoW</t>
  </si>
  <si>
    <t>There is no African region nor RoW in EI</t>
  </si>
  <si>
    <t>IAI Area, Asia, without China and GCC</t>
  </si>
  <si>
    <t>There are two markets "market for aluminium oxide, metallurgical (IAI Area, EU27 &amp; EFTA///RoW)</t>
  </si>
  <si>
    <t>Parent process of "aluminium oxide production"///Market: market for aluminium hydroxide (GLO)</t>
  </si>
  <si>
    <t>In general, markets for aluminium are well modelled in Ecoinvent. In addition, their markets are more complete than this database, as they account both for regional production and imports. Still, they only provide a global activity for mining. It is still interesting for us to regionalize this.</t>
  </si>
  <si>
    <t>There are three markets: market for aluminium, primary, ingot (RoW)//(IAI Area, North America)//(IAI Area, EU27 &amp; EFTA)</t>
  </si>
  <si>
    <t>aluminium production, primary, ingot</t>
  </si>
  <si>
    <t>aluminium, primary, ingot</t>
  </si>
  <si>
    <t>Aluminium, primary, liquid</t>
  </si>
  <si>
    <t>Parent process of "aluminium production, primary, ingot"///Market: market for aluminium, primary, liquid (GLO) ///// I will only be included the prebake path (more modern and sustainable, suitable for pLCA. Additionally, it is already dominant)</t>
  </si>
  <si>
    <t>aluminium production, primary, liquid, prebake</t>
  </si>
  <si>
    <t>aluminium, primary, liquid</t>
  </si>
  <si>
    <t>IAI Area, Gulf Cooperation Council</t>
  </si>
  <si>
    <t>CA</t>
  </si>
  <si>
    <t>IAI Area, Africa</t>
  </si>
  <si>
    <t>beryllium production</t>
  </si>
  <si>
    <t>beryllium</t>
  </si>
  <si>
    <t>There is one market: market for beryllium (GLO)</t>
  </si>
  <si>
    <t>beryllium hydroxide</t>
  </si>
  <si>
    <t>US</t>
  </si>
  <si>
    <t>beryllium hydroxide production</t>
  </si>
  <si>
    <t>Beyond our scope</t>
  </si>
  <si>
    <t>The technological assumption is: 70% comined with zinc - 30% primary production. This is the assumption found in EI</t>
  </si>
  <si>
    <t>primary zinc production from concentrate</t>
  </si>
  <si>
    <t>cadmium</t>
  </si>
  <si>
    <t>cadmium production, primary</t>
  </si>
  <si>
    <t>There is a global market: market for cadmium (GLO)</t>
  </si>
  <si>
    <t>chromite ore concentrate production</t>
  </si>
  <si>
    <t>chromite ore concentrate</t>
  </si>
  <si>
    <t>KZ</t>
  </si>
  <si>
    <t>ID</t>
  </si>
  <si>
    <t>CA-QC</t>
  </si>
  <si>
    <t>cobalt production</t>
  </si>
  <si>
    <t>cobalt hydroxide</t>
  </si>
  <si>
    <t>cobalt sulfate production, from copper mining, economic allocation</t>
  </si>
  <si>
    <t>cobalt sulfate</t>
  </si>
  <si>
    <t>Ask Romain: In China, what's the difference for 'cobalt sulfate production' and 'cobalt sulfate production, from copper mining, economic allocation'. I will be using the second one. I think that is the one added by premise</t>
  </si>
  <si>
    <t>Technological share from Ecoinvent</t>
  </si>
  <si>
    <t>copper-cobalt mining, artisanal</t>
  </si>
  <si>
    <t>copper-cobalt mining, industrial, economic allocation</t>
  </si>
  <si>
    <t>copper-cobalt ore</t>
  </si>
  <si>
    <t>CD</t>
  </si>
  <si>
    <t>cobalt hydroxide, via hydrometallurigcal ore procesing, economic allocation</t>
  </si>
  <si>
    <t>Check with Romain. There is other cobalt ore in Ecoinvent - I choose the one from Arvidsson</t>
  </si>
  <si>
    <t>I assume hydroxide is produced in the mining country. The export occurs in the form of crude cobalt hydroxide</t>
  </si>
  <si>
    <t>gallium production, semiconductor-grade</t>
  </si>
  <si>
    <t>EI models it as an aluminium by-product / It exists a market: market for gallium, semiconductor-grade (GLO)</t>
  </si>
  <si>
    <t>gallium, semiconductor-grade</t>
  </si>
  <si>
    <t>copper concentrate, sulfide ore</t>
  </si>
  <si>
    <t>copper mine operation and beneficiation, sulfide ore</t>
  </si>
  <si>
    <t>AU</t>
  </si>
  <si>
    <t>IN</t>
  </si>
  <si>
    <t>gold-silver mine operation and beneficiation</t>
  </si>
  <si>
    <t>PE</t>
  </si>
  <si>
    <t>CL</t>
  </si>
  <si>
    <t>RU</t>
  </si>
  <si>
    <t>SE</t>
  </si>
  <si>
    <t>ZM</t>
  </si>
  <si>
    <t>zinc mine operation</t>
  </si>
  <si>
    <t>molybdenite mine operation</t>
  </si>
  <si>
    <t>smelting and refining of nickel concentrate, 16% Ni</t>
  </si>
  <si>
    <t>smelting of copper concentrate, sulfide ore</t>
  </si>
  <si>
    <t>copper, anode</t>
  </si>
  <si>
    <t>ZA</t>
  </si>
  <si>
    <t>JP</t>
  </si>
  <si>
    <t>aluminium alloy production, AlLi</t>
  </si>
  <si>
    <t>aluminium alloy production, Metallic Matrix Composite</t>
  </si>
  <si>
    <t>copper, cathode</t>
  </si>
  <si>
    <t>kilogram</t>
  </si>
  <si>
    <t>electrorefining of copper, anode</t>
  </si>
  <si>
    <t>copper production, cathode, solvent extraction and electrowinning process</t>
  </si>
  <si>
    <t>treatment of used cable</t>
  </si>
  <si>
    <t>treatment of copper cake</t>
  </si>
  <si>
    <t>treatment of non-Fe-Co-metals, from used Li-ion battery, pyrometallurgical processing</t>
  </si>
  <si>
    <t>treatment of non-Fe-Co-metals, from used Li-ion battery, hydrometallurgical processing</t>
  </si>
  <si>
    <t>treatment of copper scrap by electrolytic refining</t>
  </si>
  <si>
    <t>RER</t>
  </si>
  <si>
    <t>treatment of metal part of electronics scrap, in copper, anode, by electrolytic refining</t>
  </si>
  <si>
    <t>platinum group metal mine operation, ore with high palladium content</t>
  </si>
  <si>
    <t>gold mine operation and refining</t>
  </si>
  <si>
    <t>platinum group metal, extraction and refinery operations</t>
  </si>
  <si>
    <t>Without treatment processes</t>
  </si>
  <si>
    <t>New share</t>
  </si>
  <si>
    <t>Old share</t>
  </si>
  <si>
    <t>BGS share * EI share (without secondary sources)</t>
  </si>
  <si>
    <t>We consider the technological shares from Ecoinvent (GLO) for those not specifically representated // EI share * BGS share</t>
  </si>
  <si>
    <t>natural graphite, coated</t>
  </si>
  <si>
    <t>natural graphite production, coated</t>
  </si>
  <si>
    <t>natural graphite spheronization</t>
  </si>
  <si>
    <t>graphite, spherical</t>
  </si>
  <si>
    <t>natural graphite concentration</t>
  </si>
  <si>
    <t>graphite ore, concentrated</t>
  </si>
  <si>
    <t>graphite purification</t>
  </si>
  <si>
    <t>graphite, purified</t>
  </si>
  <si>
    <t>Market: market for graphite, battery grade (CN) // We assume that from mining to refining occurs in the same region</t>
  </si>
  <si>
    <t>We keep the technological shares from EI // BGS share * EI share (copper mine/molybdenite mine)</t>
  </si>
  <si>
    <t>molybdenite</t>
  </si>
  <si>
    <t>IL</t>
  </si>
  <si>
    <t>We assume same shares as mining -&gt; Room for improvement // Market: market for molybdenum (GLO)</t>
  </si>
  <si>
    <t>molybdenum production</t>
  </si>
  <si>
    <t>molybdenum</t>
  </si>
  <si>
    <t>gold production</t>
  </si>
  <si>
    <t>gold</t>
  </si>
  <si>
    <t>BGS shares * EI shares</t>
  </si>
  <si>
    <t>gold-silver mine operation with refinery</t>
  </si>
  <si>
    <t>silver-gold mine operation with refinery</t>
  </si>
  <si>
    <t>PG</t>
  </si>
  <si>
    <t>gold refinery operation</t>
  </si>
  <si>
    <t>TZ</t>
  </si>
  <si>
    <t>processing of anode slime from electrorefining of copper, anode</t>
  </si>
  <si>
    <t>Market: market for gold (GLO) // For those regions not specifically represented in this market in EI, we have kept the technological shares coming from RoW and GLO (excluding secondary sources)</t>
  </si>
  <si>
    <t>Market: market for indium (GLO) // IT IS MISSING THE ENVIRONMENTAL FLOW FOR INDIUM, IN GROUND</t>
  </si>
  <si>
    <t>indium production</t>
  </si>
  <si>
    <t>indium</t>
  </si>
  <si>
    <t>indium rich leaching residues, from zinc production</t>
  </si>
  <si>
    <t>Market: market for indium rich leaching residues, from zinc production (GLO)</t>
  </si>
  <si>
    <t>dolomite production</t>
  </si>
  <si>
    <t>dolomite</t>
  </si>
  <si>
    <t>magnesium production, pidgeon process</t>
  </si>
  <si>
    <t>magnesium</t>
  </si>
  <si>
    <t>magnesium production, electrolysis</t>
  </si>
  <si>
    <t>rhenium</t>
  </si>
  <si>
    <t>Price [$ per kg]</t>
  </si>
  <si>
    <t>Copper</t>
  </si>
  <si>
    <t>Molybdenum</t>
  </si>
  <si>
    <t>Mine [kg/kg ore]</t>
  </si>
  <si>
    <t>Additional inventory - Rhenium was not a product // Allocation done. There is a GLO process in EcoQuery that I do not find in AB</t>
  </si>
  <si>
    <t>manganese concentrate production</t>
  </si>
  <si>
    <t>manganese concentrate</t>
  </si>
  <si>
    <t>lead concentrate</t>
  </si>
  <si>
    <t>silver mine operation with extraction</t>
  </si>
  <si>
    <t>bulk lead-zinc concentrate to generic markets for zinc concentrate and lead concentrate</t>
  </si>
  <si>
    <t>primary lead production from concentrate</t>
  </si>
  <si>
    <t>lead</t>
  </si>
  <si>
    <t>Market: market for lead (GLO) // It includes a significant share coming from secondary sources</t>
  </si>
  <si>
    <t>nickel, class 1</t>
  </si>
  <si>
    <t>smelting and refining of nickel concentrate, 7% Ni</t>
  </si>
  <si>
    <t>processing of nickel-rich materials</t>
  </si>
  <si>
    <t>Double check this. Why does ecoinvent bring so much from cobalt production??</t>
  </si>
  <si>
    <t>nickel mine operation and benefication to nickel concentrate, 7% Ni</t>
  </si>
  <si>
    <t>nickel concentrate, 7% Ni</t>
  </si>
  <si>
    <t>nickel mine operation and benefication to nickel concentrate, 16% Ni</t>
  </si>
  <si>
    <t>nickel concentrate, 16% Ni</t>
  </si>
  <si>
    <t>phosphate rock beneficiation</t>
  </si>
  <si>
    <t>phosphate rock, beneficiated</t>
  </si>
  <si>
    <t>MA</t>
  </si>
  <si>
    <t>market for selenium (GLO)</t>
  </si>
  <si>
    <t>selenium production</t>
  </si>
  <si>
    <t>selenium</t>
  </si>
  <si>
    <t>palladium</t>
  </si>
  <si>
    <t>market for palladium (GLO) // RU if pd &gt; pt</t>
  </si>
  <si>
    <t>platinum</t>
  </si>
  <si>
    <t>platinum group metal concentrate</t>
  </si>
  <si>
    <t>market for platinum group metal concentrate</t>
  </si>
  <si>
    <t>platinum group metal, mine and concentration operations</t>
  </si>
  <si>
    <t>WE NEED TO REGIONALIZE THESE TWO PROCESSES</t>
  </si>
  <si>
    <t>strontium mine operation and beneficiation</t>
  </si>
  <si>
    <t>strontium sulfate, 90% SrSO4</t>
  </si>
  <si>
    <t>ES</t>
  </si>
  <si>
    <t>market for tungsten concentrate (GLO)</t>
  </si>
  <si>
    <t>tungsten mine operation and beneficiation</t>
  </si>
  <si>
    <t>tungsten concentrate</t>
  </si>
  <si>
    <t>uranium mine operation, open cast</t>
  </si>
  <si>
    <t>uranium mine operation, underground</t>
  </si>
  <si>
    <t>uranium ore, as U</t>
  </si>
  <si>
    <t>zinc concentrate</t>
  </si>
  <si>
    <t>market for zinc concentrate (GLO)</t>
  </si>
  <si>
    <t>market for zinc (GLO)</t>
  </si>
  <si>
    <t>zinc</t>
  </si>
  <si>
    <t>tin concentrate</t>
  </si>
  <si>
    <t>tin mine operation</t>
  </si>
  <si>
    <t>market for tin concentrate (GLO)</t>
  </si>
  <si>
    <t>tin production</t>
  </si>
  <si>
    <t>tin</t>
  </si>
  <si>
    <t>tellurium production, semiconductor-grade</t>
  </si>
  <si>
    <t>tellurium, semiconductor-grade</t>
  </si>
  <si>
    <t>market for tellurium, semiconductor-grade (GLO)</t>
  </si>
  <si>
    <t>silver</t>
  </si>
  <si>
    <t>market for silver (GLO)</t>
  </si>
  <si>
    <t>rare earth carbonate concentrate</t>
  </si>
  <si>
    <t>market for rare earth carbonate concentrate (GLO)</t>
  </si>
  <si>
    <t>rare earth element mine operation and beneficiation, ion adsorption clays</t>
  </si>
  <si>
    <t>market for tantalum concentrate, 30% Ta2O5 (GLO)</t>
  </si>
  <si>
    <t>tantalum mine operation and beneficiation</t>
  </si>
  <si>
    <t>tantalum concentrate, 30% Ta2O5</t>
  </si>
  <si>
    <t>RW</t>
  </si>
  <si>
    <t>ferroniobium production, from pyrochlore concentrate, 66% Nb</t>
  </si>
  <si>
    <t>market for ferroniobium, 66% Nb (GLO)</t>
  </si>
  <si>
    <t>ferroniobium, 66% Nb</t>
  </si>
  <si>
    <t>BR</t>
  </si>
  <si>
    <t>pyrochlore concentrate</t>
  </si>
  <si>
    <t>niobium mine operation and beneficiation, from pyrochlore ore</t>
  </si>
  <si>
    <t>pyrochlore</t>
  </si>
  <si>
    <t>market for pyrochlore concentrate (GLO)</t>
  </si>
  <si>
    <t>scandium oxide production, from rare earth tailings</t>
  </si>
  <si>
    <t>CN-NM</t>
  </si>
  <si>
    <t>heavy mineral sand quarry operation</t>
  </si>
  <si>
    <t>ilmenite, 54% titanium dioxide</t>
  </si>
  <si>
    <t>ilmenite - magnetite mine operation</t>
  </si>
  <si>
    <t>heavy mineral sand quarry operation and titania slag production</t>
  </si>
  <si>
    <t>rutile, 95% titanium dioxide</t>
  </si>
  <si>
    <t>rutile production, synthetic, 95% titanium dioxide, Becher process</t>
  </si>
  <si>
    <t>rutile production, synthetic, 95% titanium dioxide, Benelite process</t>
  </si>
  <si>
    <t>lithium carbonate production, from Salar de Atacama</t>
  </si>
  <si>
    <t>lithium carbonate production, from Salar de Cauchari-Olaroz</t>
  </si>
  <si>
    <t>lithium carbonate production, from Salar de Olaroz</t>
  </si>
  <si>
    <t>lithium carbonate production, from Salar del Hombre Muerto</t>
  </si>
  <si>
    <t>lithium carbonate, battery grade</t>
  </si>
  <si>
    <t>AR</t>
  </si>
  <si>
    <t>lithium carbonate production, from Chaerhan salt lake</t>
  </si>
  <si>
    <t>lithium carbonate production, from spodumene</t>
  </si>
  <si>
    <t>lithium carbonate</t>
  </si>
  <si>
    <t>Share from Gao et al. (http://dx.doi.org/10.31035/cg2022088)</t>
  </si>
  <si>
    <t>lithium carbonate, precipitated</t>
  </si>
  <si>
    <t>parent</t>
  </si>
  <si>
    <t>lithium carbonate precipitation 2, from Salar de Olaroz</t>
  </si>
  <si>
    <t>lithium carbonate, precipitated 2</t>
  </si>
  <si>
    <t>lithium carbonate, precipitated 1</t>
  </si>
  <si>
    <t>lithium brine, from evaporation pond</t>
  </si>
  <si>
    <t>lithium brine production, from evaporation pond, from Salar de Olaroz</t>
  </si>
  <si>
    <t>lithium carbonate precipitation 2, from Salar del Hombre Muerto</t>
  </si>
  <si>
    <t>lithium brine, manganese-free</t>
  </si>
  <si>
    <t>lithium carbonate precipitation 1, from Salar del Hombre Muerto</t>
  </si>
  <si>
    <t>lithium brine production, manganese removal, from Salar del Hombre Muerto</t>
  </si>
  <si>
    <t>lithium brine production, boron removal, from Salar del Hombre Muerto</t>
  </si>
  <si>
    <t>lithium brine, boron-free</t>
  </si>
  <si>
    <t>lithium brine production, from evaporation pond, from Salar del Hombre Muerto</t>
  </si>
  <si>
    <t>lithium carbonate precipitation 2, from Salar de Cauchari-Olaroz</t>
  </si>
  <si>
    <t>lithium carbonate precipitation 1, from Salar de Cauchari-Olaroz</t>
  </si>
  <si>
    <t>lithium brine production, sulfate removal, from Salar de Cauchari-Olaroz</t>
  </si>
  <si>
    <t>lithium brine, sulfate-free</t>
  </si>
  <si>
    <t>lithium brine production, lime removal, from Salar de Cauchari-Olaroz</t>
  </si>
  <si>
    <t>lithium brine, lime-free</t>
  </si>
  <si>
    <t>lithium brine production, manganese removal, from Salar de Cauchari-Olaroz</t>
  </si>
  <si>
    <t>lithium brine production, boron removal, from Salar de Cauchari-Olaroz</t>
  </si>
  <si>
    <t>lithium brine production, from evaporation pond, from Salar de Cauchari-Olaroz</t>
  </si>
  <si>
    <t>spodumene</t>
  </si>
  <si>
    <t>spodumene production</t>
  </si>
  <si>
    <t>lithium carbonate precipitation 2</t>
  </si>
  <si>
    <t>lithium carbonate washing</t>
  </si>
  <si>
    <t>lithium carbonate, washed</t>
  </si>
  <si>
    <t>lithium carbonate precipitation 1</t>
  </si>
  <si>
    <t>lithium brine production, lime removal</t>
  </si>
  <si>
    <t>lithium brine production, manganese removal</t>
  </si>
  <si>
    <t>lithium brine production, boron removal</t>
  </si>
  <si>
    <t>lithium brine production, from evaporation pond</t>
  </si>
  <si>
    <t>EI claims to have added this info in v3.9, but I do not find it</t>
  </si>
  <si>
    <t>https://pubs.acs.org/doi/full/10.1021/acs.est.8b02073</t>
  </si>
  <si>
    <t>vanadium pentoxide, production</t>
  </si>
  <si>
    <t>vanadium pentoxide</t>
  </si>
  <si>
    <t>market for iron ore concentrate (GLO)</t>
  </si>
  <si>
    <t>iron ore beneficiation</t>
  </si>
  <si>
    <t>IR</t>
  </si>
  <si>
    <t>NI</t>
  </si>
  <si>
    <t>PA</t>
  </si>
  <si>
    <t>PH</t>
  </si>
  <si>
    <t>TH</t>
  </si>
  <si>
    <t>VE</t>
  </si>
  <si>
    <t>iron ore concentrate</t>
  </si>
  <si>
    <t>iron ore mine operation and beneficiation</t>
  </si>
  <si>
    <t>kilowatt hour</t>
  </si>
  <si>
    <t>electricity, medium voltage</t>
  </si>
  <si>
    <t>market for electricity, medium voltage</t>
  </si>
  <si>
    <t>AM</t>
  </si>
  <si>
    <t>AZ</t>
  </si>
  <si>
    <t>BD</t>
  </si>
  <si>
    <t>BH</t>
  </si>
  <si>
    <t>BN</t>
  </si>
  <si>
    <t>CY</t>
  </si>
  <si>
    <t>GE</t>
  </si>
  <si>
    <t>HK</t>
  </si>
  <si>
    <t>JO</t>
  </si>
  <si>
    <t>KG</t>
  </si>
  <si>
    <t>KH</t>
  </si>
  <si>
    <t>KP</t>
  </si>
  <si>
    <t>KR</t>
  </si>
  <si>
    <t>LB</t>
  </si>
  <si>
    <t>LK</t>
  </si>
  <si>
    <t>MM</t>
  </si>
  <si>
    <t>MN</t>
  </si>
  <si>
    <t>MY</t>
  </si>
  <si>
    <t>NP</t>
  </si>
  <si>
    <t>NZ</t>
  </si>
  <si>
    <t>OM</t>
  </si>
  <si>
    <t>PK</t>
  </si>
  <si>
    <t>QA</t>
  </si>
  <si>
    <t>SG</t>
  </si>
  <si>
    <t>SY</t>
  </si>
  <si>
    <t>TJ</t>
  </si>
  <si>
    <t>TM</t>
  </si>
  <si>
    <t>TR</t>
  </si>
  <si>
    <t>TW</t>
  </si>
  <si>
    <t>UZ</t>
  </si>
  <si>
    <t>VN</t>
  </si>
  <si>
    <t>YE</t>
  </si>
  <si>
    <t>market group for electricity, medium voltage</t>
  </si>
  <si>
    <t>RAF</t>
  </si>
  <si>
    <t>RLA</t>
  </si>
  <si>
    <t>RME</t>
  </si>
  <si>
    <t>Share</t>
  </si>
  <si>
    <t>vanadium-titanomagnetite mine operation and beneficiation</t>
  </si>
  <si>
    <t>rare earth element mine operation and beneficiation, bastnaesite and monazite ore</t>
  </si>
  <si>
    <t>rare earth oxides production, from rare earth oxide concentrate, 70% REO</t>
  </si>
  <si>
    <t>Share of CN in RoW: 0.330538489833607</t>
  </si>
  <si>
    <t>CN-SC</t>
  </si>
  <si>
    <t>iron ore beneficiation, RoW</t>
  </si>
  <si>
    <t>BO</t>
  </si>
  <si>
    <t>CO</t>
  </si>
  <si>
    <t>CR</t>
  </si>
  <si>
    <t>CU</t>
  </si>
  <si>
    <t>CW</t>
  </si>
  <si>
    <t>DO</t>
  </si>
  <si>
    <t>EC</t>
  </si>
  <si>
    <t>GT</t>
  </si>
  <si>
    <t>HN</t>
  </si>
  <si>
    <t>HT</t>
  </si>
  <si>
    <t>JM</t>
  </si>
  <si>
    <t>MX</t>
  </si>
  <si>
    <t>PY</t>
  </si>
  <si>
    <t>SV</t>
  </si>
  <si>
    <t>TT</t>
  </si>
  <si>
    <t>US-PR</t>
  </si>
  <si>
    <t>UY</t>
  </si>
  <si>
    <t>niobium mine operation and beneficiation, from pyrochlore ore, RoW</t>
  </si>
  <si>
    <t>Share of RU in RoW: 0.475037028128714</t>
  </si>
  <si>
    <t>Share of RU in RoW: 0.0423830486231445</t>
  </si>
  <si>
    <t>pig iron production</t>
  </si>
  <si>
    <t>pig iron</t>
  </si>
  <si>
    <t>SA</t>
  </si>
  <si>
    <t>pig iron production, RoW</t>
  </si>
  <si>
    <t>cubic meter</t>
  </si>
  <si>
    <t>natural gas, high pressure</t>
  </si>
  <si>
    <t>market for natural gas, high pressure</t>
  </si>
  <si>
    <t>AE</t>
  </si>
  <si>
    <t>DZ</t>
  </si>
  <si>
    <t>IQ</t>
  </si>
  <si>
    <t>KW</t>
  </si>
  <si>
    <t>LY</t>
  </si>
  <si>
    <t>NG</t>
  </si>
  <si>
    <t>Share of CN in RoW: 0.056281456328563</t>
  </si>
  <si>
    <t>germanium, concentrate</t>
  </si>
  <si>
    <t>colemanite mine operation and beneficiation</t>
  </si>
  <si>
    <t>calcium borates</t>
  </si>
  <si>
    <t>EI distinguishes between calcium borates (colemanite) and sodium borates (probably tincal). However BGS and USGS only give information for borates aggregated. We assume the same shares for them both, but it is probable that US has a greater share of sodium borates production</t>
  </si>
  <si>
    <t>sodium borates</t>
  </si>
  <si>
    <t>sodium borate mine operation and beneficiation</t>
  </si>
  <si>
    <t>I have changed the name to chromite ore concentrate for it to match Ecoinvent</t>
  </si>
  <si>
    <t>stibnite mine operation and beneficiation</t>
  </si>
  <si>
    <t>stibnite concentrate</t>
  </si>
  <si>
    <t>I changed the name from cobalt, refined to cobalt sulfate - Check this is correct</t>
  </si>
  <si>
    <r>
      <t xml:space="preserve">market: </t>
    </r>
    <r>
      <rPr>
        <b/>
        <sz val="11"/>
        <color theme="1"/>
        <rFont val="Calibri"/>
        <family val="2"/>
        <scheme val="minor"/>
      </rPr>
      <t>market for copper concentrate, sulfide ore(GLO) /// BGS: copper, mine</t>
    </r>
  </si>
  <si>
    <t>BGS: copper, smelter</t>
  </si>
  <si>
    <t>We do not consider secondary sources yet. We keep the technological shares from Ecoinvent // Double check copper coming from tailings // BGS: copper, refining</t>
  </si>
  <si>
    <t>BGS: gallium</t>
  </si>
  <si>
    <t>BGS: Gold, mine</t>
  </si>
  <si>
    <t>Gold</t>
  </si>
  <si>
    <t>BGS: lead, mine</t>
  </si>
  <si>
    <t>BGS: lead, refined</t>
  </si>
  <si>
    <t>BGS: Magnesite</t>
  </si>
  <si>
    <t>BGS: Manganese, ore</t>
  </si>
  <si>
    <t>BGS: molybdenum, mine</t>
  </si>
  <si>
    <t>BGS: Nickel, mine</t>
  </si>
  <si>
    <t>nickel concentrate</t>
  </si>
  <si>
    <t>BGS: Nickel, smelter-refiner</t>
  </si>
  <si>
    <t>BGS: REE oxides</t>
  </si>
  <si>
    <t>Selenium</t>
  </si>
  <si>
    <t>Silver</t>
  </si>
  <si>
    <t>BGS: Silver, mine</t>
  </si>
  <si>
    <t>BGS: strontium, mineral</t>
  </si>
  <si>
    <t>BGS: Niobium</t>
  </si>
  <si>
    <t>BGS: tantalum</t>
  </si>
  <si>
    <t>BGS: tellurium, refined</t>
  </si>
  <si>
    <t>BGS: tin, mine</t>
  </si>
  <si>
    <t>BGS: Tin, smelter</t>
  </si>
  <si>
    <t>BGS: ilmenite</t>
  </si>
  <si>
    <t>BGS: rutile</t>
  </si>
  <si>
    <t>BGS: tungsten, mine</t>
  </si>
  <si>
    <t>BGS: uranium</t>
  </si>
  <si>
    <t>BGS: vanadium, mine</t>
  </si>
  <si>
    <t>BGS: zinc, mine</t>
  </si>
  <si>
    <t>BGS: zinc, slab</t>
  </si>
  <si>
    <t>lithium carbonate precipitation 1, from Salar de Olaroz</t>
  </si>
  <si>
    <t>BGS: Antimony</t>
  </si>
  <si>
    <t>BGS: Alumina (Al2O3)</t>
  </si>
  <si>
    <t>BGS: aluminium, primary</t>
  </si>
  <si>
    <t>zircon</t>
  </si>
  <si>
    <t>mine infrastructure, bauxite</t>
  </si>
  <si>
    <t>recultivation, bauxite mine</t>
  </si>
  <si>
    <t>mine construction, bauxite</t>
  </si>
  <si>
    <t>These values are not coming from BGS but from van den Brink (2022)</t>
  </si>
  <si>
    <t>antimony</t>
  </si>
  <si>
    <t>antimony production</t>
  </si>
  <si>
    <t>Mining</t>
  </si>
  <si>
    <t>Refining</t>
  </si>
  <si>
    <t>Aluminium</t>
  </si>
  <si>
    <t>Antimony</t>
  </si>
  <si>
    <t>Beryllium</t>
  </si>
  <si>
    <t>Boron</t>
  </si>
  <si>
    <t>Brass</t>
  </si>
  <si>
    <t>Cerium</t>
  </si>
  <si>
    <t>Chromium</t>
  </si>
  <si>
    <t>Cobalt</t>
  </si>
  <si>
    <t>Dysprosium</t>
  </si>
  <si>
    <t>Erbium</t>
  </si>
  <si>
    <t>Europium</t>
  </si>
  <si>
    <t>Gadolinium</t>
  </si>
  <si>
    <t>Germanium</t>
  </si>
  <si>
    <t>Graphite</t>
  </si>
  <si>
    <t>Hafnium</t>
  </si>
  <si>
    <t>Indium</t>
  </si>
  <si>
    <t>Iridium</t>
  </si>
  <si>
    <t>Lanthanum</t>
  </si>
  <si>
    <t>Lead</t>
  </si>
  <si>
    <t>Lithium</t>
  </si>
  <si>
    <t>Magnesium</t>
  </si>
  <si>
    <t>Manganese</t>
  </si>
  <si>
    <t>Neodymium</t>
  </si>
  <si>
    <t>Nickel</t>
  </si>
  <si>
    <t>Niobium</t>
  </si>
  <si>
    <t>Palladium</t>
  </si>
  <si>
    <t>Phosphorous</t>
  </si>
  <si>
    <t>Platinum</t>
  </si>
  <si>
    <t>Potassium</t>
  </si>
  <si>
    <t>Praseodymium</t>
  </si>
  <si>
    <t>Rhodium</t>
  </si>
  <si>
    <t>Ruthenium</t>
  </si>
  <si>
    <t>Rubidium</t>
  </si>
  <si>
    <t>Samarium</t>
  </si>
  <si>
    <t>Scandium</t>
  </si>
  <si>
    <t>Silicon</t>
  </si>
  <si>
    <t>Sulfur</t>
  </si>
  <si>
    <t>Strontium</t>
  </si>
  <si>
    <t>Tantalum</t>
  </si>
  <si>
    <t>Tellurium</t>
  </si>
  <si>
    <t>Terbium</t>
  </si>
  <si>
    <t>Tin</t>
  </si>
  <si>
    <t>Titanium</t>
  </si>
  <si>
    <t>Tungsten</t>
  </si>
  <si>
    <t>Vanadium</t>
  </si>
  <si>
    <t>Ytterbium</t>
  </si>
  <si>
    <t>Yttrium</t>
  </si>
  <si>
    <t>Zinc</t>
  </si>
  <si>
    <t>Zirconium</t>
  </si>
  <si>
    <t>Yes, as bauxite</t>
  </si>
  <si>
    <t>Yes, from BGS</t>
  </si>
  <si>
    <t>Yes, from van den Brink (2022)</t>
  </si>
  <si>
    <t>No</t>
  </si>
  <si>
    <t>Bloomberg also provides future shares</t>
  </si>
  <si>
    <t>We take the shares from Ecoinvent</t>
  </si>
  <si>
    <t>Iron</t>
  </si>
  <si>
    <t>Recycling LCI?</t>
  </si>
  <si>
    <t>Disaggregated data coming from BGS /// The creation of markets is not working right</t>
  </si>
  <si>
    <t>We assume same shares // Most beryl is mined in China and USA, and these are the countries with refining capacities (see USGS report). Adding more detailed refining shares wouldn’t add too much information</t>
  </si>
  <si>
    <t>Specific landfill</t>
  </si>
  <si>
    <t>Yes?</t>
  </si>
  <si>
    <t>It is an copper-zinc alloy, we are already covering these two metals</t>
  </si>
  <si>
    <t>Ecoinvent provides a unique process for mining and refining // We keep the Ecoinvent shares for processing to "semiconductor grade"</t>
  </si>
  <si>
    <t>Ecoinvent</t>
  </si>
  <si>
    <t>https://doi.org/10.1016/j.jclepro.2021.129932</t>
  </si>
  <si>
    <t>Refining of REE</t>
  </si>
  <si>
    <t>Yes - Ilankoon et al. (2022)</t>
  </si>
  <si>
    <t>There is a process for tailings</t>
  </si>
  <si>
    <t>REE</t>
  </si>
  <si>
    <t xml:space="preserve">Ecoinvent provides a unique process for mining and refining </t>
  </si>
  <si>
    <t>Byproduct of zinc. Only produced in CN, RU and USA</t>
  </si>
  <si>
    <t>I do not find specific information for each phase // Reports such as https://hcss.nl/wp-content/uploads/2022/03/Graphite-Challenges-and-Recommendations-HCSS-2022.pdf also use the shares of graphite without making distinctions</t>
  </si>
  <si>
    <t>We keep the shares from Ecoinvent // Mining and refining are modelled together, coming from RU and ZA</t>
  </si>
  <si>
    <t>BNEF provides refining/mining shares up to 2030</t>
  </si>
  <si>
    <t>To be done!!</t>
  </si>
  <si>
    <t>Refining shares from RMIS - https://rmis.jrc.ec.europa.eu/rmp/Manganese</t>
  </si>
  <si>
    <t>Ecoinvent differentiates two processes, but I do not find detailed information</t>
  </si>
  <si>
    <t>potash salt</t>
  </si>
  <si>
    <t>potash salt production</t>
  </si>
  <si>
    <t xml:space="preserve">We have a unique process for mining and refining </t>
  </si>
  <si>
    <t>https://rmis.jrc.ec.europa.eu/rmp/Niobium  provides slightly more detailed information on the refining. The changes are not significat and we keep the shares constant</t>
  </si>
  <si>
    <t>no</t>
  </si>
  <si>
    <t>No data found - we leave it outside</t>
  </si>
  <si>
    <t>Refining shares from RmIS -https://rmis.jrc.ec.europa.eu/rmp/Titanium%20metal</t>
  </si>
  <si>
    <t>Denmark</t>
  </si>
  <si>
    <t>Lithuania</t>
  </si>
  <si>
    <t>Trinidad &amp; Tobago</t>
  </si>
  <si>
    <t>Turkmenistan</t>
  </si>
  <si>
    <t>sulfur</t>
  </si>
  <si>
    <t>sulfur production, petroleum refinery operation</t>
  </si>
  <si>
    <t>Europe without Switzerland</t>
  </si>
  <si>
    <t>Done</t>
  </si>
  <si>
    <t>titanium</t>
  </si>
  <si>
    <t>titanium production</t>
  </si>
  <si>
    <t>titanium sponge production, from titanium tetrachloride</t>
  </si>
  <si>
    <t>titanium sponge</t>
  </si>
  <si>
    <t>titanium tetrachloride production</t>
  </si>
  <si>
    <t>titanium tetrachloride</t>
  </si>
  <si>
    <t>PARENT</t>
  </si>
  <si>
    <t>electrolysis of magnesium chloride, from titanium sponge production</t>
  </si>
  <si>
    <t>magnesium, for reuse in titanium sponge production</t>
  </si>
  <si>
    <t>Refining shares from RMIS -https://rmis.jrc.ec.europa.eu/rmp/Vanadium</t>
  </si>
  <si>
    <t>Silica shares from USGS (sand and gravel) // Refining shares from USGS (Silicon Metal)</t>
  </si>
  <si>
    <t>silica sand</t>
  </si>
  <si>
    <t>silica sand production</t>
  </si>
  <si>
    <t>DE</t>
  </si>
  <si>
    <t>sand</t>
  </si>
  <si>
    <t>sand quarry operation, extraction from river bed</t>
  </si>
  <si>
    <t>gravel and sand quarry operation</t>
  </si>
  <si>
    <t>silicon, metallurgical grade</t>
  </si>
  <si>
    <t>silicon production, metallurgical grade</t>
  </si>
  <si>
    <t>NO</t>
  </si>
  <si>
    <t>APAC</t>
  </si>
  <si>
    <t>vanadium bearing magnetite</t>
  </si>
  <si>
    <t>vanadium bearing magnetite, production</t>
  </si>
  <si>
    <t>European Union</t>
  </si>
  <si>
    <t>*** Deal with this geography region</t>
  </si>
  <si>
    <t>manganese</t>
  </si>
  <si>
    <t>manganese production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</si>
</sst>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0000"/>
  </numFmts>
  <fonts count="9" x14ac:knownFonts="1">
    <font>
      <sz val="11"/>
      <color theme="1"/>
      <name val="Calibri"/>
      <family val="2"/>
      <scheme val="minor"/>
    </font>
    <font>
      <b/>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0"/>
      <name val="Calibri"/>
      <family val="2"/>
      <scheme val="minor"/>
    </font>
    <font>
      <u/>
      <sz val="11"/>
      <color theme="10"/>
      <name val="Calibri"/>
      <family val="2"/>
      <scheme val="minor"/>
    </font>
    <font>
      <sz val="12"/>
      <color theme="1"/>
      <name val="Calibri"/>
      <family val="2"/>
      <scheme val="minor"/>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
      <patternFill patternType="solid">
        <fgColor rgb="FFA5A5A5"/>
      </patternFill>
    </fill>
  </fills>
  <borders count="4">
    <border>
      <left/>
      <right/>
      <top/>
      <bottom/>
      <diagonal/>
    </border>
    <border>
      <left style="thin">
        <color auto="1"/>
      </left>
      <right style="thin">
        <color auto="1"/>
      </right>
      <top/>
      <bottom style="thin">
        <color auto="1"/>
      </bottom>
      <diagonal/>
    </border>
    <border>
      <left style="double">
        <color rgb="FF3F3F3F"/>
      </left>
      <right style="double">
        <color rgb="FF3F3F3F"/>
      </right>
      <top style="double">
        <color rgb="FF3F3F3F"/>
      </top>
      <bottom style="double">
        <color rgb="FF3F3F3F"/>
      </bottom>
      <diagonal/>
    </border>
    <border>
      <left/>
      <right/>
      <top style="thin">
        <color theme="4" tint="0.39997558519241921"/>
      </top>
      <bottom style="thin">
        <color theme="4" tint="0.39997558519241921"/>
      </bottom>
      <diagonal/>
    </border>
  </borders>
  <cellStyleXfs count="8">
    <xf numFmtId="0" fontId="0" fillId="0" borderId="0"/>
    <xf numFmtId="9" fontId="2" fillId="0" borderId="0" applyFont="0" applyFill="0" applyBorder="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6" borderId="2" applyNumberFormat="0" applyAlignment="0" applyProtection="0"/>
    <xf numFmtId="0" fontId="7" fillId="0" borderId="0" applyNumberFormat="0" applyFill="0" applyBorder="0" applyAlignment="0" applyProtection="0"/>
    <xf numFmtId="0" fontId="8" fillId="0" borderId="0"/>
  </cellStyleXfs>
  <cellXfs count="35">
    <xf numFmtId="0" fontId="0" fillId="0" borderId="0" xfId="0"/>
    <xf numFmtId="0" fontId="1" fillId="0" borderId="1" xfId="0" applyFont="1" applyBorder="1" applyAlignment="1">
      <alignment horizontal="center" vertical="top"/>
    </xf>
    <xf numFmtId="9" fontId="0" fillId="0" borderId="0" xfId="1" applyFont="1"/>
    <xf numFmtId="10" fontId="1" fillId="0" borderId="1" xfId="1" applyNumberFormat="1" applyFont="1" applyBorder="1" applyAlignment="1">
      <alignment horizontal="center" vertical="top"/>
    </xf>
    <xf numFmtId="10" fontId="0" fillId="0" borderId="0" xfId="1" applyNumberFormat="1" applyFont="1"/>
    <xf numFmtId="0" fontId="0" fillId="0" borderId="0" xfId="0" applyAlignment="1">
      <alignment wrapText="1"/>
    </xf>
    <xf numFmtId="0" fontId="0" fillId="0" borderId="0" xfId="0" applyFont="1"/>
    <xf numFmtId="10" fontId="0" fillId="0" borderId="0" xfId="0" applyNumberFormat="1"/>
    <xf numFmtId="10" fontId="0" fillId="0" borderId="0" xfId="1" applyNumberFormat="1" applyFont="1" applyAlignment="1">
      <alignment horizontal="left"/>
    </xf>
    <xf numFmtId="11" fontId="0" fillId="0" borderId="0" xfId="0" applyNumberFormat="1"/>
    <xf numFmtId="164" fontId="0" fillId="0" borderId="0" xfId="0" applyNumberFormat="1"/>
    <xf numFmtId="11" fontId="4" fillId="3" borderId="0" xfId="3" applyNumberFormat="1"/>
    <xf numFmtId="0" fontId="4" fillId="3" borderId="0" xfId="3"/>
    <xf numFmtId="0" fontId="3" fillId="2" borderId="0" xfId="2"/>
    <xf numFmtId="11" fontId="3" fillId="2" borderId="0" xfId="2" applyNumberFormat="1"/>
    <xf numFmtId="0" fontId="5" fillId="4" borderId="0" xfId="4"/>
    <xf numFmtId="11" fontId="5" fillId="4" borderId="0" xfId="4" applyNumberFormat="1"/>
    <xf numFmtId="9" fontId="0" fillId="0" borderId="0" xfId="0" applyNumberFormat="1"/>
    <xf numFmtId="0" fontId="0" fillId="5" borderId="0" xfId="0" applyFill="1"/>
    <xf numFmtId="0" fontId="1" fillId="0" borderId="0" xfId="0" applyFont="1"/>
    <xf numFmtId="9" fontId="3" fillId="2" borderId="0" xfId="2" applyNumberFormat="1"/>
    <xf numFmtId="9" fontId="0" fillId="0" borderId="0" xfId="1" applyNumberFormat="1" applyFont="1"/>
    <xf numFmtId="0" fontId="1" fillId="0" borderId="0" xfId="0" applyFont="1" applyBorder="1" applyAlignment="1">
      <alignment horizontal="center" vertical="top"/>
    </xf>
    <xf numFmtId="10" fontId="2" fillId="0" borderId="0" xfId="1" applyNumberFormat="1" applyFont="1" applyBorder="1" applyAlignment="1">
      <alignment horizontal="right" vertical="top"/>
    </xf>
    <xf numFmtId="0" fontId="0" fillId="0" borderId="0" xfId="0" applyFont="1" applyBorder="1" applyAlignment="1">
      <alignment horizontal="left" vertical="center"/>
    </xf>
    <xf numFmtId="0" fontId="0" fillId="0" borderId="0" xfId="0" applyFont="1" applyBorder="1" applyAlignment="1">
      <alignment horizontal="left" vertical="top"/>
    </xf>
    <xf numFmtId="0" fontId="7" fillId="0" borderId="0" xfId="6"/>
    <xf numFmtId="0" fontId="6" fillId="6" borderId="2" xfId="5"/>
    <xf numFmtId="0" fontId="0" fillId="0" borderId="0" xfId="0" applyFill="1" applyBorder="1"/>
    <xf numFmtId="0" fontId="8" fillId="0" borderId="0" xfId="7" applyNumberFormat="1"/>
    <xf numFmtId="0" fontId="0" fillId="0" borderId="0" xfId="0" applyNumberFormat="1"/>
    <xf numFmtId="0" fontId="8" fillId="0" borderId="3" xfId="7" applyNumberFormat="1" applyFont="1" applyBorder="1" applyAlignment="1"/>
    <xf numFmtId="0" fontId="8" fillId="0" borderId="0" xfId="7" applyNumberFormat="1" applyBorder="1"/>
    <xf numFmtId="0" fontId="0" fillId="0" borderId="0" xfId="0" applyNumberFormat="1" applyBorder="1"/>
    <xf numFmtId="0" fontId="0" fillId="0" borderId="0" xfId="0" applyBorder="1"/>
  </cellXfs>
  <cellStyles count="8">
    <cellStyle name="Bad" xfId="3" builtinId="27"/>
    <cellStyle name="Check Cell" xfId="5" builtinId="23"/>
    <cellStyle name="Good" xfId="2" builtinId="26"/>
    <cellStyle name="Hyperlink" xfId="6" builtinId="8"/>
    <cellStyle name="Neutral" xfId="4" builtinId="28"/>
    <cellStyle name="Normal" xfId="0" builtinId="0"/>
    <cellStyle name="Normal 2" xfId="7"/>
    <cellStyle name="Percent" xfId="1" builtinId="5"/>
  </cellStyles>
  <dxfs count="38">
    <dxf>
      <fill>
        <patternFill>
          <bgColor rgb="FFFFCC00"/>
        </patternFill>
      </fill>
    </dxf>
    <dxf>
      <fill>
        <patternFill>
          <bgColor theme="6" tint="0.59996337778862885"/>
        </patternFill>
      </fill>
    </dxf>
    <dxf>
      <fill>
        <patternFill>
          <bgColor theme="9" tint="0.59996337778862885"/>
        </patternFill>
      </fill>
    </dxf>
    <dxf>
      <fill>
        <patternFill>
          <bgColor rgb="FFFFCC00"/>
        </patternFill>
      </fill>
    </dxf>
    <dxf>
      <fill>
        <patternFill>
          <bgColor theme="6" tint="0.59996337778862885"/>
        </patternFill>
      </fill>
    </dxf>
    <dxf>
      <fill>
        <patternFill>
          <bgColor theme="9" tint="0.59996337778862885"/>
        </patternFill>
      </fill>
    </dxf>
    <dxf>
      <fill>
        <patternFill>
          <bgColor rgb="FFFFCC00"/>
        </patternFill>
      </fill>
    </dxf>
    <dxf>
      <fill>
        <patternFill>
          <bgColor theme="6" tint="0.59996337778862885"/>
        </patternFill>
      </fill>
    </dxf>
    <dxf>
      <fill>
        <patternFill>
          <bgColor theme="9" tint="0.59996337778862885"/>
        </patternFill>
      </fill>
    </dxf>
    <dxf>
      <fill>
        <patternFill>
          <bgColor rgb="FFFFCC00"/>
        </patternFill>
      </fill>
    </dxf>
    <dxf>
      <fill>
        <patternFill>
          <bgColor theme="6" tint="0.59996337778862885"/>
        </patternFill>
      </fill>
    </dxf>
    <dxf>
      <fill>
        <patternFill>
          <bgColor theme="9" tint="0.59996337778862885"/>
        </patternFill>
      </fill>
    </dxf>
    <dxf>
      <fill>
        <patternFill>
          <bgColor rgb="FFFFCC00"/>
        </patternFill>
      </fill>
    </dxf>
    <dxf>
      <fill>
        <patternFill>
          <bgColor theme="6" tint="0.59996337778862885"/>
        </patternFill>
      </fill>
    </dxf>
    <dxf>
      <fill>
        <patternFill>
          <bgColor theme="9" tint="0.59996337778862885"/>
        </patternFill>
      </fill>
    </dxf>
    <dxf>
      <fill>
        <patternFill>
          <bgColor rgb="FFFFCC00"/>
        </patternFill>
      </fill>
    </dxf>
    <dxf>
      <fill>
        <patternFill>
          <bgColor theme="6" tint="0.59996337778862885"/>
        </patternFill>
      </fill>
    </dxf>
    <dxf>
      <fill>
        <patternFill>
          <bgColor theme="9" tint="0.59996337778862885"/>
        </patternFill>
      </fill>
    </dxf>
    <dxf>
      <fill>
        <patternFill>
          <bgColor rgb="FFFFCC00"/>
        </patternFill>
      </fill>
    </dxf>
    <dxf>
      <fill>
        <patternFill>
          <bgColor theme="6" tint="0.59996337778862885"/>
        </patternFill>
      </fill>
    </dxf>
    <dxf>
      <fill>
        <patternFill>
          <bgColor theme="9" tint="0.59996337778862885"/>
        </patternFill>
      </fill>
    </dxf>
    <dxf>
      <fill>
        <patternFill>
          <bgColor rgb="FFFFCC00"/>
        </patternFill>
      </fill>
    </dxf>
    <dxf>
      <fill>
        <patternFill>
          <bgColor theme="6" tint="0.59996337778862885"/>
        </patternFill>
      </fill>
    </dxf>
    <dxf>
      <fill>
        <patternFill>
          <bgColor theme="9" tint="0.59996337778862885"/>
        </patternFill>
      </fill>
    </dxf>
    <dxf>
      <fill>
        <patternFill>
          <bgColor rgb="FFFFCC00"/>
        </patternFill>
      </fill>
    </dxf>
    <dxf>
      <fill>
        <patternFill>
          <bgColor theme="6" tint="0.59996337778862885"/>
        </patternFill>
      </fill>
    </dxf>
    <dxf>
      <fill>
        <patternFill>
          <bgColor theme="9" tint="0.59996337778862885"/>
        </patternFill>
      </fill>
    </dxf>
    <dxf>
      <fill>
        <patternFill>
          <bgColor theme="6" tint="0.59996337778862885"/>
        </patternFill>
      </fill>
    </dxf>
    <dxf>
      <fill>
        <patternFill>
          <bgColor theme="9" tint="0.59996337778862885"/>
        </patternFill>
      </fill>
    </dxf>
    <dxf>
      <fill>
        <patternFill>
          <bgColor theme="6" tint="0.59996337778862885"/>
        </patternFill>
      </fill>
    </dxf>
    <dxf>
      <fill>
        <patternFill>
          <bgColor theme="9" tint="0.59996337778862885"/>
        </patternFill>
      </fill>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14" formatCode="0.00%"/>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colors>
    <mruColors>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28575</xdr:colOff>
      <xdr:row>1</xdr:row>
      <xdr:rowOff>66675</xdr:rowOff>
    </xdr:from>
    <xdr:to>
      <xdr:col>25</xdr:col>
      <xdr:colOff>448925</xdr:colOff>
      <xdr:row>37</xdr:row>
      <xdr:rowOff>115264</xdr:rowOff>
    </xdr:to>
    <xdr:pic>
      <xdr:nvPicPr>
        <xdr:cNvPr id="2" name="Picture 1"/>
        <xdr:cNvPicPr>
          <a:picLocks noChangeAspect="1"/>
        </xdr:cNvPicPr>
      </xdr:nvPicPr>
      <xdr:blipFill>
        <a:blip xmlns:r="http://schemas.openxmlformats.org/officeDocument/2006/relationships" r:embed="rId1"/>
        <a:stretch>
          <a:fillRect/>
        </a:stretch>
      </xdr:blipFill>
      <xdr:spPr>
        <a:xfrm>
          <a:off x="6734175" y="257175"/>
          <a:ext cx="8954750" cy="6906589"/>
        </a:xfrm>
        <a:prstGeom prst="rect">
          <a:avLst/>
        </a:prstGeom>
      </xdr:spPr>
    </xdr:pic>
    <xdr:clientData/>
  </xdr:twoCellAnchor>
</xdr:wsDr>
</file>

<file path=xl/tables/table1.xml><?xml version="1.0" encoding="utf-8"?>
<table xmlns="http://schemas.openxmlformats.org/spreadsheetml/2006/main" id="1" name="Table1" displayName="Table1" ref="A1:H3241" totalsRowShown="0" headerRowDxfId="37" headerRowBorderDxfId="36" tableBorderDxfId="35">
  <autoFilter ref="A1:H3241"/>
  <tableColumns count="8">
    <tableColumn id="1" name="Metal"/>
    <tableColumn id="2" name="Country"/>
    <tableColumn id="14" name="Share_2017_2021" dataDxfId="34" dataCellStyle="Percent"/>
    <tableColumn id="15" name="Region"/>
    <tableColumn id="16" name="Process"/>
    <tableColumn id="17" name="Reference product"/>
    <tableColumn id="18" name="Work done"/>
    <tableColumn id="19" name="Comment"/>
  </tableColumns>
  <tableStyleInfo name="TableStyleMedium9" showFirstColumn="0" showLastColumn="0" showRowStripes="1" showColumnStripes="0"/>
</table>
</file>

<file path=xl/tables/table2.xml><?xml version="1.0" encoding="utf-8"?>
<table xmlns="http://schemas.openxmlformats.org/spreadsheetml/2006/main" id="2" name="Table2" displayName="Table2" ref="A1:N1507" totalsRowShown="0" headerRowDxfId="33" headerRowBorderDxfId="32" tableBorderDxfId="31">
  <autoFilter ref="A1:N1507">
    <filterColumn colId="0">
      <filters>
        <filter val="Nickel, mine"/>
        <filter val="Nickel, smelter-refiner"/>
      </filters>
    </filterColumn>
  </autoFilter>
  <sortState ref="A2:N1507">
    <sortCondition descending="1" ref="A1:A1507"/>
  </sortState>
  <tableColumns count="14">
    <tableColumn id="1" name="Metal"/>
    <tableColumn id="2" name="Country"/>
    <tableColumn id="3" name="Year 2012"/>
    <tableColumn id="4" name="Year 2013"/>
    <tableColumn id="5" name="Year 2014"/>
    <tableColumn id="6" name="Year 2015"/>
    <tableColumn id="7" name="Year 2016"/>
    <tableColumn id="8" name="Year 2017"/>
    <tableColumn id="9" name="Year 2018"/>
    <tableColumn id="10" name="Year 2019"/>
    <tableColumn id="11" name="Year 2020"/>
    <tableColumn id="12" name="Year 2021"/>
    <tableColumn id="13" name="Sum_2017_2021"/>
    <tableColumn id="14" name="Share_2017_2021" dataCellStyle="Percent"/>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rmis.jrc.ec.europa.eu/rmp/Niobium%20%20provides%20slightly%20more%20detailed%20information%20on%20the%20refining.%20The%20changes%20are%20not%20significat%20and%20we%20keep%20the%20shares%20constant"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doi.org/10.1016/j.jclepro.2021.12993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41"/>
  <sheetViews>
    <sheetView tabSelected="1" topLeftCell="A373" zoomScale="85" zoomScaleNormal="85" workbookViewId="0">
      <selection activeCell="E2117" sqref="E2117"/>
    </sheetView>
  </sheetViews>
  <sheetFormatPr defaultRowHeight="15" x14ac:dyDescent="0.25"/>
  <cols>
    <col min="1" max="1" width="47.42578125" bestFit="1" customWidth="1"/>
    <col min="2" max="2" width="26.28515625" bestFit="1" customWidth="1"/>
    <col min="3" max="3" width="20.7109375" style="4" bestFit="1" customWidth="1"/>
    <col min="4" max="4" width="36.28515625" bestFit="1" customWidth="1"/>
    <col min="5" max="5" width="84" bestFit="1" customWidth="1"/>
    <col min="6" max="6" width="47.42578125" bestFit="1" customWidth="1"/>
    <col min="7" max="7" width="18.140625" bestFit="1" customWidth="1"/>
    <col min="8" max="8" width="255.7109375" bestFit="1" customWidth="1"/>
    <col min="11" max="11" width="11.5703125" bestFit="1" customWidth="1"/>
  </cols>
  <sheetData>
    <row r="1" spans="1:8" x14ac:dyDescent="0.25">
      <c r="A1" s="1" t="s">
        <v>0</v>
      </c>
      <c r="B1" s="1" t="s">
        <v>1</v>
      </c>
      <c r="C1" s="3" t="s">
        <v>13</v>
      </c>
      <c r="D1" s="1" t="s">
        <v>237</v>
      </c>
      <c r="E1" s="1" t="s">
        <v>238</v>
      </c>
      <c r="F1" s="1" t="s">
        <v>239</v>
      </c>
      <c r="G1" s="1" t="s">
        <v>240</v>
      </c>
      <c r="H1" s="1" t="s">
        <v>241</v>
      </c>
    </row>
    <row r="2" spans="1:8" x14ac:dyDescent="0.25">
      <c r="A2" s="6" t="s">
        <v>605</v>
      </c>
      <c r="B2" t="s">
        <v>83</v>
      </c>
      <c r="C2" s="23">
        <v>2.4485903618719711E-2</v>
      </c>
      <c r="D2" s="24" t="s">
        <v>254</v>
      </c>
      <c r="E2" s="24" t="s">
        <v>604</v>
      </c>
      <c r="F2" s="24" t="s">
        <v>605</v>
      </c>
      <c r="G2" s="24" t="s">
        <v>245</v>
      </c>
      <c r="H2" s="25" t="s">
        <v>639</v>
      </c>
    </row>
    <row r="3" spans="1:8" x14ac:dyDescent="0.25">
      <c r="A3" s="6" t="s">
        <v>605</v>
      </c>
      <c r="B3" t="s">
        <v>144</v>
      </c>
      <c r="C3" s="23">
        <v>2.1299331438880308E-2</v>
      </c>
      <c r="D3" s="24" t="s">
        <v>254</v>
      </c>
      <c r="E3" s="24" t="s">
        <v>604</v>
      </c>
      <c r="F3" s="24" t="s">
        <v>605</v>
      </c>
      <c r="G3" s="24" t="s">
        <v>245</v>
      </c>
      <c r="H3" s="22"/>
    </row>
    <row r="4" spans="1:8" x14ac:dyDescent="0.25">
      <c r="A4" s="6" t="s">
        <v>605</v>
      </c>
      <c r="B4" t="s">
        <v>116</v>
      </c>
      <c r="C4" s="23">
        <v>2.5056302986711318E-5</v>
      </c>
      <c r="D4" s="24" t="s">
        <v>254</v>
      </c>
      <c r="E4" s="24" t="s">
        <v>604</v>
      </c>
      <c r="F4" s="24" t="s">
        <v>605</v>
      </c>
      <c r="G4" s="24" t="s">
        <v>245</v>
      </c>
      <c r="H4" s="22"/>
    </row>
    <row r="5" spans="1:8" x14ac:dyDescent="0.25">
      <c r="A5" s="6" t="s">
        <v>605</v>
      </c>
      <c r="B5" t="s">
        <v>86</v>
      </c>
      <c r="C5" s="23">
        <v>0.52590969118843522</v>
      </c>
      <c r="D5" s="24" t="s">
        <v>254</v>
      </c>
      <c r="E5" s="24" t="s">
        <v>604</v>
      </c>
      <c r="F5" s="24" t="s">
        <v>605</v>
      </c>
      <c r="G5" s="24" t="s">
        <v>245</v>
      </c>
      <c r="H5" s="22"/>
    </row>
    <row r="6" spans="1:8" x14ac:dyDescent="0.25">
      <c r="A6" s="6" t="s">
        <v>605</v>
      </c>
      <c r="B6" t="s">
        <v>167</v>
      </c>
      <c r="C6" s="23">
        <v>3.8468794585480316E-4</v>
      </c>
      <c r="D6" s="24" t="s">
        <v>254</v>
      </c>
      <c r="E6" s="24" t="s">
        <v>604</v>
      </c>
      <c r="F6" s="24" t="s">
        <v>605</v>
      </c>
      <c r="G6" s="24" t="s">
        <v>245</v>
      </c>
      <c r="H6" s="22"/>
    </row>
    <row r="7" spans="1:8" x14ac:dyDescent="0.25">
      <c r="A7" s="6" t="s">
        <v>605</v>
      </c>
      <c r="B7" t="s">
        <v>196</v>
      </c>
      <c r="C7" s="23">
        <v>2.3582402811022415E-4</v>
      </c>
      <c r="D7" s="24" t="s">
        <v>254</v>
      </c>
      <c r="E7" s="24" t="s">
        <v>604</v>
      </c>
      <c r="F7" s="24" t="s">
        <v>605</v>
      </c>
      <c r="G7" s="24" t="s">
        <v>245</v>
      </c>
      <c r="H7" s="22"/>
    </row>
    <row r="8" spans="1:8" x14ac:dyDescent="0.25">
      <c r="A8" s="6" t="s">
        <v>605</v>
      </c>
      <c r="B8" t="s">
        <v>197</v>
      </c>
      <c r="C8" s="23">
        <v>2.4171962881297976E-4</v>
      </c>
      <c r="D8" s="24" t="s">
        <v>254</v>
      </c>
      <c r="E8" s="24" t="s">
        <v>604</v>
      </c>
      <c r="F8" s="24" t="s">
        <v>605</v>
      </c>
      <c r="G8" s="24" t="s">
        <v>245</v>
      </c>
      <c r="H8" s="22"/>
    </row>
    <row r="9" spans="1:8" x14ac:dyDescent="0.25">
      <c r="A9" s="6" t="s">
        <v>605</v>
      </c>
      <c r="B9" t="s">
        <v>99</v>
      </c>
      <c r="C9" s="23">
        <v>2.993491256824158E-2</v>
      </c>
      <c r="D9" s="24" t="s">
        <v>254</v>
      </c>
      <c r="E9" s="24" t="s">
        <v>604</v>
      </c>
      <c r="F9" s="24" t="s">
        <v>605</v>
      </c>
      <c r="G9" s="24" t="s">
        <v>245</v>
      </c>
      <c r="H9" s="22"/>
    </row>
    <row r="10" spans="1:8" x14ac:dyDescent="0.25">
      <c r="A10" s="6" t="s">
        <v>605</v>
      </c>
      <c r="B10" t="s">
        <v>102</v>
      </c>
      <c r="C10" s="23">
        <v>4.7164805622044829E-4</v>
      </c>
      <c r="D10" s="24" t="s">
        <v>254</v>
      </c>
      <c r="E10" s="24" t="s">
        <v>604</v>
      </c>
      <c r="F10" s="24" t="s">
        <v>605</v>
      </c>
      <c r="G10" s="24" t="s">
        <v>245</v>
      </c>
      <c r="H10" s="22"/>
    </row>
    <row r="11" spans="1:8" x14ac:dyDescent="0.25">
      <c r="A11" s="6" t="s">
        <v>605</v>
      </c>
      <c r="B11" t="s">
        <v>170</v>
      </c>
      <c r="C11" s="23">
        <v>3.1099293707035811E-3</v>
      </c>
      <c r="D11" s="24" t="s">
        <v>254</v>
      </c>
      <c r="E11" s="24" t="s">
        <v>604</v>
      </c>
      <c r="F11" s="24" t="s">
        <v>605</v>
      </c>
      <c r="G11" s="24" t="s">
        <v>245</v>
      </c>
      <c r="H11" s="22"/>
    </row>
    <row r="12" spans="1:8" x14ac:dyDescent="0.25">
      <c r="A12" s="6" t="s">
        <v>605</v>
      </c>
      <c r="B12" t="s">
        <v>171</v>
      </c>
      <c r="C12" s="23">
        <v>9.3150491103538536E-4</v>
      </c>
      <c r="D12" s="24" t="s">
        <v>254</v>
      </c>
      <c r="E12" s="24" t="s">
        <v>604</v>
      </c>
      <c r="F12" s="24" t="s">
        <v>605</v>
      </c>
      <c r="G12" s="24" t="s">
        <v>245</v>
      </c>
      <c r="H12" s="22"/>
    </row>
    <row r="13" spans="1:8" x14ac:dyDescent="0.25">
      <c r="A13" s="6" t="s">
        <v>605</v>
      </c>
      <c r="B13" t="s">
        <v>150</v>
      </c>
      <c r="C13" s="23">
        <v>2.0310344420993057E-3</v>
      </c>
      <c r="D13" s="24" t="s">
        <v>254</v>
      </c>
      <c r="E13" s="24" t="s">
        <v>604</v>
      </c>
      <c r="F13" s="24" t="s">
        <v>605</v>
      </c>
      <c r="G13" s="24" t="s">
        <v>245</v>
      </c>
      <c r="H13" s="22"/>
    </row>
    <row r="14" spans="1:8" x14ac:dyDescent="0.25">
      <c r="A14" s="6" t="s">
        <v>605</v>
      </c>
      <c r="B14" t="s">
        <v>174</v>
      </c>
      <c r="C14" s="23">
        <v>3.4636654128689173E-2</v>
      </c>
      <c r="D14" s="24" t="s">
        <v>254</v>
      </c>
      <c r="E14" s="24" t="s">
        <v>604</v>
      </c>
      <c r="F14" s="24" t="s">
        <v>605</v>
      </c>
      <c r="G14" s="24" t="s">
        <v>245</v>
      </c>
      <c r="H14" s="22"/>
    </row>
    <row r="15" spans="1:8" x14ac:dyDescent="0.25">
      <c r="A15" s="6" t="s">
        <v>605</v>
      </c>
      <c r="B15" t="s">
        <v>106</v>
      </c>
      <c r="C15" s="23">
        <v>1.4002051669044559E-4</v>
      </c>
      <c r="D15" s="24" t="s">
        <v>254</v>
      </c>
      <c r="E15" s="24" t="s">
        <v>604</v>
      </c>
      <c r="F15" s="24" t="s">
        <v>605</v>
      </c>
      <c r="G15" s="24" t="s">
        <v>245</v>
      </c>
      <c r="H15" s="22"/>
    </row>
    <row r="16" spans="1:8" x14ac:dyDescent="0.25">
      <c r="A16" s="6" t="s">
        <v>605</v>
      </c>
      <c r="B16" t="s">
        <v>107</v>
      </c>
      <c r="C16" s="23">
        <v>0.13770796731478971</v>
      </c>
      <c r="D16" s="24" t="s">
        <v>254</v>
      </c>
      <c r="E16" s="24" t="s">
        <v>604</v>
      </c>
      <c r="F16" s="24" t="s">
        <v>605</v>
      </c>
      <c r="G16" s="24" t="s">
        <v>245</v>
      </c>
      <c r="H16" s="22"/>
    </row>
    <row r="17" spans="1:8" x14ac:dyDescent="0.25">
      <c r="A17" s="6" t="s">
        <v>605</v>
      </c>
      <c r="B17" t="s">
        <v>139</v>
      </c>
      <c r="C17" s="23">
        <v>0.18825979554056763</v>
      </c>
      <c r="D17" s="24" t="s">
        <v>254</v>
      </c>
      <c r="E17" s="24" t="s">
        <v>604</v>
      </c>
      <c r="F17" s="24" t="s">
        <v>605</v>
      </c>
      <c r="G17" s="24" t="s">
        <v>245</v>
      </c>
      <c r="H17" s="22"/>
    </row>
    <row r="18" spans="1:8" x14ac:dyDescent="0.25">
      <c r="A18" s="6" t="s">
        <v>605</v>
      </c>
      <c r="B18" t="s">
        <v>112</v>
      </c>
      <c r="C18" s="23">
        <v>2.8004103338089118E-2</v>
      </c>
      <c r="D18" s="24" t="s">
        <v>254</v>
      </c>
      <c r="E18" s="24" t="s">
        <v>604</v>
      </c>
      <c r="F18" s="24" t="s">
        <v>605</v>
      </c>
      <c r="G18" s="24" t="s">
        <v>245</v>
      </c>
      <c r="H18" s="22"/>
    </row>
    <row r="19" spans="1:8" x14ac:dyDescent="0.25">
      <c r="A19" s="6" t="s">
        <v>605</v>
      </c>
      <c r="B19" t="s">
        <v>115</v>
      </c>
      <c r="C19" s="23">
        <v>2.1902156610737068E-3</v>
      </c>
      <c r="D19" s="24" t="s">
        <v>254</v>
      </c>
      <c r="E19" s="24" t="s">
        <v>604</v>
      </c>
      <c r="F19" s="24" t="s">
        <v>605</v>
      </c>
      <c r="G19" s="24" t="s">
        <v>245</v>
      </c>
      <c r="H19" s="22"/>
    </row>
    <row r="20" spans="1:8" x14ac:dyDescent="0.25">
      <c r="A20" s="6" t="s">
        <v>647</v>
      </c>
      <c r="B20" t="s">
        <v>163</v>
      </c>
      <c r="C20" s="23">
        <v>6.5639954368342301E-2</v>
      </c>
      <c r="D20" s="24" t="s">
        <v>254</v>
      </c>
      <c r="E20" s="24" t="s">
        <v>648</v>
      </c>
      <c r="F20" s="24" t="s">
        <v>647</v>
      </c>
      <c r="G20" s="24" t="s">
        <v>245</v>
      </c>
      <c r="H20" s="25" t="s">
        <v>646</v>
      </c>
    </row>
    <row r="21" spans="1:8" x14ac:dyDescent="0.25">
      <c r="A21" s="6" t="s">
        <v>647</v>
      </c>
      <c r="B21" t="s">
        <v>144</v>
      </c>
      <c r="C21" s="23">
        <v>4.9224409973776612E-2</v>
      </c>
      <c r="D21" s="24" t="s">
        <v>254</v>
      </c>
      <c r="E21" s="24" t="s">
        <v>648</v>
      </c>
      <c r="F21" s="24" t="s">
        <v>647</v>
      </c>
      <c r="G21" s="24" t="s">
        <v>245</v>
      </c>
      <c r="H21" s="22"/>
    </row>
    <row r="22" spans="1:8" x14ac:dyDescent="0.25">
      <c r="A22" s="6" t="s">
        <v>647</v>
      </c>
      <c r="B22" t="s">
        <v>86</v>
      </c>
      <c r="C22" s="23">
        <v>0.78759055958042579</v>
      </c>
      <c r="D22" s="24" t="s">
        <v>254</v>
      </c>
      <c r="E22" s="24" t="s">
        <v>648</v>
      </c>
      <c r="F22" s="24" t="s">
        <v>647</v>
      </c>
      <c r="G22" s="24" t="s">
        <v>245</v>
      </c>
      <c r="H22" s="22"/>
    </row>
    <row r="23" spans="1:8" x14ac:dyDescent="0.25">
      <c r="A23" s="6" t="s">
        <v>647</v>
      </c>
      <c r="B23" t="s">
        <v>91</v>
      </c>
      <c r="C23" s="23">
        <v>8.8196512437589816E-2</v>
      </c>
      <c r="D23" s="24" t="s">
        <v>254</v>
      </c>
      <c r="E23" s="24" t="s">
        <v>648</v>
      </c>
      <c r="F23" s="24" t="s">
        <v>647</v>
      </c>
      <c r="G23" s="24" t="s">
        <v>245</v>
      </c>
      <c r="H23" s="22"/>
    </row>
    <row r="24" spans="1:8" x14ac:dyDescent="0.25">
      <c r="A24" s="6" t="s">
        <v>647</v>
      </c>
      <c r="B24" t="s">
        <v>99</v>
      </c>
      <c r="C24" s="23">
        <v>7.8522008385557872E-4</v>
      </c>
      <c r="D24" s="24" t="s">
        <v>254</v>
      </c>
      <c r="E24" s="24" t="s">
        <v>648</v>
      </c>
      <c r="F24" s="24" t="s">
        <v>647</v>
      </c>
      <c r="G24" s="24" t="s">
        <v>245</v>
      </c>
      <c r="H24" s="22"/>
    </row>
    <row r="25" spans="1:8" x14ac:dyDescent="0.25">
      <c r="A25" s="6" t="s">
        <v>647</v>
      </c>
      <c r="B25" t="s">
        <v>150</v>
      </c>
      <c r="C25" s="23">
        <v>1.8963805798776242E-3</v>
      </c>
      <c r="D25" s="24" t="s">
        <v>254</v>
      </c>
      <c r="E25" s="24" t="s">
        <v>648</v>
      </c>
      <c r="F25" s="24" t="s">
        <v>647</v>
      </c>
      <c r="G25" s="24" t="s">
        <v>245</v>
      </c>
      <c r="H25" s="22"/>
    </row>
    <row r="26" spans="1:8" x14ac:dyDescent="0.25">
      <c r="A26" s="6" t="s">
        <v>647</v>
      </c>
      <c r="B26" t="s">
        <v>139</v>
      </c>
      <c r="C26" s="23">
        <v>3.7038683200734846E-3</v>
      </c>
      <c r="D26" s="24" t="s">
        <v>254</v>
      </c>
      <c r="E26" s="24" t="s">
        <v>648</v>
      </c>
      <c r="F26" s="24" t="s">
        <v>647</v>
      </c>
      <c r="G26" s="24" t="s">
        <v>245</v>
      </c>
      <c r="H26" s="22"/>
    </row>
    <row r="27" spans="1:8" x14ac:dyDescent="0.25">
      <c r="A27" s="6" t="s">
        <v>647</v>
      </c>
      <c r="B27" t="s">
        <v>113</v>
      </c>
      <c r="C27" s="23">
        <v>2.9630946560587879E-3</v>
      </c>
      <c r="D27" s="24" t="s">
        <v>254</v>
      </c>
      <c r="E27" s="24" t="s">
        <v>648</v>
      </c>
      <c r="F27" s="24" t="s">
        <v>647</v>
      </c>
      <c r="G27" s="24" t="s">
        <v>245</v>
      </c>
      <c r="H27" s="22"/>
    </row>
    <row r="28" spans="1:8" x14ac:dyDescent="0.25">
      <c r="A28" s="6" t="s">
        <v>643</v>
      </c>
      <c r="B28" t="s">
        <v>83</v>
      </c>
      <c r="C28" s="23"/>
      <c r="D28" t="s">
        <v>242</v>
      </c>
      <c r="E28" t="s">
        <v>645</v>
      </c>
      <c r="F28" t="s">
        <v>643</v>
      </c>
      <c r="G28" s="24" t="s">
        <v>245</v>
      </c>
      <c r="H28" s="22"/>
    </row>
    <row r="29" spans="1:8" x14ac:dyDescent="0.25">
      <c r="A29" s="6" t="s">
        <v>644</v>
      </c>
      <c r="B29" t="s">
        <v>83</v>
      </c>
      <c r="C29" s="23"/>
      <c r="D29" t="s">
        <v>242</v>
      </c>
      <c r="E29" t="s">
        <v>644</v>
      </c>
      <c r="F29" t="s">
        <v>644</v>
      </c>
      <c r="G29" t="s">
        <v>245</v>
      </c>
      <c r="H29" s="22"/>
    </row>
    <row r="30" spans="1:8" x14ac:dyDescent="0.25">
      <c r="A30" t="s">
        <v>14</v>
      </c>
      <c r="B30" t="s">
        <v>83</v>
      </c>
      <c r="C30" s="4">
        <v>0.2983294008080461</v>
      </c>
      <c r="D30" t="s">
        <v>242</v>
      </c>
      <c r="E30" t="s">
        <v>243</v>
      </c>
      <c r="F30" t="s">
        <v>244</v>
      </c>
      <c r="G30" t="s">
        <v>245</v>
      </c>
      <c r="H30" t="s">
        <v>261</v>
      </c>
    </row>
    <row r="31" spans="1:8" x14ac:dyDescent="0.25">
      <c r="A31" t="s">
        <v>643</v>
      </c>
      <c r="B31" t="s">
        <v>84</v>
      </c>
      <c r="D31" t="s">
        <v>242</v>
      </c>
      <c r="E31" t="s">
        <v>645</v>
      </c>
      <c r="F31" t="s">
        <v>643</v>
      </c>
      <c r="G31" t="s">
        <v>245</v>
      </c>
    </row>
    <row r="32" spans="1:8" x14ac:dyDescent="0.25">
      <c r="A32" t="s">
        <v>644</v>
      </c>
      <c r="B32" t="s">
        <v>84</v>
      </c>
      <c r="D32" t="s">
        <v>242</v>
      </c>
      <c r="E32" t="s">
        <v>644</v>
      </c>
      <c r="F32" t="s">
        <v>644</v>
      </c>
      <c r="G32" t="s">
        <v>245</v>
      </c>
    </row>
    <row r="33" spans="1:7" x14ac:dyDescent="0.25">
      <c r="A33" t="s">
        <v>14</v>
      </c>
      <c r="B33" t="s">
        <v>84</v>
      </c>
      <c r="C33" s="4">
        <v>2.292013115323338E-3</v>
      </c>
      <c r="D33" t="s">
        <v>242</v>
      </c>
      <c r="E33" t="s">
        <v>243</v>
      </c>
      <c r="F33" t="s">
        <v>244</v>
      </c>
      <c r="G33" t="s">
        <v>245</v>
      </c>
    </row>
    <row r="34" spans="1:7" x14ac:dyDescent="0.25">
      <c r="A34" t="s">
        <v>643</v>
      </c>
      <c r="B34" t="s">
        <v>85</v>
      </c>
      <c r="D34" t="s">
        <v>242</v>
      </c>
      <c r="E34" t="s">
        <v>645</v>
      </c>
      <c r="F34" t="s">
        <v>643</v>
      </c>
      <c r="G34" t="s">
        <v>245</v>
      </c>
    </row>
    <row r="35" spans="1:7" x14ac:dyDescent="0.25">
      <c r="A35" t="s">
        <v>644</v>
      </c>
      <c r="B35" t="s">
        <v>85</v>
      </c>
      <c r="D35" t="s">
        <v>242</v>
      </c>
      <c r="E35" t="s">
        <v>644</v>
      </c>
      <c r="F35" t="s">
        <v>644</v>
      </c>
      <c r="G35" t="s">
        <v>245</v>
      </c>
    </row>
    <row r="36" spans="1:7" x14ac:dyDescent="0.25">
      <c r="A36" t="s">
        <v>14</v>
      </c>
      <c r="B36" t="s">
        <v>85</v>
      </c>
      <c r="C36" s="4">
        <v>0.10204218768111641</v>
      </c>
      <c r="D36" t="s">
        <v>242</v>
      </c>
      <c r="E36" t="s">
        <v>243</v>
      </c>
      <c r="F36" t="s">
        <v>244</v>
      </c>
      <c r="G36" t="s">
        <v>245</v>
      </c>
    </row>
    <row r="37" spans="1:7" x14ac:dyDescent="0.25">
      <c r="A37" t="s">
        <v>643</v>
      </c>
      <c r="B37" t="s">
        <v>86</v>
      </c>
      <c r="D37" t="s">
        <v>242</v>
      </c>
      <c r="E37" t="s">
        <v>645</v>
      </c>
      <c r="F37" t="s">
        <v>643</v>
      </c>
      <c r="G37" t="s">
        <v>245</v>
      </c>
    </row>
    <row r="38" spans="1:7" x14ac:dyDescent="0.25">
      <c r="A38" t="s">
        <v>644</v>
      </c>
      <c r="B38" t="s">
        <v>86</v>
      </c>
      <c r="D38" t="s">
        <v>242</v>
      </c>
      <c r="E38" t="s">
        <v>644</v>
      </c>
      <c r="F38" t="s">
        <v>644</v>
      </c>
      <c r="G38" t="s">
        <v>245</v>
      </c>
    </row>
    <row r="39" spans="1:7" x14ac:dyDescent="0.25">
      <c r="A39" t="s">
        <v>14</v>
      </c>
      <c r="B39" t="s">
        <v>86</v>
      </c>
      <c r="C39" s="4">
        <v>0.1574689063030289</v>
      </c>
      <c r="D39" t="s">
        <v>242</v>
      </c>
      <c r="E39" t="s">
        <v>243</v>
      </c>
      <c r="F39" t="s">
        <v>244</v>
      </c>
      <c r="G39" t="s">
        <v>245</v>
      </c>
    </row>
    <row r="40" spans="1:7" x14ac:dyDescent="0.25">
      <c r="A40" t="s">
        <v>643</v>
      </c>
      <c r="B40" t="s">
        <v>87</v>
      </c>
      <c r="D40" t="s">
        <v>242</v>
      </c>
      <c r="E40" t="s">
        <v>645</v>
      </c>
      <c r="F40" t="s">
        <v>643</v>
      </c>
      <c r="G40" t="s">
        <v>245</v>
      </c>
    </row>
    <row r="41" spans="1:7" x14ac:dyDescent="0.25">
      <c r="A41" t="s">
        <v>644</v>
      </c>
      <c r="B41" t="s">
        <v>87</v>
      </c>
      <c r="D41" t="s">
        <v>242</v>
      </c>
      <c r="E41" t="s">
        <v>644</v>
      </c>
      <c r="F41" t="s">
        <v>644</v>
      </c>
      <c r="G41" t="s">
        <v>245</v>
      </c>
    </row>
    <row r="42" spans="1:7" x14ac:dyDescent="0.25">
      <c r="A42" t="s">
        <v>14</v>
      </c>
      <c r="B42" t="s">
        <v>87</v>
      </c>
      <c r="C42" s="4">
        <v>2.7996797858408852E-5</v>
      </c>
      <c r="D42" t="s">
        <v>242</v>
      </c>
      <c r="E42" t="s">
        <v>243</v>
      </c>
      <c r="F42" t="s">
        <v>244</v>
      </c>
      <c r="G42" t="s">
        <v>245</v>
      </c>
    </row>
    <row r="43" spans="1:7" x14ac:dyDescent="0.25">
      <c r="A43" t="s">
        <v>643</v>
      </c>
      <c r="B43" t="s">
        <v>88</v>
      </c>
      <c r="D43" t="s">
        <v>242</v>
      </c>
      <c r="E43" t="s">
        <v>645</v>
      </c>
      <c r="F43" t="s">
        <v>643</v>
      </c>
      <c r="G43" t="s">
        <v>245</v>
      </c>
    </row>
    <row r="44" spans="1:7" x14ac:dyDescent="0.25">
      <c r="A44" t="s">
        <v>644</v>
      </c>
      <c r="B44" t="s">
        <v>88</v>
      </c>
      <c r="D44" t="s">
        <v>242</v>
      </c>
      <c r="E44" t="s">
        <v>644</v>
      </c>
      <c r="F44" t="s">
        <v>644</v>
      </c>
      <c r="G44" t="s">
        <v>245</v>
      </c>
    </row>
    <row r="45" spans="1:7" x14ac:dyDescent="0.25">
      <c r="A45" t="s">
        <v>14</v>
      </c>
      <c r="B45" t="s">
        <v>88</v>
      </c>
      <c r="C45" s="4">
        <v>3.9921990113625161E-5</v>
      </c>
      <c r="D45" t="s">
        <v>242</v>
      </c>
      <c r="E45" t="s">
        <v>243</v>
      </c>
      <c r="F45" t="s">
        <v>244</v>
      </c>
      <c r="G45" t="s">
        <v>245</v>
      </c>
    </row>
    <row r="46" spans="1:7" x14ac:dyDescent="0.25">
      <c r="A46" t="s">
        <v>643</v>
      </c>
      <c r="B46" t="s">
        <v>89</v>
      </c>
      <c r="D46" t="s">
        <v>242</v>
      </c>
      <c r="E46" t="s">
        <v>645</v>
      </c>
      <c r="F46" t="s">
        <v>643</v>
      </c>
      <c r="G46" t="s">
        <v>245</v>
      </c>
    </row>
    <row r="47" spans="1:7" x14ac:dyDescent="0.25">
      <c r="A47" t="s">
        <v>644</v>
      </c>
      <c r="B47" t="s">
        <v>89</v>
      </c>
      <c r="D47" t="s">
        <v>242</v>
      </c>
      <c r="E47" t="s">
        <v>644</v>
      </c>
      <c r="F47" t="s">
        <v>644</v>
      </c>
      <c r="G47" t="s">
        <v>245</v>
      </c>
    </row>
    <row r="48" spans="1:7" x14ac:dyDescent="0.25">
      <c r="A48" t="s">
        <v>14</v>
      </c>
      <c r="B48" t="s">
        <v>89</v>
      </c>
      <c r="C48" s="4">
        <v>6.7469220045320385E-5</v>
      </c>
      <c r="D48" t="s">
        <v>242</v>
      </c>
      <c r="E48" t="s">
        <v>243</v>
      </c>
      <c r="F48" t="s">
        <v>244</v>
      </c>
      <c r="G48" t="s">
        <v>245</v>
      </c>
    </row>
    <row r="49" spans="1:7" x14ac:dyDescent="0.25">
      <c r="A49" t="s">
        <v>643</v>
      </c>
      <c r="B49" t="s">
        <v>90</v>
      </c>
      <c r="D49" t="s">
        <v>242</v>
      </c>
      <c r="E49" t="s">
        <v>645</v>
      </c>
      <c r="F49" t="s">
        <v>643</v>
      </c>
      <c r="G49" t="s">
        <v>245</v>
      </c>
    </row>
    <row r="50" spans="1:7" x14ac:dyDescent="0.25">
      <c r="A50" t="s">
        <v>644</v>
      </c>
      <c r="B50" t="s">
        <v>90</v>
      </c>
      <c r="D50" t="s">
        <v>242</v>
      </c>
      <c r="E50" t="s">
        <v>644</v>
      </c>
      <c r="F50" t="s">
        <v>644</v>
      </c>
      <c r="G50" t="s">
        <v>245</v>
      </c>
    </row>
    <row r="51" spans="1:7" x14ac:dyDescent="0.25">
      <c r="A51" t="s">
        <v>14</v>
      </c>
      <c r="B51" t="s">
        <v>90</v>
      </c>
      <c r="C51" s="4">
        <v>7.0450219591244837E-5</v>
      </c>
      <c r="D51" t="s">
        <v>242</v>
      </c>
      <c r="E51" t="s">
        <v>243</v>
      </c>
      <c r="F51" t="s">
        <v>244</v>
      </c>
      <c r="G51" t="s">
        <v>245</v>
      </c>
    </row>
    <row r="52" spans="1:7" x14ac:dyDescent="0.25">
      <c r="A52" t="s">
        <v>643</v>
      </c>
      <c r="B52" t="s">
        <v>91</v>
      </c>
      <c r="D52" t="s">
        <v>242</v>
      </c>
      <c r="E52" t="s">
        <v>645</v>
      </c>
      <c r="F52" t="s">
        <v>643</v>
      </c>
      <c r="G52" t="s">
        <v>245</v>
      </c>
    </row>
    <row r="53" spans="1:7" x14ac:dyDescent="0.25">
      <c r="A53" t="s">
        <v>644</v>
      </c>
      <c r="B53" t="s">
        <v>91</v>
      </c>
      <c r="D53" t="s">
        <v>242</v>
      </c>
      <c r="E53" t="s">
        <v>644</v>
      </c>
      <c r="F53" t="s">
        <v>644</v>
      </c>
      <c r="G53" t="s">
        <v>245</v>
      </c>
    </row>
    <row r="54" spans="1:7" x14ac:dyDescent="0.25">
      <c r="A54" t="s">
        <v>14</v>
      </c>
      <c r="B54" t="s">
        <v>91</v>
      </c>
      <c r="C54" s="4">
        <v>3.9225249382582929E-4</v>
      </c>
      <c r="D54" t="s">
        <v>242</v>
      </c>
      <c r="E54" t="s">
        <v>243</v>
      </c>
      <c r="F54" t="s">
        <v>244</v>
      </c>
      <c r="G54" t="s">
        <v>245</v>
      </c>
    </row>
    <row r="55" spans="1:7" x14ac:dyDescent="0.25">
      <c r="A55" t="s">
        <v>643</v>
      </c>
      <c r="B55" t="s">
        <v>92</v>
      </c>
      <c r="D55" t="s">
        <v>242</v>
      </c>
      <c r="E55" t="s">
        <v>645</v>
      </c>
      <c r="F55" t="s">
        <v>643</v>
      </c>
      <c r="G55" t="s">
        <v>245</v>
      </c>
    </row>
    <row r="56" spans="1:7" x14ac:dyDescent="0.25">
      <c r="A56" t="s">
        <v>644</v>
      </c>
      <c r="B56" t="s">
        <v>92</v>
      </c>
      <c r="D56" t="s">
        <v>242</v>
      </c>
      <c r="E56" t="s">
        <v>644</v>
      </c>
      <c r="F56" t="s">
        <v>644</v>
      </c>
      <c r="G56" t="s">
        <v>245</v>
      </c>
    </row>
    <row r="57" spans="1:7" x14ac:dyDescent="0.25">
      <c r="A57" t="s">
        <v>14</v>
      </c>
      <c r="B57" t="s">
        <v>92</v>
      </c>
      <c r="C57" s="4">
        <v>3.347073812814543E-3</v>
      </c>
      <c r="D57" t="s">
        <v>242</v>
      </c>
      <c r="E57" t="s">
        <v>243</v>
      </c>
      <c r="F57" t="s">
        <v>244</v>
      </c>
      <c r="G57" t="s">
        <v>245</v>
      </c>
    </row>
    <row r="58" spans="1:7" x14ac:dyDescent="0.25">
      <c r="A58" t="s">
        <v>643</v>
      </c>
      <c r="B58" t="s">
        <v>93</v>
      </c>
      <c r="D58" t="s">
        <v>242</v>
      </c>
      <c r="E58" t="s">
        <v>645</v>
      </c>
      <c r="F58" t="s">
        <v>643</v>
      </c>
      <c r="G58" t="s">
        <v>245</v>
      </c>
    </row>
    <row r="59" spans="1:7" x14ac:dyDescent="0.25">
      <c r="A59" t="s">
        <v>644</v>
      </c>
      <c r="B59" t="s">
        <v>93</v>
      </c>
      <c r="D59" t="s">
        <v>242</v>
      </c>
      <c r="E59" t="s">
        <v>644</v>
      </c>
      <c r="F59" t="s">
        <v>644</v>
      </c>
      <c r="G59" t="s">
        <v>245</v>
      </c>
    </row>
    <row r="60" spans="1:7" x14ac:dyDescent="0.25">
      <c r="A60" t="s">
        <v>14</v>
      </c>
      <c r="B60" t="s">
        <v>93</v>
      </c>
      <c r="C60" s="4">
        <v>4.5861289905907467E-3</v>
      </c>
      <c r="D60" t="s">
        <v>242</v>
      </c>
      <c r="E60" t="s">
        <v>243</v>
      </c>
      <c r="F60" t="s">
        <v>244</v>
      </c>
      <c r="G60" t="s">
        <v>245</v>
      </c>
    </row>
    <row r="61" spans="1:7" x14ac:dyDescent="0.25">
      <c r="A61" t="s">
        <v>643</v>
      </c>
      <c r="B61" t="s">
        <v>94</v>
      </c>
      <c r="D61" t="s">
        <v>242</v>
      </c>
      <c r="E61" t="s">
        <v>645</v>
      </c>
      <c r="F61" t="s">
        <v>643</v>
      </c>
      <c r="G61" t="s">
        <v>245</v>
      </c>
    </row>
    <row r="62" spans="1:7" x14ac:dyDescent="0.25">
      <c r="A62" t="s">
        <v>644</v>
      </c>
      <c r="B62" t="s">
        <v>94</v>
      </c>
      <c r="D62" t="s">
        <v>242</v>
      </c>
      <c r="E62" t="s">
        <v>644</v>
      </c>
      <c r="F62" t="s">
        <v>644</v>
      </c>
      <c r="G62" t="s">
        <v>245</v>
      </c>
    </row>
    <row r="63" spans="1:7" x14ac:dyDescent="0.25">
      <c r="A63" t="s">
        <v>14</v>
      </c>
      <c r="B63" t="s">
        <v>94</v>
      </c>
      <c r="C63" s="4">
        <v>0.21293480539664211</v>
      </c>
      <c r="D63" t="s">
        <v>242</v>
      </c>
      <c r="E63" t="s">
        <v>243</v>
      </c>
      <c r="F63" t="s">
        <v>244</v>
      </c>
      <c r="G63" t="s">
        <v>245</v>
      </c>
    </row>
    <row r="64" spans="1:7" x14ac:dyDescent="0.25">
      <c r="A64" t="s">
        <v>643</v>
      </c>
      <c r="B64" t="s">
        <v>95</v>
      </c>
      <c r="D64" t="s">
        <v>242</v>
      </c>
      <c r="E64" t="s">
        <v>645</v>
      </c>
      <c r="F64" t="s">
        <v>643</v>
      </c>
      <c r="G64" t="s">
        <v>245</v>
      </c>
    </row>
    <row r="65" spans="1:7" x14ac:dyDescent="0.25">
      <c r="A65" t="s">
        <v>644</v>
      </c>
      <c r="B65" t="s">
        <v>95</v>
      </c>
      <c r="D65" t="s">
        <v>242</v>
      </c>
      <c r="E65" t="s">
        <v>644</v>
      </c>
      <c r="F65" t="s">
        <v>644</v>
      </c>
      <c r="G65" t="s">
        <v>245</v>
      </c>
    </row>
    <row r="66" spans="1:7" x14ac:dyDescent="0.25">
      <c r="A66" t="s">
        <v>14</v>
      </c>
      <c r="B66" t="s">
        <v>95</v>
      </c>
      <c r="C66" s="4">
        <v>3.892385379059944E-3</v>
      </c>
      <c r="D66" t="s">
        <v>242</v>
      </c>
      <c r="E66" t="s">
        <v>243</v>
      </c>
      <c r="F66" t="s">
        <v>244</v>
      </c>
      <c r="G66" t="s">
        <v>245</v>
      </c>
    </row>
    <row r="67" spans="1:7" x14ac:dyDescent="0.25">
      <c r="A67" t="s">
        <v>643</v>
      </c>
      <c r="B67" t="s">
        <v>96</v>
      </c>
      <c r="D67" t="s">
        <v>242</v>
      </c>
      <c r="E67" t="s">
        <v>645</v>
      </c>
      <c r="F67" t="s">
        <v>643</v>
      </c>
      <c r="G67" t="s">
        <v>245</v>
      </c>
    </row>
    <row r="68" spans="1:7" x14ac:dyDescent="0.25">
      <c r="A68" t="s">
        <v>644</v>
      </c>
      <c r="B68" t="s">
        <v>96</v>
      </c>
      <c r="D68" t="s">
        <v>242</v>
      </c>
      <c r="E68" t="s">
        <v>644</v>
      </c>
      <c r="F68" t="s">
        <v>644</v>
      </c>
      <c r="G68" t="s">
        <v>245</v>
      </c>
    </row>
    <row r="69" spans="1:7" x14ac:dyDescent="0.25">
      <c r="A69" t="s">
        <v>14</v>
      </c>
      <c r="B69" t="s">
        <v>96</v>
      </c>
      <c r="C69" s="4">
        <v>3.283696675863107E-6</v>
      </c>
      <c r="D69" t="s">
        <v>242</v>
      </c>
      <c r="E69" t="s">
        <v>243</v>
      </c>
      <c r="F69" t="s">
        <v>244</v>
      </c>
      <c r="G69" t="s">
        <v>245</v>
      </c>
    </row>
    <row r="70" spans="1:7" x14ac:dyDescent="0.25">
      <c r="A70" t="s">
        <v>643</v>
      </c>
      <c r="B70" t="s">
        <v>97</v>
      </c>
      <c r="D70" t="s">
        <v>242</v>
      </c>
      <c r="E70" t="s">
        <v>645</v>
      </c>
      <c r="F70" t="s">
        <v>643</v>
      </c>
      <c r="G70" t="s">
        <v>245</v>
      </c>
    </row>
    <row r="71" spans="1:7" x14ac:dyDescent="0.25">
      <c r="A71" t="s">
        <v>644</v>
      </c>
      <c r="B71" t="s">
        <v>97</v>
      </c>
      <c r="D71" t="s">
        <v>242</v>
      </c>
      <c r="E71" t="s">
        <v>644</v>
      </c>
      <c r="F71" t="s">
        <v>644</v>
      </c>
      <c r="G71" t="s">
        <v>245</v>
      </c>
    </row>
    <row r="72" spans="1:7" x14ac:dyDescent="0.25">
      <c r="A72" t="s">
        <v>14</v>
      </c>
      <c r="B72" t="s">
        <v>97</v>
      </c>
      <c r="C72" s="4">
        <v>6.4448353436572153E-2</v>
      </c>
      <c r="D72" t="s">
        <v>242</v>
      </c>
      <c r="E72" t="s">
        <v>243</v>
      </c>
      <c r="F72" t="s">
        <v>244</v>
      </c>
      <c r="G72" t="s">
        <v>245</v>
      </c>
    </row>
    <row r="73" spans="1:7" x14ac:dyDescent="0.25">
      <c r="A73" t="s">
        <v>643</v>
      </c>
      <c r="B73" t="s">
        <v>98</v>
      </c>
      <c r="D73" t="s">
        <v>242</v>
      </c>
      <c r="E73" t="s">
        <v>645</v>
      </c>
      <c r="F73" t="s">
        <v>643</v>
      </c>
      <c r="G73" t="s">
        <v>245</v>
      </c>
    </row>
    <row r="74" spans="1:7" x14ac:dyDescent="0.25">
      <c r="A74" t="s">
        <v>644</v>
      </c>
      <c r="B74" t="s">
        <v>98</v>
      </c>
      <c r="D74" t="s">
        <v>242</v>
      </c>
      <c r="E74" t="s">
        <v>644</v>
      </c>
      <c r="F74" t="s">
        <v>644</v>
      </c>
      <c r="G74" t="s">
        <v>245</v>
      </c>
    </row>
    <row r="75" spans="1:7" x14ac:dyDescent="0.25">
      <c r="A75" t="s">
        <v>14</v>
      </c>
      <c r="B75" t="s">
        <v>98</v>
      </c>
      <c r="C75" s="4">
        <v>4.8596221760693677E-2</v>
      </c>
      <c r="D75" t="s">
        <v>242</v>
      </c>
      <c r="E75" t="s">
        <v>243</v>
      </c>
      <c r="F75" t="s">
        <v>244</v>
      </c>
      <c r="G75" t="s">
        <v>245</v>
      </c>
    </row>
    <row r="76" spans="1:7" x14ac:dyDescent="0.25">
      <c r="A76" t="s">
        <v>643</v>
      </c>
      <c r="B76" t="s">
        <v>99</v>
      </c>
      <c r="D76" t="s">
        <v>242</v>
      </c>
      <c r="E76" t="s">
        <v>645</v>
      </c>
      <c r="F76" t="s">
        <v>643</v>
      </c>
      <c r="G76" t="s">
        <v>245</v>
      </c>
    </row>
    <row r="77" spans="1:7" x14ac:dyDescent="0.25">
      <c r="A77" t="s">
        <v>644</v>
      </c>
      <c r="B77" t="s">
        <v>99</v>
      </c>
      <c r="D77" t="s">
        <v>242</v>
      </c>
      <c r="E77" t="s">
        <v>644</v>
      </c>
      <c r="F77" t="s">
        <v>644</v>
      </c>
      <c r="G77" t="s">
        <v>245</v>
      </c>
    </row>
    <row r="78" spans="1:7" x14ac:dyDescent="0.25">
      <c r="A78" t="s">
        <v>14</v>
      </c>
      <c r="B78" t="s">
        <v>99</v>
      </c>
      <c r="C78" s="4">
        <v>3.1284864836029652E-3</v>
      </c>
      <c r="D78" t="s">
        <v>242</v>
      </c>
      <c r="E78" t="s">
        <v>243</v>
      </c>
      <c r="F78" t="s">
        <v>244</v>
      </c>
      <c r="G78" t="s">
        <v>245</v>
      </c>
    </row>
    <row r="79" spans="1:7" x14ac:dyDescent="0.25">
      <c r="A79" t="s">
        <v>643</v>
      </c>
      <c r="B79" t="s">
        <v>100</v>
      </c>
      <c r="D79" t="s">
        <v>242</v>
      </c>
      <c r="E79" t="s">
        <v>645</v>
      </c>
      <c r="F79" t="s">
        <v>643</v>
      </c>
      <c r="G79" t="s">
        <v>245</v>
      </c>
    </row>
    <row r="80" spans="1:7" x14ac:dyDescent="0.25">
      <c r="A80" t="s">
        <v>644</v>
      </c>
      <c r="B80" t="s">
        <v>100</v>
      </c>
      <c r="D80" t="s">
        <v>242</v>
      </c>
      <c r="E80" t="s">
        <v>644</v>
      </c>
      <c r="F80" t="s">
        <v>644</v>
      </c>
      <c r="G80" t="s">
        <v>245</v>
      </c>
    </row>
    <row r="81" spans="1:7" x14ac:dyDescent="0.25">
      <c r="A81" t="s">
        <v>14</v>
      </c>
      <c r="B81" t="s">
        <v>100</v>
      </c>
      <c r="C81" s="4">
        <v>3.4168057983874123E-4</v>
      </c>
      <c r="D81" t="s">
        <v>242</v>
      </c>
      <c r="E81" t="s">
        <v>243</v>
      </c>
      <c r="F81" t="s">
        <v>244</v>
      </c>
      <c r="G81" t="s">
        <v>245</v>
      </c>
    </row>
    <row r="82" spans="1:7" x14ac:dyDescent="0.25">
      <c r="A82" t="s">
        <v>643</v>
      </c>
      <c r="B82" t="s">
        <v>101</v>
      </c>
      <c r="D82" t="s">
        <v>242</v>
      </c>
      <c r="E82" t="s">
        <v>645</v>
      </c>
      <c r="F82" t="s">
        <v>643</v>
      </c>
      <c r="G82" t="s">
        <v>245</v>
      </c>
    </row>
    <row r="83" spans="1:7" x14ac:dyDescent="0.25">
      <c r="A83" t="s">
        <v>644</v>
      </c>
      <c r="B83" t="s">
        <v>101</v>
      </c>
      <c r="D83" t="s">
        <v>242</v>
      </c>
      <c r="E83" t="s">
        <v>644</v>
      </c>
      <c r="F83" t="s">
        <v>644</v>
      </c>
      <c r="G83" t="s">
        <v>245</v>
      </c>
    </row>
    <row r="84" spans="1:7" x14ac:dyDescent="0.25">
      <c r="A84" t="s">
        <v>14</v>
      </c>
      <c r="B84" t="s">
        <v>101</v>
      </c>
      <c r="C84" s="4">
        <v>2.4406073155209509E-2</v>
      </c>
      <c r="D84" t="s">
        <v>242</v>
      </c>
      <c r="E84" t="s">
        <v>243</v>
      </c>
      <c r="F84" t="s">
        <v>244</v>
      </c>
      <c r="G84" t="s">
        <v>245</v>
      </c>
    </row>
    <row r="85" spans="1:7" x14ac:dyDescent="0.25">
      <c r="A85" t="s">
        <v>643</v>
      </c>
      <c r="B85" t="s">
        <v>102</v>
      </c>
      <c r="D85" t="s">
        <v>242</v>
      </c>
      <c r="E85" t="s">
        <v>645</v>
      </c>
      <c r="F85" t="s">
        <v>643</v>
      </c>
      <c r="G85" t="s">
        <v>245</v>
      </c>
    </row>
    <row r="86" spans="1:7" x14ac:dyDescent="0.25">
      <c r="A86" t="s">
        <v>644</v>
      </c>
      <c r="B86" t="s">
        <v>102</v>
      </c>
      <c r="D86" t="s">
        <v>242</v>
      </c>
      <c r="E86" t="s">
        <v>644</v>
      </c>
      <c r="F86" t="s">
        <v>644</v>
      </c>
      <c r="G86" t="s">
        <v>245</v>
      </c>
    </row>
    <row r="87" spans="1:7" x14ac:dyDescent="0.25">
      <c r="A87" t="s">
        <v>14</v>
      </c>
      <c r="B87" t="s">
        <v>102</v>
      </c>
      <c r="C87" s="4">
        <v>1.3808720668491391E-2</v>
      </c>
      <c r="D87" t="s">
        <v>242</v>
      </c>
      <c r="E87" t="s">
        <v>243</v>
      </c>
      <c r="F87" t="s">
        <v>244</v>
      </c>
      <c r="G87" t="s">
        <v>245</v>
      </c>
    </row>
    <row r="88" spans="1:7" x14ac:dyDescent="0.25">
      <c r="A88" t="s">
        <v>643</v>
      </c>
      <c r="B88" t="s">
        <v>103</v>
      </c>
      <c r="D88" t="s">
        <v>242</v>
      </c>
      <c r="E88" t="s">
        <v>645</v>
      </c>
      <c r="F88" t="s">
        <v>643</v>
      </c>
      <c r="G88" t="s">
        <v>245</v>
      </c>
    </row>
    <row r="89" spans="1:7" x14ac:dyDescent="0.25">
      <c r="A89" t="s">
        <v>644</v>
      </c>
      <c r="B89" t="s">
        <v>103</v>
      </c>
      <c r="D89" t="s">
        <v>242</v>
      </c>
      <c r="E89" t="s">
        <v>644</v>
      </c>
      <c r="F89" t="s">
        <v>644</v>
      </c>
      <c r="G89" t="s">
        <v>245</v>
      </c>
    </row>
    <row r="90" spans="1:7" x14ac:dyDescent="0.25">
      <c r="A90" t="s">
        <v>14</v>
      </c>
      <c r="B90" t="s">
        <v>103</v>
      </c>
      <c r="C90" s="4">
        <v>1.3592516108994969E-3</v>
      </c>
      <c r="D90" t="s">
        <v>242</v>
      </c>
      <c r="E90" t="s">
        <v>243</v>
      </c>
      <c r="F90" t="s">
        <v>244</v>
      </c>
      <c r="G90" t="s">
        <v>245</v>
      </c>
    </row>
    <row r="91" spans="1:7" x14ac:dyDescent="0.25">
      <c r="A91" t="s">
        <v>643</v>
      </c>
      <c r="B91" t="s">
        <v>104</v>
      </c>
      <c r="D91" t="s">
        <v>242</v>
      </c>
      <c r="E91" t="s">
        <v>645</v>
      </c>
      <c r="F91" t="s">
        <v>643</v>
      </c>
      <c r="G91" t="s">
        <v>245</v>
      </c>
    </row>
    <row r="92" spans="1:7" x14ac:dyDescent="0.25">
      <c r="A92" t="s">
        <v>644</v>
      </c>
      <c r="B92" t="s">
        <v>104</v>
      </c>
      <c r="D92" t="s">
        <v>242</v>
      </c>
      <c r="E92" t="s">
        <v>644</v>
      </c>
      <c r="F92" t="s">
        <v>644</v>
      </c>
      <c r="G92" t="s">
        <v>245</v>
      </c>
    </row>
    <row r="93" spans="1:7" x14ac:dyDescent="0.25">
      <c r="A93" t="s">
        <v>14</v>
      </c>
      <c r="B93" t="s">
        <v>104</v>
      </c>
      <c r="C93" s="4">
        <v>2.1552047592347332E-3</v>
      </c>
      <c r="D93" t="s">
        <v>242</v>
      </c>
      <c r="E93" t="s">
        <v>243</v>
      </c>
      <c r="F93" t="s">
        <v>244</v>
      </c>
      <c r="G93" t="s">
        <v>245</v>
      </c>
    </row>
    <row r="94" spans="1:7" x14ac:dyDescent="0.25">
      <c r="A94" t="s">
        <v>643</v>
      </c>
      <c r="B94" t="s">
        <v>105</v>
      </c>
      <c r="D94" t="s">
        <v>242</v>
      </c>
      <c r="E94" t="s">
        <v>645</v>
      </c>
      <c r="F94" t="s">
        <v>643</v>
      </c>
      <c r="G94" t="s">
        <v>245</v>
      </c>
    </row>
    <row r="95" spans="1:7" x14ac:dyDescent="0.25">
      <c r="A95" t="s">
        <v>644</v>
      </c>
      <c r="B95" t="s">
        <v>105</v>
      </c>
      <c r="D95" t="s">
        <v>242</v>
      </c>
      <c r="E95" t="s">
        <v>644</v>
      </c>
      <c r="F95" t="s">
        <v>644</v>
      </c>
      <c r="G95" t="s">
        <v>245</v>
      </c>
    </row>
    <row r="96" spans="1:7" x14ac:dyDescent="0.25">
      <c r="A96" t="s">
        <v>14</v>
      </c>
      <c r="B96" t="s">
        <v>105</v>
      </c>
      <c r="C96" s="4">
        <v>2.117148505868757E-5</v>
      </c>
      <c r="D96" t="s">
        <v>242</v>
      </c>
      <c r="E96" t="s">
        <v>243</v>
      </c>
      <c r="F96" t="s">
        <v>244</v>
      </c>
      <c r="G96" t="s">
        <v>245</v>
      </c>
    </row>
    <row r="97" spans="1:7" x14ac:dyDescent="0.25">
      <c r="A97" t="s">
        <v>643</v>
      </c>
      <c r="B97" t="s">
        <v>106</v>
      </c>
      <c r="D97" t="s">
        <v>242</v>
      </c>
      <c r="E97" t="s">
        <v>645</v>
      </c>
      <c r="F97" t="s">
        <v>643</v>
      </c>
      <c r="G97" t="s">
        <v>245</v>
      </c>
    </row>
    <row r="98" spans="1:7" x14ac:dyDescent="0.25">
      <c r="A98" t="s">
        <v>644</v>
      </c>
      <c r="B98" t="s">
        <v>106</v>
      </c>
      <c r="D98" t="s">
        <v>242</v>
      </c>
      <c r="E98" t="s">
        <v>644</v>
      </c>
      <c r="F98" t="s">
        <v>644</v>
      </c>
      <c r="G98" t="s">
        <v>245</v>
      </c>
    </row>
    <row r="99" spans="1:7" x14ac:dyDescent="0.25">
      <c r="A99" t="s">
        <v>14</v>
      </c>
      <c r="B99" t="s">
        <v>106</v>
      </c>
      <c r="C99" s="4">
        <v>3.0570738423678129E-4</v>
      </c>
      <c r="D99" t="s">
        <v>242</v>
      </c>
      <c r="E99" t="s">
        <v>243</v>
      </c>
      <c r="F99" t="s">
        <v>244</v>
      </c>
      <c r="G99" t="s">
        <v>245</v>
      </c>
    </row>
    <row r="100" spans="1:7" x14ac:dyDescent="0.25">
      <c r="A100" t="s">
        <v>643</v>
      </c>
      <c r="B100" t="s">
        <v>107</v>
      </c>
      <c r="D100" t="s">
        <v>242</v>
      </c>
      <c r="E100" t="s">
        <v>645</v>
      </c>
      <c r="F100" t="s">
        <v>643</v>
      </c>
      <c r="G100" t="s">
        <v>245</v>
      </c>
    </row>
    <row r="101" spans="1:7" x14ac:dyDescent="0.25">
      <c r="A101" t="s">
        <v>644</v>
      </c>
      <c r="B101" t="s">
        <v>107</v>
      </c>
      <c r="D101" t="s">
        <v>242</v>
      </c>
      <c r="E101" t="s">
        <v>644</v>
      </c>
      <c r="F101" t="s">
        <v>644</v>
      </c>
      <c r="G101" t="s">
        <v>245</v>
      </c>
    </row>
    <row r="102" spans="1:7" x14ac:dyDescent="0.25">
      <c r="A102" t="s">
        <v>14</v>
      </c>
      <c r="B102" t="s">
        <v>107</v>
      </c>
      <c r="C102" s="4">
        <v>1.6715210151661709E-2</v>
      </c>
      <c r="D102" t="s">
        <v>242</v>
      </c>
      <c r="E102" t="s">
        <v>243</v>
      </c>
      <c r="F102" t="s">
        <v>244</v>
      </c>
      <c r="G102" t="s">
        <v>245</v>
      </c>
    </row>
    <row r="103" spans="1:7" x14ac:dyDescent="0.25">
      <c r="A103" t="s">
        <v>643</v>
      </c>
      <c r="B103" t="s">
        <v>108</v>
      </c>
      <c r="D103" t="s">
        <v>242</v>
      </c>
      <c r="E103" t="s">
        <v>645</v>
      </c>
      <c r="F103" t="s">
        <v>643</v>
      </c>
      <c r="G103" t="s">
        <v>245</v>
      </c>
    </row>
    <row r="104" spans="1:7" x14ac:dyDescent="0.25">
      <c r="A104" t="s">
        <v>644</v>
      </c>
      <c r="B104" t="s">
        <v>108</v>
      </c>
      <c r="D104" t="s">
        <v>242</v>
      </c>
      <c r="E104" t="s">
        <v>644</v>
      </c>
      <c r="F104" t="s">
        <v>644</v>
      </c>
      <c r="G104" t="s">
        <v>245</v>
      </c>
    </row>
    <row r="105" spans="1:7" x14ac:dyDescent="0.25">
      <c r="A105" t="s">
        <v>14</v>
      </c>
      <c r="B105" t="s">
        <v>108</v>
      </c>
      <c r="C105" s="4">
        <v>1.474062781474374E-2</v>
      </c>
      <c r="D105" t="s">
        <v>242</v>
      </c>
      <c r="E105" t="s">
        <v>243</v>
      </c>
      <c r="F105" t="s">
        <v>244</v>
      </c>
      <c r="G105" t="s">
        <v>245</v>
      </c>
    </row>
    <row r="106" spans="1:7" x14ac:dyDescent="0.25">
      <c r="A106" t="s">
        <v>643</v>
      </c>
      <c r="B106" t="s">
        <v>109</v>
      </c>
      <c r="D106" t="s">
        <v>242</v>
      </c>
      <c r="E106" t="s">
        <v>645</v>
      </c>
      <c r="F106" t="s">
        <v>643</v>
      </c>
      <c r="G106" t="s">
        <v>245</v>
      </c>
    </row>
    <row r="107" spans="1:7" x14ac:dyDescent="0.25">
      <c r="A107" t="s">
        <v>644</v>
      </c>
      <c r="B107" t="s">
        <v>109</v>
      </c>
      <c r="D107" t="s">
        <v>242</v>
      </c>
      <c r="E107" t="s">
        <v>644</v>
      </c>
      <c r="F107" t="s">
        <v>644</v>
      </c>
      <c r="G107" t="s">
        <v>245</v>
      </c>
    </row>
    <row r="108" spans="1:7" x14ac:dyDescent="0.25">
      <c r="A108" t="s">
        <v>14</v>
      </c>
      <c r="B108" t="s">
        <v>109</v>
      </c>
      <c r="C108" s="4">
        <v>5.2049404350856306E-3</v>
      </c>
      <c r="D108" t="s">
        <v>242</v>
      </c>
      <c r="E108" t="s">
        <v>243</v>
      </c>
      <c r="F108" t="s">
        <v>244</v>
      </c>
      <c r="G108" t="s">
        <v>245</v>
      </c>
    </row>
    <row r="109" spans="1:7" x14ac:dyDescent="0.25">
      <c r="A109" t="s">
        <v>643</v>
      </c>
      <c r="B109" t="s">
        <v>110</v>
      </c>
      <c r="D109" t="s">
        <v>242</v>
      </c>
      <c r="E109" t="s">
        <v>645</v>
      </c>
      <c r="F109" t="s">
        <v>643</v>
      </c>
      <c r="G109" t="s">
        <v>245</v>
      </c>
    </row>
    <row r="110" spans="1:7" x14ac:dyDescent="0.25">
      <c r="A110" t="s">
        <v>644</v>
      </c>
      <c r="B110" t="s">
        <v>110</v>
      </c>
      <c r="D110" t="s">
        <v>242</v>
      </c>
      <c r="E110" t="s">
        <v>644</v>
      </c>
      <c r="F110" t="s">
        <v>644</v>
      </c>
      <c r="G110" t="s">
        <v>245</v>
      </c>
    </row>
    <row r="111" spans="1:7" x14ac:dyDescent="0.25">
      <c r="A111" t="s">
        <v>14</v>
      </c>
      <c r="B111" t="s">
        <v>110</v>
      </c>
      <c r="C111" s="4">
        <v>3.0872719110705679E-3</v>
      </c>
      <c r="D111" t="s">
        <v>242</v>
      </c>
      <c r="E111" t="s">
        <v>243</v>
      </c>
      <c r="F111" t="s">
        <v>244</v>
      </c>
      <c r="G111" t="s">
        <v>245</v>
      </c>
    </row>
    <row r="112" spans="1:7" x14ac:dyDescent="0.25">
      <c r="A112" t="s">
        <v>643</v>
      </c>
      <c r="B112" t="s">
        <v>111</v>
      </c>
      <c r="D112" t="s">
        <v>242</v>
      </c>
      <c r="E112" t="s">
        <v>645</v>
      </c>
      <c r="F112" t="s">
        <v>643</v>
      </c>
      <c r="G112" t="s">
        <v>245</v>
      </c>
    </row>
    <row r="113" spans="1:8" x14ac:dyDescent="0.25">
      <c r="A113" t="s">
        <v>644</v>
      </c>
      <c r="B113" t="s">
        <v>111</v>
      </c>
      <c r="D113" t="s">
        <v>242</v>
      </c>
      <c r="E113" t="s">
        <v>644</v>
      </c>
      <c r="F113" t="s">
        <v>644</v>
      </c>
      <c r="G113" t="s">
        <v>245</v>
      </c>
    </row>
    <row r="114" spans="1:8" x14ac:dyDescent="0.25">
      <c r="A114" t="s">
        <v>14</v>
      </c>
      <c r="B114" t="s">
        <v>111</v>
      </c>
      <c r="C114" s="4">
        <v>1.134367942570891E-8</v>
      </c>
      <c r="D114" t="s">
        <v>242</v>
      </c>
      <c r="E114" t="s">
        <v>243</v>
      </c>
      <c r="F114" t="s">
        <v>244</v>
      </c>
      <c r="G114" t="s">
        <v>245</v>
      </c>
    </row>
    <row r="115" spans="1:8" x14ac:dyDescent="0.25">
      <c r="A115" t="s">
        <v>643</v>
      </c>
      <c r="B115" t="s">
        <v>112</v>
      </c>
      <c r="D115" t="s">
        <v>242</v>
      </c>
      <c r="E115" t="s">
        <v>645</v>
      </c>
      <c r="F115" t="s">
        <v>643</v>
      </c>
      <c r="G115" t="s">
        <v>245</v>
      </c>
    </row>
    <row r="116" spans="1:8" x14ac:dyDescent="0.25">
      <c r="A116" t="s">
        <v>644</v>
      </c>
      <c r="B116" t="s">
        <v>112</v>
      </c>
      <c r="D116" t="s">
        <v>242</v>
      </c>
      <c r="E116" t="s">
        <v>644</v>
      </c>
      <c r="F116" t="s">
        <v>644</v>
      </c>
      <c r="G116" t="s">
        <v>245</v>
      </c>
    </row>
    <row r="117" spans="1:8" x14ac:dyDescent="0.25">
      <c r="A117" t="s">
        <v>14</v>
      </c>
      <c r="B117" t="s">
        <v>112</v>
      </c>
      <c r="C117" s="4">
        <v>5.8612881148001851E-3</v>
      </c>
      <c r="D117" t="s">
        <v>242</v>
      </c>
      <c r="E117" t="s">
        <v>243</v>
      </c>
      <c r="F117" t="s">
        <v>244</v>
      </c>
      <c r="G117" t="s">
        <v>245</v>
      </c>
    </row>
    <row r="118" spans="1:8" x14ac:dyDescent="0.25">
      <c r="A118" t="s">
        <v>643</v>
      </c>
      <c r="B118" t="s">
        <v>113</v>
      </c>
      <c r="D118" t="s">
        <v>242</v>
      </c>
      <c r="E118" t="s">
        <v>645</v>
      </c>
      <c r="F118" t="s">
        <v>643</v>
      </c>
      <c r="G118" t="s">
        <v>245</v>
      </c>
    </row>
    <row r="119" spans="1:8" x14ac:dyDescent="0.25">
      <c r="A119" t="s">
        <v>644</v>
      </c>
      <c r="B119" t="s">
        <v>113</v>
      </c>
      <c r="D119" t="s">
        <v>242</v>
      </c>
      <c r="E119" t="s">
        <v>644</v>
      </c>
      <c r="F119" t="s">
        <v>644</v>
      </c>
      <c r="G119" t="s">
        <v>245</v>
      </c>
    </row>
    <row r="120" spans="1:8" x14ac:dyDescent="0.25">
      <c r="A120" t="s">
        <v>14</v>
      </c>
      <c r="B120" t="s">
        <v>113</v>
      </c>
      <c r="C120" s="4">
        <v>5.5113326193382693E-4</v>
      </c>
      <c r="D120" t="s">
        <v>242</v>
      </c>
      <c r="E120" t="s">
        <v>243</v>
      </c>
      <c r="F120" t="s">
        <v>244</v>
      </c>
      <c r="G120" t="s">
        <v>245</v>
      </c>
    </row>
    <row r="121" spans="1:8" x14ac:dyDescent="0.25">
      <c r="A121" t="s">
        <v>643</v>
      </c>
      <c r="B121" t="s">
        <v>114</v>
      </c>
      <c r="D121" t="s">
        <v>242</v>
      </c>
      <c r="E121" t="s">
        <v>645</v>
      </c>
      <c r="F121" t="s">
        <v>643</v>
      </c>
      <c r="G121" t="s">
        <v>245</v>
      </c>
    </row>
    <row r="122" spans="1:8" x14ac:dyDescent="0.25">
      <c r="A122" t="s">
        <v>644</v>
      </c>
      <c r="B122" t="s">
        <v>114</v>
      </c>
      <c r="D122" t="s">
        <v>242</v>
      </c>
      <c r="E122" t="s">
        <v>644</v>
      </c>
      <c r="F122" t="s">
        <v>644</v>
      </c>
      <c r="G122" t="s">
        <v>245</v>
      </c>
    </row>
    <row r="123" spans="1:8" x14ac:dyDescent="0.25">
      <c r="A123" t="s">
        <v>14</v>
      </c>
      <c r="B123" t="s">
        <v>114</v>
      </c>
      <c r="C123" s="4">
        <v>2.2794705880930591E-4</v>
      </c>
      <c r="D123" t="s">
        <v>242</v>
      </c>
      <c r="E123" t="s">
        <v>243</v>
      </c>
      <c r="F123" t="s">
        <v>244</v>
      </c>
      <c r="G123" t="s">
        <v>245</v>
      </c>
    </row>
    <row r="124" spans="1:8" x14ac:dyDescent="0.25">
      <c r="A124" t="s">
        <v>643</v>
      </c>
      <c r="B124" t="s">
        <v>115</v>
      </c>
      <c r="D124" t="s">
        <v>242</v>
      </c>
      <c r="E124" t="s">
        <v>645</v>
      </c>
      <c r="F124" t="s">
        <v>643</v>
      </c>
      <c r="G124" t="s">
        <v>245</v>
      </c>
    </row>
    <row r="125" spans="1:8" x14ac:dyDescent="0.25">
      <c r="A125" t="s">
        <v>644</v>
      </c>
      <c r="B125" t="s">
        <v>115</v>
      </c>
      <c r="D125" t="s">
        <v>242</v>
      </c>
      <c r="E125" t="s">
        <v>644</v>
      </c>
      <c r="F125" t="s">
        <v>644</v>
      </c>
      <c r="G125" t="s">
        <v>245</v>
      </c>
    </row>
    <row r="126" spans="1:8" x14ac:dyDescent="0.25">
      <c r="A126" t="s">
        <v>14</v>
      </c>
      <c r="B126" t="s">
        <v>115</v>
      </c>
      <c r="C126" s="4">
        <v>9.5464226796451498E-3</v>
      </c>
      <c r="D126" t="s">
        <v>242</v>
      </c>
      <c r="E126" t="s">
        <v>243</v>
      </c>
      <c r="F126" t="s">
        <v>244</v>
      </c>
      <c r="G126" t="s">
        <v>245</v>
      </c>
    </row>
    <row r="127" spans="1:8" x14ac:dyDescent="0.25">
      <c r="A127" t="s">
        <v>250</v>
      </c>
      <c r="B127" t="s">
        <v>83</v>
      </c>
      <c r="D127" t="s">
        <v>248</v>
      </c>
      <c r="E127" t="s">
        <v>249</v>
      </c>
      <c r="F127" t="s">
        <v>250</v>
      </c>
      <c r="G127" t="s">
        <v>245</v>
      </c>
      <c r="H127" t="s">
        <v>260</v>
      </c>
    </row>
    <row r="128" spans="1:8" x14ac:dyDescent="0.25">
      <c r="A128" t="s">
        <v>246</v>
      </c>
      <c r="B128" t="s">
        <v>83</v>
      </c>
      <c r="C128" s="4">
        <v>0.15362225113108349</v>
      </c>
      <c r="D128" t="s">
        <v>248</v>
      </c>
      <c r="E128" t="s">
        <v>247</v>
      </c>
      <c r="F128" t="s">
        <v>246</v>
      </c>
      <c r="G128" t="s">
        <v>245</v>
      </c>
      <c r="H128" t="s">
        <v>640</v>
      </c>
    </row>
    <row r="129" spans="1:8" x14ac:dyDescent="0.25">
      <c r="A129" t="s">
        <v>250</v>
      </c>
      <c r="B129" t="s">
        <v>84</v>
      </c>
      <c r="D129" t="s">
        <v>251</v>
      </c>
      <c r="E129" t="s">
        <v>249</v>
      </c>
      <c r="F129" t="s">
        <v>250</v>
      </c>
      <c r="G129" t="s">
        <v>245</v>
      </c>
    </row>
    <row r="130" spans="1:8" x14ac:dyDescent="0.25">
      <c r="A130" t="s">
        <v>246</v>
      </c>
      <c r="B130" t="s">
        <v>84</v>
      </c>
      <c r="C130" s="4">
        <v>1.529314362442395E-3</v>
      </c>
      <c r="D130" t="s">
        <v>251</v>
      </c>
      <c r="E130" t="s">
        <v>247</v>
      </c>
      <c r="F130" t="s">
        <v>246</v>
      </c>
      <c r="G130" t="s">
        <v>245</v>
      </c>
    </row>
    <row r="131" spans="1:8" x14ac:dyDescent="0.25">
      <c r="A131" t="s">
        <v>250</v>
      </c>
      <c r="B131" t="s">
        <v>85</v>
      </c>
      <c r="D131" t="s">
        <v>252</v>
      </c>
      <c r="E131" t="s">
        <v>249</v>
      </c>
      <c r="F131" t="s">
        <v>250</v>
      </c>
      <c r="G131" t="s">
        <v>245</v>
      </c>
    </row>
    <row r="132" spans="1:8" ht="17.25" customHeight="1" x14ac:dyDescent="0.25">
      <c r="A132" t="s">
        <v>246</v>
      </c>
      <c r="B132" t="s">
        <v>85</v>
      </c>
      <c r="C132" s="4">
        <v>7.4890552063986704E-2</v>
      </c>
      <c r="D132" t="s">
        <v>252</v>
      </c>
      <c r="E132" t="s">
        <v>247</v>
      </c>
      <c r="F132" t="s">
        <v>246</v>
      </c>
      <c r="G132" t="s">
        <v>245</v>
      </c>
      <c r="H132" s="5" t="s">
        <v>259</v>
      </c>
    </row>
    <row r="133" spans="1:8" x14ac:dyDescent="0.25">
      <c r="A133" t="s">
        <v>250</v>
      </c>
      <c r="B133" t="s">
        <v>116</v>
      </c>
      <c r="D133" t="s">
        <v>253</v>
      </c>
      <c r="E133" t="s">
        <v>249</v>
      </c>
      <c r="F133" t="s">
        <v>250</v>
      </c>
      <c r="G133" t="s">
        <v>245</v>
      </c>
    </row>
    <row r="134" spans="1:8" x14ac:dyDescent="0.25">
      <c r="A134" t="s">
        <v>246</v>
      </c>
      <c r="B134" t="s">
        <v>116</v>
      </c>
      <c r="C134" s="4">
        <v>1.149222165076294E-2</v>
      </c>
      <c r="D134" t="s">
        <v>253</v>
      </c>
      <c r="E134" t="s">
        <v>247</v>
      </c>
      <c r="F134" t="s">
        <v>246</v>
      </c>
      <c r="G134" t="s">
        <v>245</v>
      </c>
    </row>
    <row r="135" spans="1:8" x14ac:dyDescent="0.25">
      <c r="A135" t="s">
        <v>250</v>
      </c>
      <c r="B135" t="s">
        <v>86</v>
      </c>
      <c r="D135" t="s">
        <v>254</v>
      </c>
      <c r="E135" t="s">
        <v>249</v>
      </c>
      <c r="F135" t="s">
        <v>250</v>
      </c>
      <c r="G135" t="s">
        <v>245</v>
      </c>
    </row>
    <row r="136" spans="1:8" x14ac:dyDescent="0.25">
      <c r="A136" t="s">
        <v>246</v>
      </c>
      <c r="B136" t="s">
        <v>86</v>
      </c>
      <c r="C136" s="4">
        <v>0.54801746413232022</v>
      </c>
      <c r="D136" t="s">
        <v>254</v>
      </c>
      <c r="E136" t="s">
        <v>247</v>
      </c>
      <c r="F136" t="s">
        <v>246</v>
      </c>
      <c r="G136" t="s">
        <v>245</v>
      </c>
    </row>
    <row r="137" spans="1:8" x14ac:dyDescent="0.25">
      <c r="A137" t="s">
        <v>250</v>
      </c>
      <c r="B137" t="s">
        <v>91</v>
      </c>
      <c r="D137" t="s">
        <v>255</v>
      </c>
      <c r="E137" t="s">
        <v>249</v>
      </c>
      <c r="F137" t="s">
        <v>250</v>
      </c>
      <c r="G137" t="s">
        <v>245</v>
      </c>
    </row>
    <row r="138" spans="1:8" x14ac:dyDescent="0.25">
      <c r="A138" t="s">
        <v>246</v>
      </c>
      <c r="B138" t="s">
        <v>91</v>
      </c>
      <c r="C138" s="4">
        <v>3.756118986391339E-3</v>
      </c>
      <c r="D138" t="s">
        <v>255</v>
      </c>
      <c r="E138" t="s">
        <v>247</v>
      </c>
      <c r="F138" t="s">
        <v>246</v>
      </c>
      <c r="G138" t="s">
        <v>245</v>
      </c>
    </row>
    <row r="139" spans="1:8" x14ac:dyDescent="0.25">
      <c r="A139" t="s">
        <v>250</v>
      </c>
      <c r="B139" t="s">
        <v>117</v>
      </c>
      <c r="D139" t="s">
        <v>255</v>
      </c>
      <c r="E139" t="s">
        <v>249</v>
      </c>
      <c r="F139" t="s">
        <v>250</v>
      </c>
      <c r="G139" t="s">
        <v>245</v>
      </c>
    </row>
    <row r="140" spans="1:8" x14ac:dyDescent="0.25">
      <c r="A140" t="s">
        <v>246</v>
      </c>
      <c r="B140" t="s">
        <v>117</v>
      </c>
      <c r="C140" s="4">
        <v>7.7000439221022454E-3</v>
      </c>
      <c r="D140" t="s">
        <v>255</v>
      </c>
      <c r="E140" t="s">
        <v>247</v>
      </c>
      <c r="F140" t="s">
        <v>246</v>
      </c>
      <c r="G140" t="s">
        <v>245</v>
      </c>
    </row>
    <row r="141" spans="1:8" x14ac:dyDescent="0.25">
      <c r="A141" t="s">
        <v>250</v>
      </c>
      <c r="B141" t="s">
        <v>93</v>
      </c>
      <c r="D141" t="s">
        <v>255</v>
      </c>
      <c r="E141" t="s">
        <v>249</v>
      </c>
      <c r="F141" t="s">
        <v>250</v>
      </c>
      <c r="G141" t="s">
        <v>245</v>
      </c>
    </row>
    <row r="142" spans="1:8" x14ac:dyDescent="0.25">
      <c r="A142" t="s">
        <v>246</v>
      </c>
      <c r="B142" t="s">
        <v>93</v>
      </c>
      <c r="C142" s="4">
        <v>5.1773442639861476E-3</v>
      </c>
      <c r="D142" t="s">
        <v>255</v>
      </c>
      <c r="E142" t="s">
        <v>247</v>
      </c>
      <c r="F142" t="s">
        <v>246</v>
      </c>
      <c r="G142" t="s">
        <v>245</v>
      </c>
    </row>
    <row r="143" spans="1:8" x14ac:dyDescent="0.25">
      <c r="A143" t="s">
        <v>250</v>
      </c>
      <c r="B143" t="s">
        <v>94</v>
      </c>
      <c r="D143" t="s">
        <v>256</v>
      </c>
      <c r="E143" t="s">
        <v>249</v>
      </c>
      <c r="F143" t="s">
        <v>250</v>
      </c>
      <c r="G143" t="s">
        <v>245</v>
      </c>
    </row>
    <row r="144" spans="1:8" x14ac:dyDescent="0.25">
      <c r="A144" t="s">
        <v>246</v>
      </c>
      <c r="B144" t="s">
        <v>94</v>
      </c>
      <c r="C144" s="4">
        <v>2.1232934969219711E-3</v>
      </c>
      <c r="D144" t="s">
        <v>255</v>
      </c>
      <c r="E144" t="s">
        <v>247</v>
      </c>
      <c r="F144" t="s">
        <v>246</v>
      </c>
      <c r="G144" t="s">
        <v>245</v>
      </c>
      <c r="H144" t="s">
        <v>257</v>
      </c>
    </row>
    <row r="145" spans="1:7" x14ac:dyDescent="0.25">
      <c r="A145" t="s">
        <v>250</v>
      </c>
      <c r="B145" t="s">
        <v>97</v>
      </c>
      <c r="D145" t="s">
        <v>258</v>
      </c>
      <c r="E145" t="s">
        <v>249</v>
      </c>
      <c r="F145" t="s">
        <v>250</v>
      </c>
      <c r="G145" t="s">
        <v>245</v>
      </c>
    </row>
    <row r="146" spans="1:7" x14ac:dyDescent="0.25">
      <c r="A146" t="s">
        <v>246</v>
      </c>
      <c r="B146" t="s">
        <v>97</v>
      </c>
      <c r="C146" s="4">
        <v>4.9914042043342613E-2</v>
      </c>
      <c r="D146" t="s">
        <v>258</v>
      </c>
      <c r="E146" t="s">
        <v>247</v>
      </c>
      <c r="F146" t="s">
        <v>246</v>
      </c>
      <c r="G146" t="s">
        <v>245</v>
      </c>
    </row>
    <row r="147" spans="1:7" x14ac:dyDescent="0.25">
      <c r="A147" t="s">
        <v>250</v>
      </c>
      <c r="B147" t="s">
        <v>98</v>
      </c>
      <c r="D147" t="s">
        <v>258</v>
      </c>
      <c r="E147" t="s">
        <v>249</v>
      </c>
      <c r="F147" t="s">
        <v>250</v>
      </c>
      <c r="G147" t="s">
        <v>245</v>
      </c>
    </row>
    <row r="148" spans="1:7" x14ac:dyDescent="0.25">
      <c r="A148" t="s">
        <v>246</v>
      </c>
      <c r="B148" t="s">
        <v>98</v>
      </c>
      <c r="C148" s="4">
        <v>8.1631839102574589E-3</v>
      </c>
      <c r="D148" t="s">
        <v>258</v>
      </c>
      <c r="E148" t="s">
        <v>247</v>
      </c>
      <c r="F148" t="s">
        <v>246</v>
      </c>
      <c r="G148" t="s">
        <v>245</v>
      </c>
    </row>
    <row r="149" spans="1:7" x14ac:dyDescent="0.25">
      <c r="A149" t="s">
        <v>250</v>
      </c>
      <c r="B149" t="s">
        <v>99</v>
      </c>
      <c r="D149" t="s">
        <v>258</v>
      </c>
      <c r="E149" t="s">
        <v>249</v>
      </c>
      <c r="F149" t="s">
        <v>250</v>
      </c>
      <c r="G149" t="s">
        <v>245</v>
      </c>
    </row>
    <row r="150" spans="1:7" x14ac:dyDescent="0.25">
      <c r="A150" t="s">
        <v>246</v>
      </c>
      <c r="B150" t="s">
        <v>99</v>
      </c>
      <c r="C150" s="4">
        <v>1.763870471114184E-3</v>
      </c>
      <c r="D150" t="s">
        <v>258</v>
      </c>
      <c r="E150" t="s">
        <v>247</v>
      </c>
      <c r="F150" t="s">
        <v>246</v>
      </c>
      <c r="G150" t="s">
        <v>245</v>
      </c>
    </row>
    <row r="151" spans="1:7" x14ac:dyDescent="0.25">
      <c r="A151" t="s">
        <v>250</v>
      </c>
      <c r="B151" t="s">
        <v>118</v>
      </c>
      <c r="D151" t="s">
        <v>255</v>
      </c>
      <c r="E151" t="s">
        <v>249</v>
      </c>
      <c r="F151" t="s">
        <v>250</v>
      </c>
      <c r="G151" t="s">
        <v>245</v>
      </c>
    </row>
    <row r="152" spans="1:7" x14ac:dyDescent="0.25">
      <c r="A152" t="s">
        <v>246</v>
      </c>
      <c r="B152" t="s">
        <v>118</v>
      </c>
      <c r="C152" s="4">
        <v>1.3911853403892459E-2</v>
      </c>
      <c r="D152" t="s">
        <v>255</v>
      </c>
      <c r="E152" t="s">
        <v>247</v>
      </c>
      <c r="F152" t="s">
        <v>246</v>
      </c>
      <c r="G152" t="s">
        <v>245</v>
      </c>
    </row>
    <row r="153" spans="1:7" x14ac:dyDescent="0.25">
      <c r="A153" t="s">
        <v>250</v>
      </c>
      <c r="B153" t="s">
        <v>101</v>
      </c>
      <c r="D153" t="s">
        <v>253</v>
      </c>
      <c r="E153" t="s">
        <v>249</v>
      </c>
      <c r="F153" t="s">
        <v>250</v>
      </c>
      <c r="G153" t="s">
        <v>245</v>
      </c>
    </row>
    <row r="154" spans="1:7" x14ac:dyDescent="0.25">
      <c r="A154" t="s">
        <v>246</v>
      </c>
      <c r="B154" t="s">
        <v>101</v>
      </c>
      <c r="C154" s="4">
        <v>1.385003519761443E-2</v>
      </c>
      <c r="D154" t="s">
        <v>253</v>
      </c>
      <c r="E154" t="s">
        <v>247</v>
      </c>
      <c r="F154" t="s">
        <v>246</v>
      </c>
      <c r="G154" t="s">
        <v>245</v>
      </c>
    </row>
    <row r="155" spans="1:7" x14ac:dyDescent="0.25">
      <c r="A155" t="s">
        <v>250</v>
      </c>
      <c r="B155" t="s">
        <v>119</v>
      </c>
      <c r="D155" t="s">
        <v>258</v>
      </c>
      <c r="E155" t="s">
        <v>249</v>
      </c>
      <c r="F155" t="s">
        <v>250</v>
      </c>
      <c r="G155" t="s">
        <v>245</v>
      </c>
    </row>
    <row r="156" spans="1:7" x14ac:dyDescent="0.25">
      <c r="A156" t="s">
        <v>246</v>
      </c>
      <c r="B156" t="s">
        <v>119</v>
      </c>
      <c r="C156" s="4">
        <v>1.6061014541049909E-4</v>
      </c>
      <c r="D156" t="s">
        <v>258</v>
      </c>
      <c r="E156" t="s">
        <v>247</v>
      </c>
      <c r="F156" t="s">
        <v>246</v>
      </c>
      <c r="G156" t="s">
        <v>245</v>
      </c>
    </row>
    <row r="157" spans="1:7" x14ac:dyDescent="0.25">
      <c r="A157" t="s">
        <v>250</v>
      </c>
      <c r="B157" t="s">
        <v>102</v>
      </c>
      <c r="D157" t="s">
        <v>258</v>
      </c>
      <c r="E157" t="s">
        <v>249</v>
      </c>
      <c r="F157" t="s">
        <v>250</v>
      </c>
      <c r="G157" t="s">
        <v>245</v>
      </c>
    </row>
    <row r="158" spans="1:7" x14ac:dyDescent="0.25">
      <c r="A158" t="s">
        <v>246</v>
      </c>
      <c r="B158" t="s">
        <v>102</v>
      </c>
      <c r="C158" s="4">
        <v>1.0701167967752979E-2</v>
      </c>
      <c r="D158" t="s">
        <v>258</v>
      </c>
      <c r="E158" t="s">
        <v>247</v>
      </c>
      <c r="F158" t="s">
        <v>246</v>
      </c>
      <c r="G158" t="s">
        <v>245</v>
      </c>
    </row>
    <row r="159" spans="1:7" x14ac:dyDescent="0.25">
      <c r="A159" t="s">
        <v>250</v>
      </c>
      <c r="B159" t="s">
        <v>120</v>
      </c>
      <c r="D159" t="s">
        <v>255</v>
      </c>
      <c r="E159" t="s">
        <v>249</v>
      </c>
      <c r="F159" t="s">
        <v>250</v>
      </c>
      <c r="G159" t="s">
        <v>245</v>
      </c>
    </row>
    <row r="160" spans="1:7" x14ac:dyDescent="0.25">
      <c r="A160" t="s">
        <v>246</v>
      </c>
      <c r="B160" t="s">
        <v>120</v>
      </c>
      <c r="C160" s="4">
        <v>3.6513758523368301E-3</v>
      </c>
      <c r="D160" t="s">
        <v>255</v>
      </c>
      <c r="E160" t="s">
        <v>247</v>
      </c>
      <c r="F160" t="s">
        <v>246</v>
      </c>
      <c r="G160" t="s">
        <v>245</v>
      </c>
    </row>
    <row r="161" spans="1:7" x14ac:dyDescent="0.25">
      <c r="A161" t="s">
        <v>250</v>
      </c>
      <c r="B161" t="s">
        <v>107</v>
      </c>
      <c r="D161" t="s">
        <v>251</v>
      </c>
      <c r="E161" t="s">
        <v>249</v>
      </c>
      <c r="F161" t="s">
        <v>250</v>
      </c>
      <c r="G161" t="s">
        <v>245</v>
      </c>
    </row>
    <row r="162" spans="1:7" x14ac:dyDescent="0.25">
      <c r="A162" t="s">
        <v>246</v>
      </c>
      <c r="B162" t="s">
        <v>107</v>
      </c>
      <c r="C162" s="4">
        <v>2.1435419831538089E-2</v>
      </c>
      <c r="D162" t="s">
        <v>251</v>
      </c>
      <c r="E162" t="s">
        <v>247</v>
      </c>
      <c r="F162" t="s">
        <v>246</v>
      </c>
      <c r="G162" t="s">
        <v>245</v>
      </c>
    </row>
    <row r="163" spans="1:7" x14ac:dyDescent="0.25">
      <c r="A163" t="s">
        <v>250</v>
      </c>
      <c r="B163" t="s">
        <v>108</v>
      </c>
      <c r="D163" t="s">
        <v>258</v>
      </c>
      <c r="E163" t="s">
        <v>249</v>
      </c>
      <c r="F163" t="s">
        <v>250</v>
      </c>
      <c r="G163" t="s">
        <v>245</v>
      </c>
    </row>
    <row r="164" spans="1:7" x14ac:dyDescent="0.25">
      <c r="A164" t="s">
        <v>246</v>
      </c>
      <c r="B164" t="s">
        <v>108</v>
      </c>
      <c r="C164" s="4">
        <v>1.309740811428285E-2</v>
      </c>
      <c r="D164" t="s">
        <v>258</v>
      </c>
      <c r="E164" t="s">
        <v>247</v>
      </c>
      <c r="F164" t="s">
        <v>246</v>
      </c>
      <c r="G164" t="s">
        <v>245</v>
      </c>
    </row>
    <row r="165" spans="1:7" x14ac:dyDescent="0.25">
      <c r="A165" t="s">
        <v>250</v>
      </c>
      <c r="B165" t="s">
        <v>121</v>
      </c>
      <c r="D165" t="s">
        <v>255</v>
      </c>
      <c r="E165" t="s">
        <v>249</v>
      </c>
      <c r="F165" t="s">
        <v>250</v>
      </c>
      <c r="G165" t="s">
        <v>245</v>
      </c>
    </row>
    <row r="166" spans="1:7" x14ac:dyDescent="0.25">
      <c r="A166" t="s">
        <v>246</v>
      </c>
      <c r="B166" t="s">
        <v>121</v>
      </c>
      <c r="C166" s="4">
        <v>1.1810740540808931E-2</v>
      </c>
      <c r="D166" t="s">
        <v>255</v>
      </c>
      <c r="E166" t="s">
        <v>247</v>
      </c>
      <c r="F166" t="s">
        <v>246</v>
      </c>
      <c r="G166" t="s">
        <v>245</v>
      </c>
    </row>
    <row r="167" spans="1:7" x14ac:dyDescent="0.25">
      <c r="A167" t="s">
        <v>250</v>
      </c>
      <c r="B167" t="s">
        <v>112</v>
      </c>
      <c r="D167" t="s">
        <v>258</v>
      </c>
      <c r="E167" t="s">
        <v>249</v>
      </c>
      <c r="F167" t="s">
        <v>250</v>
      </c>
      <c r="G167" t="s">
        <v>245</v>
      </c>
    </row>
    <row r="168" spans="1:7" x14ac:dyDescent="0.25">
      <c r="A168" t="s">
        <v>246</v>
      </c>
      <c r="B168" t="s">
        <v>112</v>
      </c>
      <c r="C168" s="4">
        <v>1.9531818729234961E-3</v>
      </c>
      <c r="D168" t="s">
        <v>258</v>
      </c>
      <c r="E168" t="s">
        <v>247</v>
      </c>
      <c r="F168" t="s">
        <v>246</v>
      </c>
      <c r="G168" t="s">
        <v>245</v>
      </c>
    </row>
    <row r="169" spans="1:7" x14ac:dyDescent="0.25">
      <c r="A169" t="s">
        <v>250</v>
      </c>
      <c r="B169" t="s">
        <v>113</v>
      </c>
      <c r="D169" t="s">
        <v>253</v>
      </c>
      <c r="E169" t="s">
        <v>249</v>
      </c>
      <c r="F169" t="s">
        <v>250</v>
      </c>
      <c r="G169" t="s">
        <v>245</v>
      </c>
    </row>
    <row r="170" spans="1:7" x14ac:dyDescent="0.25">
      <c r="A170" t="s">
        <v>246</v>
      </c>
      <c r="B170" t="s">
        <v>113</v>
      </c>
      <c r="C170" s="4">
        <v>1.014152126325661E-2</v>
      </c>
      <c r="D170" t="s">
        <v>253</v>
      </c>
      <c r="E170" t="s">
        <v>247</v>
      </c>
      <c r="F170" t="s">
        <v>246</v>
      </c>
      <c r="G170" t="s">
        <v>245</v>
      </c>
    </row>
    <row r="171" spans="1:7" x14ac:dyDescent="0.25">
      <c r="A171" t="s">
        <v>250</v>
      </c>
      <c r="B171" t="s">
        <v>122</v>
      </c>
      <c r="D171" t="s">
        <v>251</v>
      </c>
      <c r="E171" t="s">
        <v>249</v>
      </c>
      <c r="F171" t="s">
        <v>250</v>
      </c>
      <c r="G171" t="s">
        <v>245</v>
      </c>
    </row>
    <row r="172" spans="1:7" x14ac:dyDescent="0.25">
      <c r="A172" t="s">
        <v>246</v>
      </c>
      <c r="B172" t="s">
        <v>122</v>
      </c>
      <c r="C172" s="4">
        <v>1.2930063998753551E-2</v>
      </c>
      <c r="D172" t="s">
        <v>251</v>
      </c>
      <c r="E172" t="s">
        <v>247</v>
      </c>
      <c r="F172" t="s">
        <v>246</v>
      </c>
      <c r="G172" t="s">
        <v>245</v>
      </c>
    </row>
    <row r="173" spans="1:7" x14ac:dyDescent="0.25">
      <c r="A173" t="s">
        <v>250</v>
      </c>
      <c r="B173" t="s">
        <v>123</v>
      </c>
      <c r="D173" t="s">
        <v>258</v>
      </c>
      <c r="E173" t="s">
        <v>249</v>
      </c>
      <c r="F173" t="s">
        <v>250</v>
      </c>
      <c r="G173" t="s">
        <v>245</v>
      </c>
    </row>
    <row r="174" spans="1:7" x14ac:dyDescent="0.25">
      <c r="A174" t="s">
        <v>246</v>
      </c>
      <c r="B174" t="s">
        <v>123</v>
      </c>
      <c r="C174" s="4">
        <v>7.9930212030407694E-3</v>
      </c>
      <c r="D174" t="s">
        <v>258</v>
      </c>
      <c r="E174" t="s">
        <v>247</v>
      </c>
      <c r="F174" t="s">
        <v>246</v>
      </c>
      <c r="G174" t="s">
        <v>245</v>
      </c>
    </row>
    <row r="175" spans="1:7" x14ac:dyDescent="0.25">
      <c r="A175" t="s">
        <v>250</v>
      </c>
      <c r="B175" t="s">
        <v>114</v>
      </c>
      <c r="D175" t="s">
        <v>252</v>
      </c>
      <c r="E175" t="s">
        <v>249</v>
      </c>
      <c r="F175" t="s">
        <v>250</v>
      </c>
      <c r="G175" t="s">
        <v>245</v>
      </c>
    </row>
    <row r="176" spans="1:7" x14ac:dyDescent="0.25">
      <c r="A176" t="s">
        <v>246</v>
      </c>
      <c r="B176" t="s">
        <v>114</v>
      </c>
      <c r="C176" s="4">
        <v>3.1851889004598548E-4</v>
      </c>
      <c r="D176" t="s">
        <v>252</v>
      </c>
      <c r="E176" t="s">
        <v>247</v>
      </c>
      <c r="F176" t="s">
        <v>246</v>
      </c>
      <c r="G176" t="s">
        <v>245</v>
      </c>
    </row>
    <row r="177" spans="1:8" x14ac:dyDescent="0.25">
      <c r="A177" t="s">
        <v>250</v>
      </c>
      <c r="B177" t="s">
        <v>115</v>
      </c>
      <c r="D177" t="s">
        <v>258</v>
      </c>
      <c r="E177" t="s">
        <v>249</v>
      </c>
      <c r="F177" t="s">
        <v>250</v>
      </c>
      <c r="G177" t="s">
        <v>245</v>
      </c>
    </row>
    <row r="178" spans="1:8" x14ac:dyDescent="0.25">
      <c r="A178" t="s">
        <v>246</v>
      </c>
      <c r="B178" t="s">
        <v>115</v>
      </c>
      <c r="C178" s="4">
        <v>9.8953812836307959E-3</v>
      </c>
      <c r="D178" t="s">
        <v>258</v>
      </c>
      <c r="E178" t="s">
        <v>247</v>
      </c>
      <c r="F178" t="s">
        <v>246</v>
      </c>
      <c r="G178" t="s">
        <v>245</v>
      </c>
    </row>
    <row r="179" spans="1:8" x14ac:dyDescent="0.25">
      <c r="A179" t="s">
        <v>265</v>
      </c>
      <c r="B179" t="s">
        <v>124</v>
      </c>
      <c r="D179" t="s">
        <v>252</v>
      </c>
      <c r="E179" t="s">
        <v>267</v>
      </c>
      <c r="F179" t="s">
        <v>268</v>
      </c>
      <c r="G179" t="s">
        <v>245</v>
      </c>
      <c r="H179" t="s">
        <v>266</v>
      </c>
    </row>
    <row r="180" spans="1:8" x14ac:dyDescent="0.25">
      <c r="A180" t="s">
        <v>264</v>
      </c>
      <c r="B180" t="s">
        <v>124</v>
      </c>
      <c r="C180" s="4">
        <v>6.0809219538082056E-3</v>
      </c>
      <c r="D180" t="s">
        <v>252</v>
      </c>
      <c r="E180" t="s">
        <v>263</v>
      </c>
      <c r="F180" t="s">
        <v>264</v>
      </c>
      <c r="G180" t="s">
        <v>245</v>
      </c>
      <c r="H180" s="5" t="s">
        <v>262</v>
      </c>
    </row>
    <row r="181" spans="1:8" x14ac:dyDescent="0.25">
      <c r="A181" t="s">
        <v>265</v>
      </c>
      <c r="B181" t="s">
        <v>83</v>
      </c>
      <c r="D181" t="s">
        <v>248</v>
      </c>
      <c r="E181" t="s">
        <v>267</v>
      </c>
      <c r="F181" t="s">
        <v>268</v>
      </c>
      <c r="G181" t="s">
        <v>245</v>
      </c>
      <c r="H181" s="5"/>
    </row>
    <row r="182" spans="1:8" x14ac:dyDescent="0.25">
      <c r="A182" t="s">
        <v>264</v>
      </c>
      <c r="B182" t="s">
        <v>83</v>
      </c>
      <c r="C182" s="4">
        <v>2.4148460023686289E-2</v>
      </c>
      <c r="D182" t="s">
        <v>248</v>
      </c>
      <c r="E182" t="s">
        <v>263</v>
      </c>
      <c r="F182" t="s">
        <v>264</v>
      </c>
      <c r="G182" t="s">
        <v>245</v>
      </c>
      <c r="H182" t="s">
        <v>641</v>
      </c>
    </row>
    <row r="183" spans="1:8" x14ac:dyDescent="0.25">
      <c r="A183" t="s">
        <v>265</v>
      </c>
      <c r="B183" t="s">
        <v>125</v>
      </c>
      <c r="D183" t="s">
        <v>258</v>
      </c>
      <c r="E183" t="s">
        <v>267</v>
      </c>
      <c r="F183" t="s">
        <v>268</v>
      </c>
      <c r="G183" t="s">
        <v>245</v>
      </c>
    </row>
    <row r="184" spans="1:8" x14ac:dyDescent="0.25">
      <c r="A184" t="s">
        <v>264</v>
      </c>
      <c r="B184" t="s">
        <v>125</v>
      </c>
      <c r="C184" s="4">
        <v>4.9895276369554299E-4</v>
      </c>
      <c r="D184" t="s">
        <v>258</v>
      </c>
      <c r="E184" t="s">
        <v>263</v>
      </c>
      <c r="F184" t="s">
        <v>264</v>
      </c>
      <c r="G184" t="s">
        <v>245</v>
      </c>
    </row>
    <row r="185" spans="1:8" x14ac:dyDescent="0.25">
      <c r="A185" t="s">
        <v>265</v>
      </c>
      <c r="B185" t="s">
        <v>126</v>
      </c>
      <c r="D185" t="s">
        <v>269</v>
      </c>
      <c r="E185" t="s">
        <v>267</v>
      </c>
      <c r="F185" t="s">
        <v>268</v>
      </c>
      <c r="G185" t="s">
        <v>245</v>
      </c>
    </row>
    <row r="186" spans="1:8" x14ac:dyDescent="0.25">
      <c r="A186" t="s">
        <v>264</v>
      </c>
      <c r="B186" t="s">
        <v>126</v>
      </c>
      <c r="C186" s="4">
        <v>2.0089414887772831E-2</v>
      </c>
      <c r="D186" t="s">
        <v>269</v>
      </c>
      <c r="E186" t="s">
        <v>263</v>
      </c>
      <c r="F186" t="s">
        <v>264</v>
      </c>
      <c r="G186" t="s">
        <v>245</v>
      </c>
    </row>
    <row r="187" spans="1:8" x14ac:dyDescent="0.25">
      <c r="A187" t="s">
        <v>265</v>
      </c>
      <c r="B187" t="s">
        <v>84</v>
      </c>
      <c r="D187" t="s">
        <v>251</v>
      </c>
      <c r="E187" t="s">
        <v>267</v>
      </c>
      <c r="F187" t="s">
        <v>268</v>
      </c>
      <c r="G187" t="s">
        <v>245</v>
      </c>
    </row>
    <row r="188" spans="1:8" x14ac:dyDescent="0.25">
      <c r="A188" t="s">
        <v>264</v>
      </c>
      <c r="B188" t="s">
        <v>84</v>
      </c>
      <c r="C188" s="4">
        <v>1.177262210377023E-3</v>
      </c>
      <c r="D188" t="s">
        <v>251</v>
      </c>
      <c r="E188" t="s">
        <v>263</v>
      </c>
      <c r="F188" t="s">
        <v>264</v>
      </c>
      <c r="G188" t="s">
        <v>245</v>
      </c>
    </row>
    <row r="189" spans="1:8" x14ac:dyDescent="0.25">
      <c r="A189" t="s">
        <v>265</v>
      </c>
      <c r="B189" t="s">
        <v>85</v>
      </c>
      <c r="D189" t="s">
        <v>252</v>
      </c>
      <c r="E189" t="s">
        <v>267</v>
      </c>
      <c r="F189" t="s">
        <v>268</v>
      </c>
      <c r="G189" t="s">
        <v>245</v>
      </c>
    </row>
    <row r="190" spans="1:8" x14ac:dyDescent="0.25">
      <c r="A190" t="s">
        <v>264</v>
      </c>
      <c r="B190" t="s">
        <v>85</v>
      </c>
      <c r="C190" s="4">
        <v>1.108400751570086E-2</v>
      </c>
      <c r="D190" t="s">
        <v>252</v>
      </c>
      <c r="E190" t="s">
        <v>263</v>
      </c>
      <c r="F190" t="s">
        <v>264</v>
      </c>
      <c r="G190" t="s">
        <v>245</v>
      </c>
    </row>
    <row r="191" spans="1:8" x14ac:dyDescent="0.25">
      <c r="A191" t="s">
        <v>265</v>
      </c>
      <c r="B191" t="s">
        <v>127</v>
      </c>
      <c r="D191" t="s">
        <v>271</v>
      </c>
      <c r="E191" t="s">
        <v>267</v>
      </c>
      <c r="F191" t="s">
        <v>268</v>
      </c>
      <c r="G191" t="s">
        <v>245</v>
      </c>
    </row>
    <row r="192" spans="1:8" x14ac:dyDescent="0.25">
      <c r="A192" t="s">
        <v>264</v>
      </c>
      <c r="B192" t="s">
        <v>127</v>
      </c>
      <c r="C192" s="4">
        <v>8.9226307102875397E-4</v>
      </c>
      <c r="D192" t="s">
        <v>271</v>
      </c>
      <c r="E192" t="s">
        <v>263</v>
      </c>
      <c r="F192" t="s">
        <v>264</v>
      </c>
      <c r="G192" t="s">
        <v>245</v>
      </c>
    </row>
    <row r="193" spans="1:7" x14ac:dyDescent="0.25">
      <c r="A193" t="s">
        <v>265</v>
      </c>
      <c r="B193" t="s">
        <v>116</v>
      </c>
      <c r="D193" t="s">
        <v>270</v>
      </c>
      <c r="E193" t="s">
        <v>267</v>
      </c>
      <c r="F193" t="s">
        <v>268</v>
      </c>
      <c r="G193" t="s">
        <v>245</v>
      </c>
    </row>
    <row r="194" spans="1:7" x14ac:dyDescent="0.25">
      <c r="A194" t="s">
        <v>264</v>
      </c>
      <c r="B194" t="s">
        <v>116</v>
      </c>
      <c r="C194" s="4">
        <v>4.7536967908338862E-2</v>
      </c>
      <c r="D194" t="s">
        <v>270</v>
      </c>
      <c r="E194" t="s">
        <v>263</v>
      </c>
      <c r="F194" t="s">
        <v>264</v>
      </c>
      <c r="G194" t="s">
        <v>245</v>
      </c>
    </row>
    <row r="195" spans="1:7" x14ac:dyDescent="0.25">
      <c r="A195" t="s">
        <v>265</v>
      </c>
      <c r="B195" t="s">
        <v>86</v>
      </c>
      <c r="D195" t="s">
        <v>254</v>
      </c>
      <c r="E195" t="s">
        <v>267</v>
      </c>
      <c r="F195" t="s">
        <v>268</v>
      </c>
      <c r="G195" t="s">
        <v>245</v>
      </c>
    </row>
    <row r="196" spans="1:7" x14ac:dyDescent="0.25">
      <c r="A196" t="s">
        <v>264</v>
      </c>
      <c r="B196" t="s">
        <v>86</v>
      </c>
      <c r="C196" s="4">
        <v>0.56624839712255726</v>
      </c>
      <c r="D196" t="s">
        <v>254</v>
      </c>
      <c r="E196" t="s">
        <v>263</v>
      </c>
      <c r="F196" t="s">
        <v>264</v>
      </c>
      <c r="G196" t="s">
        <v>245</v>
      </c>
    </row>
    <row r="197" spans="1:7" x14ac:dyDescent="0.25">
      <c r="A197" t="s">
        <v>265</v>
      </c>
      <c r="B197" t="s">
        <v>128</v>
      </c>
      <c r="D197" t="s">
        <v>271</v>
      </c>
      <c r="E197" t="s">
        <v>267</v>
      </c>
      <c r="F197" t="s">
        <v>268</v>
      </c>
      <c r="G197" t="s">
        <v>245</v>
      </c>
    </row>
    <row r="198" spans="1:7" x14ac:dyDescent="0.25">
      <c r="A198" t="s">
        <v>264</v>
      </c>
      <c r="B198" t="s">
        <v>128</v>
      </c>
      <c r="C198" s="4">
        <v>4.3463650291407623E-3</v>
      </c>
      <c r="D198" t="s">
        <v>271</v>
      </c>
      <c r="E198" t="s">
        <v>263</v>
      </c>
      <c r="F198" t="s">
        <v>264</v>
      </c>
      <c r="G198" t="s">
        <v>245</v>
      </c>
    </row>
    <row r="199" spans="1:7" x14ac:dyDescent="0.25">
      <c r="A199" t="s">
        <v>265</v>
      </c>
      <c r="B199" t="s">
        <v>91</v>
      </c>
      <c r="D199" t="s">
        <v>255</v>
      </c>
      <c r="E199" t="s">
        <v>267</v>
      </c>
      <c r="F199" t="s">
        <v>268</v>
      </c>
      <c r="G199" t="s">
        <v>245</v>
      </c>
    </row>
    <row r="200" spans="1:7" x14ac:dyDescent="0.25">
      <c r="A200" t="s">
        <v>264</v>
      </c>
      <c r="B200" t="s">
        <v>91</v>
      </c>
      <c r="C200" s="4">
        <v>6.4278979594655011E-3</v>
      </c>
      <c r="D200" t="s">
        <v>255</v>
      </c>
      <c r="E200" t="s">
        <v>263</v>
      </c>
      <c r="F200" t="s">
        <v>264</v>
      </c>
      <c r="G200" t="s">
        <v>245</v>
      </c>
    </row>
    <row r="201" spans="1:7" x14ac:dyDescent="0.25">
      <c r="A201" t="s">
        <v>265</v>
      </c>
      <c r="B201" t="s">
        <v>117</v>
      </c>
      <c r="D201" t="s">
        <v>255</v>
      </c>
      <c r="E201" t="s">
        <v>267</v>
      </c>
      <c r="F201" t="s">
        <v>268</v>
      </c>
      <c r="G201" t="s">
        <v>245</v>
      </c>
    </row>
    <row r="202" spans="1:7" x14ac:dyDescent="0.25">
      <c r="A202" t="s">
        <v>264</v>
      </c>
      <c r="B202" t="s">
        <v>117</v>
      </c>
      <c r="C202" s="4">
        <v>8.188977341783964E-3</v>
      </c>
      <c r="D202" t="s">
        <v>255</v>
      </c>
      <c r="E202" t="s">
        <v>263</v>
      </c>
      <c r="F202" t="s">
        <v>264</v>
      </c>
      <c r="G202" t="s">
        <v>245</v>
      </c>
    </row>
    <row r="203" spans="1:7" x14ac:dyDescent="0.25">
      <c r="A203" t="s">
        <v>265</v>
      </c>
      <c r="B203" t="s">
        <v>92</v>
      </c>
      <c r="D203" t="s">
        <v>271</v>
      </c>
      <c r="E203" t="s">
        <v>267</v>
      </c>
      <c r="F203" t="s">
        <v>268</v>
      </c>
      <c r="G203" t="s">
        <v>245</v>
      </c>
    </row>
    <row r="204" spans="1:7" x14ac:dyDescent="0.25">
      <c r="A204" t="s">
        <v>264</v>
      </c>
      <c r="B204" t="s">
        <v>92</v>
      </c>
      <c r="C204" s="4">
        <v>6.118588379550381E-4</v>
      </c>
      <c r="D204" t="s">
        <v>271</v>
      </c>
      <c r="E204" t="s">
        <v>263</v>
      </c>
      <c r="F204" t="s">
        <v>264</v>
      </c>
      <c r="G204" t="s">
        <v>245</v>
      </c>
    </row>
    <row r="205" spans="1:7" x14ac:dyDescent="0.25">
      <c r="A205" t="s">
        <v>265</v>
      </c>
      <c r="B205" t="s">
        <v>93</v>
      </c>
      <c r="D205" t="s">
        <v>255</v>
      </c>
      <c r="E205" t="s">
        <v>267</v>
      </c>
      <c r="F205" t="s">
        <v>268</v>
      </c>
      <c r="G205" t="s">
        <v>245</v>
      </c>
    </row>
    <row r="206" spans="1:7" x14ac:dyDescent="0.25">
      <c r="A206" t="s">
        <v>264</v>
      </c>
      <c r="B206" t="s">
        <v>93</v>
      </c>
      <c r="C206" s="4">
        <v>2.8623904948631728E-3</v>
      </c>
      <c r="D206" t="s">
        <v>255</v>
      </c>
      <c r="E206" t="s">
        <v>263</v>
      </c>
      <c r="F206" t="s">
        <v>264</v>
      </c>
      <c r="G206" t="s">
        <v>245</v>
      </c>
    </row>
    <row r="207" spans="1:7" x14ac:dyDescent="0.25">
      <c r="A207" t="s">
        <v>265</v>
      </c>
      <c r="B207" t="s">
        <v>129</v>
      </c>
      <c r="D207" t="s">
        <v>255</v>
      </c>
      <c r="E207" t="s">
        <v>267</v>
      </c>
      <c r="F207" t="s">
        <v>268</v>
      </c>
      <c r="G207" t="s">
        <v>245</v>
      </c>
    </row>
    <row r="208" spans="1:7" x14ac:dyDescent="0.25">
      <c r="A208" t="s">
        <v>264</v>
      </c>
      <c r="B208" t="s">
        <v>129</v>
      </c>
      <c r="C208" s="4">
        <v>1.1324325152655201E-2</v>
      </c>
      <c r="D208" t="s">
        <v>255</v>
      </c>
      <c r="E208" t="s">
        <v>263</v>
      </c>
      <c r="F208" t="s">
        <v>264</v>
      </c>
      <c r="G208" t="s">
        <v>245</v>
      </c>
    </row>
    <row r="209" spans="1:7" x14ac:dyDescent="0.25">
      <c r="A209" t="s">
        <v>265</v>
      </c>
      <c r="B209" t="s">
        <v>97</v>
      </c>
      <c r="D209" t="s">
        <v>258</v>
      </c>
      <c r="E209" t="s">
        <v>267</v>
      </c>
      <c r="F209" t="s">
        <v>268</v>
      </c>
      <c r="G209" t="s">
        <v>245</v>
      </c>
    </row>
    <row r="210" spans="1:7" x14ac:dyDescent="0.25">
      <c r="A210" t="s">
        <v>264</v>
      </c>
      <c r="B210" t="s">
        <v>97</v>
      </c>
      <c r="C210" s="4">
        <v>5.5719607448364822E-2</v>
      </c>
      <c r="D210" t="s">
        <v>258</v>
      </c>
      <c r="E210" t="s">
        <v>263</v>
      </c>
      <c r="F210" t="s">
        <v>264</v>
      </c>
      <c r="G210" t="s">
        <v>245</v>
      </c>
    </row>
    <row r="211" spans="1:7" x14ac:dyDescent="0.25">
      <c r="A211" t="s">
        <v>265</v>
      </c>
      <c r="B211" t="s">
        <v>98</v>
      </c>
      <c r="D211" t="s">
        <v>258</v>
      </c>
      <c r="E211" t="s">
        <v>267</v>
      </c>
      <c r="F211" t="s">
        <v>268</v>
      </c>
      <c r="G211" t="s">
        <v>245</v>
      </c>
    </row>
    <row r="212" spans="1:7" x14ac:dyDescent="0.25">
      <c r="A212" t="s">
        <v>264</v>
      </c>
      <c r="B212" t="s">
        <v>98</v>
      </c>
      <c r="C212" s="4">
        <v>3.5167094978312682E-3</v>
      </c>
      <c r="D212" t="s">
        <v>258</v>
      </c>
      <c r="E212" t="s">
        <v>263</v>
      </c>
      <c r="F212" t="s">
        <v>264</v>
      </c>
      <c r="G212" t="s">
        <v>245</v>
      </c>
    </row>
    <row r="213" spans="1:7" x14ac:dyDescent="0.25">
      <c r="A213" t="s">
        <v>265</v>
      </c>
      <c r="B213" t="s">
        <v>99</v>
      </c>
      <c r="D213" t="s">
        <v>258</v>
      </c>
      <c r="E213" t="s">
        <v>267</v>
      </c>
      <c r="F213" t="s">
        <v>268</v>
      </c>
      <c r="G213" t="s">
        <v>245</v>
      </c>
    </row>
    <row r="214" spans="1:7" x14ac:dyDescent="0.25">
      <c r="A214" t="s">
        <v>264</v>
      </c>
      <c r="B214" t="s">
        <v>99</v>
      </c>
      <c r="C214" s="4">
        <v>5.7604342313806838E-3</v>
      </c>
      <c r="D214" t="s">
        <v>258</v>
      </c>
      <c r="E214" t="s">
        <v>263</v>
      </c>
      <c r="F214" t="s">
        <v>264</v>
      </c>
      <c r="G214" t="s">
        <v>245</v>
      </c>
    </row>
    <row r="215" spans="1:7" x14ac:dyDescent="0.25">
      <c r="A215" t="s">
        <v>265</v>
      </c>
      <c r="B215" t="s">
        <v>102</v>
      </c>
      <c r="D215" t="s">
        <v>258</v>
      </c>
      <c r="E215" t="s">
        <v>267</v>
      </c>
      <c r="F215" t="s">
        <v>268</v>
      </c>
      <c r="G215" t="s">
        <v>245</v>
      </c>
    </row>
    <row r="216" spans="1:7" x14ac:dyDescent="0.25">
      <c r="A216" t="s">
        <v>264</v>
      </c>
      <c r="B216" t="s">
        <v>102</v>
      </c>
      <c r="C216" s="4">
        <v>4.0521232622287382E-3</v>
      </c>
      <c r="D216" t="s">
        <v>258</v>
      </c>
      <c r="E216" t="s">
        <v>263</v>
      </c>
      <c r="F216" t="s">
        <v>264</v>
      </c>
      <c r="G216" t="s">
        <v>245</v>
      </c>
    </row>
    <row r="217" spans="1:7" x14ac:dyDescent="0.25">
      <c r="A217" t="s">
        <v>265</v>
      </c>
      <c r="B217" t="s">
        <v>103</v>
      </c>
      <c r="D217" t="s">
        <v>258</v>
      </c>
      <c r="E217" t="s">
        <v>267</v>
      </c>
      <c r="F217" t="s">
        <v>268</v>
      </c>
      <c r="G217" t="s">
        <v>245</v>
      </c>
    </row>
    <row r="218" spans="1:7" x14ac:dyDescent="0.25">
      <c r="A218" t="s">
        <v>264</v>
      </c>
      <c r="B218" t="s">
        <v>103</v>
      </c>
      <c r="C218" s="4">
        <v>1.249230434751609E-2</v>
      </c>
      <c r="D218" t="s">
        <v>258</v>
      </c>
      <c r="E218" t="s">
        <v>263</v>
      </c>
      <c r="F218" t="s">
        <v>264</v>
      </c>
      <c r="G218" t="s">
        <v>245</v>
      </c>
    </row>
    <row r="219" spans="1:7" x14ac:dyDescent="0.25">
      <c r="A219" t="s">
        <v>265</v>
      </c>
      <c r="B219" t="s">
        <v>104</v>
      </c>
      <c r="D219" t="s">
        <v>251</v>
      </c>
      <c r="E219" t="s">
        <v>267</v>
      </c>
      <c r="F219" t="s">
        <v>268</v>
      </c>
      <c r="G219" t="s">
        <v>245</v>
      </c>
    </row>
    <row r="220" spans="1:7" x14ac:dyDescent="0.25">
      <c r="A220" t="s">
        <v>264</v>
      </c>
      <c r="B220" t="s">
        <v>104</v>
      </c>
      <c r="C220" s="4">
        <v>6.1664947046035257E-4</v>
      </c>
      <c r="D220" t="s">
        <v>251</v>
      </c>
      <c r="E220" t="s">
        <v>263</v>
      </c>
      <c r="F220" t="s">
        <v>264</v>
      </c>
      <c r="G220" t="s">
        <v>245</v>
      </c>
    </row>
    <row r="221" spans="1:7" x14ac:dyDescent="0.25">
      <c r="A221" t="s">
        <v>265</v>
      </c>
      <c r="B221" t="s">
        <v>105</v>
      </c>
      <c r="D221" t="s">
        <v>271</v>
      </c>
      <c r="E221" t="s">
        <v>267</v>
      </c>
      <c r="F221" t="s">
        <v>268</v>
      </c>
      <c r="G221" t="s">
        <v>245</v>
      </c>
    </row>
    <row r="222" spans="1:7" x14ac:dyDescent="0.25">
      <c r="A222" t="s">
        <v>264</v>
      </c>
      <c r="B222" t="s">
        <v>105</v>
      </c>
      <c r="C222" s="4">
        <v>8.8519735409825027E-3</v>
      </c>
      <c r="D222" t="s">
        <v>271</v>
      </c>
      <c r="E222" t="s">
        <v>263</v>
      </c>
      <c r="F222" t="s">
        <v>264</v>
      </c>
      <c r="G222" t="s">
        <v>245</v>
      </c>
    </row>
    <row r="223" spans="1:7" x14ac:dyDescent="0.25">
      <c r="A223" t="s">
        <v>265</v>
      </c>
      <c r="B223" t="s">
        <v>130</v>
      </c>
      <c r="D223" t="s">
        <v>255</v>
      </c>
      <c r="E223" t="s">
        <v>267</v>
      </c>
      <c r="F223" t="s">
        <v>268</v>
      </c>
      <c r="G223" t="s">
        <v>245</v>
      </c>
    </row>
    <row r="224" spans="1:7" x14ac:dyDescent="0.25">
      <c r="A224" t="s">
        <v>264</v>
      </c>
      <c r="B224" t="s">
        <v>130</v>
      </c>
      <c r="C224" s="4">
        <v>8.3571993769754468E-4</v>
      </c>
      <c r="D224" t="s">
        <v>255</v>
      </c>
      <c r="E224" t="s">
        <v>263</v>
      </c>
      <c r="F224" t="s">
        <v>264</v>
      </c>
      <c r="G224" t="s">
        <v>245</v>
      </c>
    </row>
    <row r="225" spans="1:7" x14ac:dyDescent="0.25">
      <c r="A225" t="s">
        <v>265</v>
      </c>
      <c r="B225" t="s">
        <v>131</v>
      </c>
      <c r="D225" t="s">
        <v>248</v>
      </c>
      <c r="E225" t="s">
        <v>267</v>
      </c>
      <c r="F225" t="s">
        <v>268</v>
      </c>
      <c r="G225" t="s">
        <v>245</v>
      </c>
    </row>
    <row r="226" spans="1:7" x14ac:dyDescent="0.25">
      <c r="A226" t="s">
        <v>264</v>
      </c>
      <c r="B226" t="s">
        <v>131</v>
      </c>
      <c r="C226" s="4">
        <v>5.2781585852522796E-3</v>
      </c>
      <c r="D226" t="s">
        <v>248</v>
      </c>
      <c r="E226" t="s">
        <v>263</v>
      </c>
      <c r="F226" t="s">
        <v>264</v>
      </c>
      <c r="G226" t="s">
        <v>245</v>
      </c>
    </row>
    <row r="227" spans="1:7" x14ac:dyDescent="0.25">
      <c r="A227" t="s">
        <v>265</v>
      </c>
      <c r="B227" t="s">
        <v>132</v>
      </c>
      <c r="D227" t="s">
        <v>255</v>
      </c>
      <c r="E227" t="s">
        <v>267</v>
      </c>
      <c r="F227" t="s">
        <v>268</v>
      </c>
      <c r="G227" t="s">
        <v>245</v>
      </c>
    </row>
    <row r="228" spans="1:7" x14ac:dyDescent="0.25">
      <c r="A228" t="s">
        <v>264</v>
      </c>
      <c r="B228" t="s">
        <v>132</v>
      </c>
      <c r="C228" s="4">
        <v>2.0569894823403139E-2</v>
      </c>
      <c r="D228" t="s">
        <v>255</v>
      </c>
      <c r="E228" t="s">
        <v>263</v>
      </c>
      <c r="F228" t="s">
        <v>264</v>
      </c>
      <c r="G228" t="s">
        <v>245</v>
      </c>
    </row>
    <row r="229" spans="1:7" x14ac:dyDescent="0.25">
      <c r="A229" t="s">
        <v>265</v>
      </c>
      <c r="B229" t="s">
        <v>133</v>
      </c>
      <c r="D229" t="s">
        <v>269</v>
      </c>
      <c r="E229" t="s">
        <v>267</v>
      </c>
      <c r="F229" t="s">
        <v>268</v>
      </c>
      <c r="G229" t="s">
        <v>245</v>
      </c>
    </row>
    <row r="230" spans="1:7" x14ac:dyDescent="0.25">
      <c r="A230" t="s">
        <v>264</v>
      </c>
      <c r="B230" t="s">
        <v>133</v>
      </c>
      <c r="C230" s="4">
        <v>5.6418862708503383E-3</v>
      </c>
      <c r="D230" t="s">
        <v>269</v>
      </c>
      <c r="E230" t="s">
        <v>263</v>
      </c>
      <c r="F230" t="s">
        <v>264</v>
      </c>
      <c r="G230" t="s">
        <v>245</v>
      </c>
    </row>
    <row r="231" spans="1:7" x14ac:dyDescent="0.25">
      <c r="A231" t="s">
        <v>265</v>
      </c>
      <c r="B231" t="s">
        <v>134</v>
      </c>
      <c r="D231" t="s">
        <v>269</v>
      </c>
      <c r="E231" t="s">
        <v>267</v>
      </c>
      <c r="F231" t="s">
        <v>268</v>
      </c>
      <c r="G231" t="s">
        <v>245</v>
      </c>
    </row>
    <row r="232" spans="1:7" x14ac:dyDescent="0.25">
      <c r="A232" t="s">
        <v>264</v>
      </c>
      <c r="B232" t="s">
        <v>134</v>
      </c>
      <c r="C232" s="4">
        <v>1.0053493376911729E-2</v>
      </c>
      <c r="D232" t="s">
        <v>269</v>
      </c>
      <c r="E232" t="s">
        <v>263</v>
      </c>
      <c r="F232" t="s">
        <v>264</v>
      </c>
      <c r="G232" t="s">
        <v>245</v>
      </c>
    </row>
    <row r="233" spans="1:7" x14ac:dyDescent="0.25">
      <c r="A233" t="s">
        <v>265</v>
      </c>
      <c r="B233" t="s">
        <v>120</v>
      </c>
      <c r="D233" t="s">
        <v>255</v>
      </c>
      <c r="E233" t="s">
        <v>267</v>
      </c>
      <c r="F233" t="s">
        <v>268</v>
      </c>
      <c r="G233" t="s">
        <v>245</v>
      </c>
    </row>
    <row r="234" spans="1:7" x14ac:dyDescent="0.25">
      <c r="A234" t="s">
        <v>264</v>
      </c>
      <c r="B234" t="s">
        <v>120</v>
      </c>
      <c r="C234" s="4">
        <v>4.3802784820772172E-3</v>
      </c>
      <c r="D234" t="s">
        <v>255</v>
      </c>
      <c r="E234" t="s">
        <v>263</v>
      </c>
      <c r="F234" t="s">
        <v>264</v>
      </c>
      <c r="G234" t="s">
        <v>245</v>
      </c>
    </row>
    <row r="235" spans="1:7" x14ac:dyDescent="0.25">
      <c r="A235" t="s">
        <v>265</v>
      </c>
      <c r="B235" t="s">
        <v>107</v>
      </c>
      <c r="D235" t="s">
        <v>251</v>
      </c>
      <c r="E235" t="s">
        <v>267</v>
      </c>
      <c r="F235" t="s">
        <v>268</v>
      </c>
      <c r="G235" t="s">
        <v>245</v>
      </c>
    </row>
    <row r="236" spans="1:7" x14ac:dyDescent="0.25">
      <c r="A236" t="s">
        <v>264</v>
      </c>
      <c r="B236" t="s">
        <v>107</v>
      </c>
      <c r="C236" s="4">
        <v>5.6313232679203323E-2</v>
      </c>
      <c r="D236" t="s">
        <v>251</v>
      </c>
      <c r="E236" t="s">
        <v>263</v>
      </c>
      <c r="F236" t="s">
        <v>264</v>
      </c>
      <c r="G236" t="s">
        <v>245</v>
      </c>
    </row>
    <row r="237" spans="1:7" x14ac:dyDescent="0.25">
      <c r="A237" t="s">
        <v>265</v>
      </c>
      <c r="B237" t="s">
        <v>108</v>
      </c>
      <c r="D237" t="s">
        <v>269</v>
      </c>
      <c r="E237" t="s">
        <v>267</v>
      </c>
      <c r="F237" t="s">
        <v>268</v>
      </c>
      <c r="G237" t="s">
        <v>245</v>
      </c>
    </row>
    <row r="238" spans="1:7" x14ac:dyDescent="0.25">
      <c r="A238" t="s">
        <v>264</v>
      </c>
      <c r="B238" t="s">
        <v>108</v>
      </c>
      <c r="C238" s="4">
        <v>1.498567944178506E-2</v>
      </c>
      <c r="D238" t="s">
        <v>269</v>
      </c>
      <c r="E238" t="s">
        <v>263</v>
      </c>
      <c r="F238" t="s">
        <v>264</v>
      </c>
      <c r="G238" t="s">
        <v>245</v>
      </c>
    </row>
    <row r="239" spans="1:7" x14ac:dyDescent="0.25">
      <c r="A239" t="s">
        <v>265</v>
      </c>
      <c r="B239" t="s">
        <v>135</v>
      </c>
      <c r="D239" t="s">
        <v>255</v>
      </c>
      <c r="E239" t="s">
        <v>267</v>
      </c>
      <c r="F239" t="s">
        <v>268</v>
      </c>
      <c r="G239" t="s">
        <v>245</v>
      </c>
    </row>
    <row r="240" spans="1:7" x14ac:dyDescent="0.25">
      <c r="A240" t="s">
        <v>264</v>
      </c>
      <c r="B240" t="s">
        <v>135</v>
      </c>
      <c r="C240" s="4">
        <v>2.6030470255725491E-3</v>
      </c>
      <c r="D240" t="s">
        <v>255</v>
      </c>
      <c r="E240" t="s">
        <v>263</v>
      </c>
      <c r="F240" t="s">
        <v>264</v>
      </c>
      <c r="G240" t="s">
        <v>245</v>
      </c>
    </row>
    <row r="241" spans="1:7" x14ac:dyDescent="0.25">
      <c r="A241" t="s">
        <v>265</v>
      </c>
      <c r="B241" t="s">
        <v>136</v>
      </c>
      <c r="D241" t="s">
        <v>255</v>
      </c>
      <c r="E241" t="s">
        <v>267</v>
      </c>
      <c r="F241" t="s">
        <v>268</v>
      </c>
      <c r="G241" t="s">
        <v>245</v>
      </c>
    </row>
    <row r="242" spans="1:7" x14ac:dyDescent="0.25">
      <c r="A242" t="s">
        <v>264</v>
      </c>
      <c r="B242" t="s">
        <v>136</v>
      </c>
      <c r="C242" s="4">
        <v>9.9812610774638907E-4</v>
      </c>
      <c r="D242" t="s">
        <v>255</v>
      </c>
      <c r="E242" t="s">
        <v>263</v>
      </c>
      <c r="F242" t="s">
        <v>264</v>
      </c>
      <c r="G242" t="s">
        <v>245</v>
      </c>
    </row>
    <row r="243" spans="1:7" x14ac:dyDescent="0.25">
      <c r="A243" t="s">
        <v>265</v>
      </c>
      <c r="B243" t="s">
        <v>137</v>
      </c>
      <c r="D243" t="s">
        <v>271</v>
      </c>
      <c r="E243" t="s">
        <v>267</v>
      </c>
      <c r="F243" t="s">
        <v>268</v>
      </c>
      <c r="G243" t="s">
        <v>245</v>
      </c>
    </row>
    <row r="244" spans="1:7" x14ac:dyDescent="0.25">
      <c r="A244" t="s">
        <v>264</v>
      </c>
      <c r="B244" t="s">
        <v>137</v>
      </c>
      <c r="C244" s="4">
        <v>1.1116007201047639E-2</v>
      </c>
      <c r="D244" t="s">
        <v>271</v>
      </c>
      <c r="E244" t="s">
        <v>263</v>
      </c>
      <c r="F244" t="s">
        <v>264</v>
      </c>
      <c r="G244" t="s">
        <v>245</v>
      </c>
    </row>
    <row r="245" spans="1:7" x14ac:dyDescent="0.25">
      <c r="A245" t="s">
        <v>265</v>
      </c>
      <c r="B245" t="s">
        <v>121</v>
      </c>
      <c r="D245" t="s">
        <v>255</v>
      </c>
      <c r="E245" t="s">
        <v>267</v>
      </c>
      <c r="F245" t="s">
        <v>268</v>
      </c>
      <c r="G245" t="s">
        <v>245</v>
      </c>
    </row>
    <row r="246" spans="1:7" x14ac:dyDescent="0.25">
      <c r="A246" t="s">
        <v>264</v>
      </c>
      <c r="B246" t="s">
        <v>121</v>
      </c>
      <c r="C246" s="4">
        <v>4.1009305492965024E-3</v>
      </c>
      <c r="D246" t="s">
        <v>255</v>
      </c>
      <c r="E246" t="s">
        <v>263</v>
      </c>
      <c r="F246" t="s">
        <v>264</v>
      </c>
      <c r="G246" t="s">
        <v>245</v>
      </c>
    </row>
    <row r="247" spans="1:7" x14ac:dyDescent="0.25">
      <c r="A247" t="s">
        <v>265</v>
      </c>
      <c r="B247" t="s">
        <v>138</v>
      </c>
      <c r="D247" t="s">
        <v>255</v>
      </c>
      <c r="E247" t="s">
        <v>267</v>
      </c>
      <c r="F247" t="s">
        <v>268</v>
      </c>
      <c r="G247" t="s">
        <v>245</v>
      </c>
    </row>
    <row r="248" spans="1:7" x14ac:dyDescent="0.25">
      <c r="A248" t="s">
        <v>264</v>
      </c>
      <c r="B248" t="s">
        <v>138</v>
      </c>
      <c r="C248" s="4">
        <v>1.892020230698159E-3</v>
      </c>
      <c r="D248" t="s">
        <v>255</v>
      </c>
      <c r="E248" t="s">
        <v>263</v>
      </c>
      <c r="F248" t="s">
        <v>264</v>
      </c>
      <c r="G248" t="s">
        <v>245</v>
      </c>
    </row>
    <row r="249" spans="1:7" x14ac:dyDescent="0.25">
      <c r="A249" t="s">
        <v>265</v>
      </c>
      <c r="B249" t="s">
        <v>139</v>
      </c>
      <c r="D249" t="s">
        <v>258</v>
      </c>
      <c r="E249" t="s">
        <v>267</v>
      </c>
      <c r="F249" t="s">
        <v>268</v>
      </c>
      <c r="G249" t="s">
        <v>245</v>
      </c>
    </row>
    <row r="250" spans="1:7" x14ac:dyDescent="0.25">
      <c r="A250" t="s">
        <v>264</v>
      </c>
      <c r="B250" t="s">
        <v>139</v>
      </c>
      <c r="C250" s="4">
        <v>1.3815662208711799E-3</v>
      </c>
      <c r="D250" t="s">
        <v>258</v>
      </c>
      <c r="E250" t="s">
        <v>263</v>
      </c>
      <c r="F250" t="s">
        <v>264</v>
      </c>
      <c r="G250" t="s">
        <v>245</v>
      </c>
    </row>
    <row r="251" spans="1:7" x14ac:dyDescent="0.25">
      <c r="A251" t="s">
        <v>265</v>
      </c>
      <c r="B251" t="s">
        <v>112</v>
      </c>
      <c r="D251" t="s">
        <v>258</v>
      </c>
      <c r="E251" t="s">
        <v>267</v>
      </c>
      <c r="F251" t="s">
        <v>268</v>
      </c>
      <c r="G251" t="s">
        <v>245</v>
      </c>
    </row>
    <row r="252" spans="1:7" x14ac:dyDescent="0.25">
      <c r="A252" t="s">
        <v>264</v>
      </c>
      <c r="B252" t="s">
        <v>112</v>
      </c>
      <c r="C252" s="4">
        <v>1.200764891896286E-3</v>
      </c>
      <c r="D252" t="s">
        <v>258</v>
      </c>
      <c r="E252" t="s">
        <v>263</v>
      </c>
      <c r="F252" t="s">
        <v>264</v>
      </c>
      <c r="G252" t="s">
        <v>245</v>
      </c>
    </row>
    <row r="253" spans="1:7" x14ac:dyDescent="0.25">
      <c r="A253" t="s">
        <v>265</v>
      </c>
      <c r="B253" t="s">
        <v>113</v>
      </c>
      <c r="D253" t="s">
        <v>270</v>
      </c>
      <c r="E253" t="s">
        <v>267</v>
      </c>
      <c r="F253" t="s">
        <v>268</v>
      </c>
      <c r="G253" t="s">
        <v>245</v>
      </c>
    </row>
    <row r="254" spans="1:7" x14ac:dyDescent="0.25">
      <c r="A254" t="s">
        <v>264</v>
      </c>
      <c r="B254" t="s">
        <v>113</v>
      </c>
      <c r="C254" s="4">
        <v>1.4601894477682261E-2</v>
      </c>
      <c r="D254" t="s">
        <v>270</v>
      </c>
      <c r="E254" t="s">
        <v>263</v>
      </c>
      <c r="F254" t="s">
        <v>264</v>
      </c>
      <c r="G254" t="s">
        <v>245</v>
      </c>
    </row>
    <row r="255" spans="1:7" x14ac:dyDescent="0.25">
      <c r="A255" t="s">
        <v>265</v>
      </c>
      <c r="B255" t="s">
        <v>123</v>
      </c>
      <c r="D255" t="s">
        <v>269</v>
      </c>
      <c r="E255" t="s">
        <v>267</v>
      </c>
      <c r="F255" t="s">
        <v>268</v>
      </c>
      <c r="G255" t="s">
        <v>245</v>
      </c>
    </row>
    <row r="256" spans="1:7" x14ac:dyDescent="0.25">
      <c r="A256" t="s">
        <v>264</v>
      </c>
      <c r="B256" t="s">
        <v>123</v>
      </c>
      <c r="C256" s="4">
        <v>4.0077275822670358E-2</v>
      </c>
      <c r="D256" t="s">
        <v>269</v>
      </c>
      <c r="E256" t="s">
        <v>263</v>
      </c>
      <c r="F256" t="s">
        <v>264</v>
      </c>
      <c r="G256" t="s">
        <v>245</v>
      </c>
    </row>
    <row r="257" spans="1:8" x14ac:dyDescent="0.25">
      <c r="A257" t="s">
        <v>265</v>
      </c>
      <c r="B257" t="s">
        <v>140</v>
      </c>
      <c r="D257" t="s">
        <v>255</v>
      </c>
      <c r="E257" t="s">
        <v>267</v>
      </c>
      <c r="F257" t="s">
        <v>268</v>
      </c>
      <c r="G257" t="s">
        <v>245</v>
      </c>
    </row>
    <row r="258" spans="1:8" x14ac:dyDescent="0.25">
      <c r="A258" t="s">
        <v>264</v>
      </c>
      <c r="B258" t="s">
        <v>140</v>
      </c>
      <c r="C258" s="4">
        <v>6.371075217233204E-4</v>
      </c>
      <c r="D258" t="s">
        <v>255</v>
      </c>
      <c r="E258" t="s">
        <v>263</v>
      </c>
      <c r="F258" t="s">
        <v>264</v>
      </c>
      <c r="G258" t="s">
        <v>245</v>
      </c>
    </row>
    <row r="259" spans="1:8" x14ac:dyDescent="0.25">
      <c r="A259" t="s">
        <v>265</v>
      </c>
      <c r="B259" t="s">
        <v>114</v>
      </c>
      <c r="D259" t="s">
        <v>252</v>
      </c>
      <c r="E259" t="s">
        <v>267</v>
      </c>
      <c r="F259" t="s">
        <v>268</v>
      </c>
      <c r="G259" t="s">
        <v>245</v>
      </c>
    </row>
    <row r="260" spans="1:8" x14ac:dyDescent="0.25">
      <c r="A260" t="s">
        <v>264</v>
      </c>
      <c r="B260" t="s">
        <v>114</v>
      </c>
      <c r="C260" s="4">
        <v>8.0465228202105602E-4</v>
      </c>
      <c r="D260" t="s">
        <v>252</v>
      </c>
      <c r="E260" t="s">
        <v>263</v>
      </c>
      <c r="F260" t="s">
        <v>264</v>
      </c>
      <c r="G260" t="s">
        <v>245</v>
      </c>
    </row>
    <row r="261" spans="1:8" x14ac:dyDescent="0.25">
      <c r="A261" t="s">
        <v>275</v>
      </c>
      <c r="B261" t="s">
        <v>86</v>
      </c>
      <c r="D261" t="s">
        <v>256</v>
      </c>
      <c r="E261" t="s">
        <v>277</v>
      </c>
      <c r="F261" t="s">
        <v>275</v>
      </c>
      <c r="G261" t="s">
        <v>245</v>
      </c>
    </row>
    <row r="262" spans="1:8" x14ac:dyDescent="0.25">
      <c r="A262" t="s">
        <v>273</v>
      </c>
      <c r="B262" t="s">
        <v>86</v>
      </c>
      <c r="C262" s="4">
        <v>0.26436197254702593</v>
      </c>
      <c r="D262" t="s">
        <v>256</v>
      </c>
      <c r="E262" t="s">
        <v>272</v>
      </c>
      <c r="F262" t="s">
        <v>273</v>
      </c>
      <c r="G262" t="s">
        <v>245</v>
      </c>
      <c r="H262" t="s">
        <v>274</v>
      </c>
    </row>
    <row r="263" spans="1:8" x14ac:dyDescent="0.25">
      <c r="A263" t="s">
        <v>275</v>
      </c>
      <c r="B263" t="s">
        <v>141</v>
      </c>
      <c r="D263" t="s">
        <v>256</v>
      </c>
      <c r="E263" t="s">
        <v>277</v>
      </c>
      <c r="F263" t="s">
        <v>275</v>
      </c>
      <c r="G263" t="s">
        <v>245</v>
      </c>
    </row>
    <row r="264" spans="1:8" x14ac:dyDescent="0.25">
      <c r="A264" t="s">
        <v>273</v>
      </c>
      <c r="B264" t="s">
        <v>141</v>
      </c>
      <c r="C264" s="4">
        <v>2.7114048466361628E-3</v>
      </c>
      <c r="D264" t="s">
        <v>256</v>
      </c>
      <c r="E264" t="s">
        <v>272</v>
      </c>
      <c r="F264" t="s">
        <v>273</v>
      </c>
      <c r="G264" t="s">
        <v>245</v>
      </c>
    </row>
    <row r="265" spans="1:8" x14ac:dyDescent="0.25">
      <c r="A265" t="s">
        <v>275</v>
      </c>
      <c r="B265" t="s">
        <v>105</v>
      </c>
      <c r="D265" t="s">
        <v>256</v>
      </c>
      <c r="E265" t="s">
        <v>277</v>
      </c>
      <c r="F265" t="s">
        <v>275</v>
      </c>
      <c r="G265" t="s">
        <v>245</v>
      </c>
    </row>
    <row r="266" spans="1:8" x14ac:dyDescent="0.25">
      <c r="A266" t="s">
        <v>273</v>
      </c>
      <c r="B266" t="s">
        <v>105</v>
      </c>
      <c r="C266" s="4">
        <v>3.1316725978647687E-2</v>
      </c>
      <c r="D266" t="s">
        <v>256</v>
      </c>
      <c r="E266" t="s">
        <v>272</v>
      </c>
      <c r="F266" t="s">
        <v>273</v>
      </c>
      <c r="G266" t="s">
        <v>245</v>
      </c>
    </row>
    <row r="267" spans="1:8" x14ac:dyDescent="0.25">
      <c r="A267" t="s">
        <v>275</v>
      </c>
      <c r="B267" t="s">
        <v>113</v>
      </c>
      <c r="D267" t="s">
        <v>276</v>
      </c>
      <c r="E267" t="s">
        <v>277</v>
      </c>
      <c r="F267" t="s">
        <v>275</v>
      </c>
      <c r="G267" t="s">
        <v>245</v>
      </c>
    </row>
    <row r="268" spans="1:8" x14ac:dyDescent="0.25">
      <c r="A268" t="s">
        <v>273</v>
      </c>
      <c r="B268" t="s">
        <v>113</v>
      </c>
      <c r="C268" s="4">
        <v>0.68700220301643788</v>
      </c>
      <c r="D268" t="s">
        <v>276</v>
      </c>
      <c r="E268" t="s">
        <v>272</v>
      </c>
      <c r="F268" t="s">
        <v>273</v>
      </c>
      <c r="G268" t="s">
        <v>245</v>
      </c>
    </row>
    <row r="269" spans="1:8" x14ac:dyDescent="0.25">
      <c r="A269" t="s">
        <v>275</v>
      </c>
      <c r="B269" t="s">
        <v>142</v>
      </c>
      <c r="D269" t="s">
        <v>256</v>
      </c>
      <c r="E269" t="s">
        <v>277</v>
      </c>
      <c r="F269" t="s">
        <v>275</v>
      </c>
      <c r="G269" t="s">
        <v>245</v>
      </c>
    </row>
    <row r="270" spans="1:8" x14ac:dyDescent="0.25">
      <c r="A270" t="s">
        <v>273</v>
      </c>
      <c r="B270" t="s">
        <v>142</v>
      </c>
      <c r="C270" s="4">
        <v>1.372648703609558E-2</v>
      </c>
      <c r="D270" t="s">
        <v>256</v>
      </c>
      <c r="E270" t="s">
        <v>272</v>
      </c>
      <c r="F270" t="s">
        <v>273</v>
      </c>
      <c r="G270" t="s">
        <v>245</v>
      </c>
    </row>
    <row r="271" spans="1:8" x14ac:dyDescent="0.25">
      <c r="A271" t="s">
        <v>275</v>
      </c>
      <c r="B271" t="s">
        <v>143</v>
      </c>
      <c r="D271" t="s">
        <v>256</v>
      </c>
      <c r="E271" t="s">
        <v>277</v>
      </c>
      <c r="F271" t="s">
        <v>275</v>
      </c>
      <c r="G271" t="s">
        <v>245</v>
      </c>
    </row>
    <row r="272" spans="1:8" x14ac:dyDescent="0.25">
      <c r="A272" t="s">
        <v>273</v>
      </c>
      <c r="B272" t="s">
        <v>143</v>
      </c>
      <c r="C272" s="4">
        <v>8.8120657515675311E-4</v>
      </c>
      <c r="D272" t="s">
        <v>256</v>
      </c>
      <c r="E272" t="s">
        <v>272</v>
      </c>
      <c r="F272" t="s">
        <v>273</v>
      </c>
      <c r="G272" t="s">
        <v>245</v>
      </c>
    </row>
    <row r="273" spans="1:8" x14ac:dyDescent="0.25">
      <c r="A273" t="s">
        <v>599</v>
      </c>
      <c r="B273" t="s">
        <v>124</v>
      </c>
      <c r="C273" s="4">
        <v>1.7570686145995659E-2</v>
      </c>
      <c r="D273" t="s">
        <v>256</v>
      </c>
      <c r="E273" t="s">
        <v>598</v>
      </c>
      <c r="F273" t="s">
        <v>599</v>
      </c>
      <c r="G273" t="s">
        <v>245</v>
      </c>
      <c r="H273" t="s">
        <v>600</v>
      </c>
    </row>
    <row r="274" spans="1:8" x14ac:dyDescent="0.25">
      <c r="A274" t="s">
        <v>599</v>
      </c>
      <c r="B274" t="s">
        <v>144</v>
      </c>
      <c r="C274" s="4">
        <v>3.3682321998821839E-2</v>
      </c>
      <c r="D274" t="s">
        <v>256</v>
      </c>
      <c r="E274" t="s">
        <v>598</v>
      </c>
      <c r="F274" t="s">
        <v>599</v>
      </c>
      <c r="G274" t="s">
        <v>245</v>
      </c>
    </row>
    <row r="275" spans="1:8" x14ac:dyDescent="0.25">
      <c r="A275" t="s">
        <v>599</v>
      </c>
      <c r="B275" t="s">
        <v>145</v>
      </c>
      <c r="C275" s="4">
        <v>5.4508900092825469E-2</v>
      </c>
      <c r="D275" t="s">
        <v>256</v>
      </c>
      <c r="E275" t="s">
        <v>598</v>
      </c>
      <c r="F275" t="s">
        <v>599</v>
      </c>
      <c r="G275" t="s">
        <v>245</v>
      </c>
    </row>
    <row r="276" spans="1:8" x14ac:dyDescent="0.25">
      <c r="A276" t="s">
        <v>599</v>
      </c>
      <c r="B276" t="s">
        <v>86</v>
      </c>
      <c r="C276" s="4">
        <v>3.1339788153885689E-2</v>
      </c>
      <c r="D276" t="s">
        <v>256</v>
      </c>
      <c r="E276" t="s">
        <v>598</v>
      </c>
      <c r="F276" t="s">
        <v>599</v>
      </c>
      <c r="G276" t="s">
        <v>245</v>
      </c>
    </row>
    <row r="277" spans="1:8" x14ac:dyDescent="0.25">
      <c r="A277" t="s">
        <v>599</v>
      </c>
      <c r="B277" t="s">
        <v>99</v>
      </c>
      <c r="C277" s="4">
        <v>2.0266396339512741E-4</v>
      </c>
      <c r="D277" t="s">
        <v>256</v>
      </c>
      <c r="E277" t="s">
        <v>598</v>
      </c>
      <c r="F277" t="s">
        <v>599</v>
      </c>
      <c r="G277" t="s">
        <v>245</v>
      </c>
    </row>
    <row r="278" spans="1:8" x14ac:dyDescent="0.25">
      <c r="A278" t="s">
        <v>599</v>
      </c>
      <c r="B278" t="s">
        <v>102</v>
      </c>
      <c r="C278" s="4">
        <v>6.7835039294124863E-2</v>
      </c>
      <c r="D278" t="s">
        <v>256</v>
      </c>
      <c r="E278" t="s">
        <v>598</v>
      </c>
      <c r="F278" t="s">
        <v>599</v>
      </c>
      <c r="G278" t="s">
        <v>245</v>
      </c>
    </row>
    <row r="279" spans="1:8" x14ac:dyDescent="0.25">
      <c r="A279" t="s">
        <v>599</v>
      </c>
      <c r="B279" t="s">
        <v>146</v>
      </c>
      <c r="C279" s="4">
        <v>1.3612240263026289E-2</v>
      </c>
      <c r="D279" t="s">
        <v>256</v>
      </c>
      <c r="E279" t="s">
        <v>598</v>
      </c>
      <c r="F279" t="s">
        <v>599</v>
      </c>
      <c r="G279" t="s">
        <v>245</v>
      </c>
    </row>
    <row r="280" spans="1:8" x14ac:dyDescent="0.25">
      <c r="A280" t="s">
        <v>599</v>
      </c>
      <c r="B280" t="s">
        <v>107</v>
      </c>
      <c r="C280" s="4">
        <v>1.071793620847173E-2</v>
      </c>
      <c r="D280" t="s">
        <v>256</v>
      </c>
      <c r="E280" t="s">
        <v>598</v>
      </c>
      <c r="F280" t="s">
        <v>599</v>
      </c>
      <c r="G280" t="s">
        <v>245</v>
      </c>
    </row>
    <row r="281" spans="1:8" x14ac:dyDescent="0.25">
      <c r="A281" t="s">
        <v>599</v>
      </c>
      <c r="B281" t="s">
        <v>112</v>
      </c>
      <c r="C281" s="4">
        <v>0.59415932171472874</v>
      </c>
      <c r="D281" t="s">
        <v>547</v>
      </c>
      <c r="E281" t="s">
        <v>598</v>
      </c>
      <c r="F281" t="s">
        <v>599</v>
      </c>
      <c r="G281" t="s">
        <v>245</v>
      </c>
    </row>
    <row r="282" spans="1:8" x14ac:dyDescent="0.25">
      <c r="A282" t="s">
        <v>599</v>
      </c>
      <c r="B282" t="s">
        <v>113</v>
      </c>
      <c r="C282" s="4">
        <v>0.17637110216472471</v>
      </c>
      <c r="D282" t="s">
        <v>256</v>
      </c>
      <c r="E282" t="s">
        <v>598</v>
      </c>
      <c r="F282" t="s">
        <v>599</v>
      </c>
      <c r="G282" t="s">
        <v>245</v>
      </c>
    </row>
    <row r="283" spans="1:8" x14ac:dyDescent="0.25">
      <c r="A283" t="s">
        <v>601</v>
      </c>
      <c r="B283" t="s">
        <v>124</v>
      </c>
      <c r="C283" s="4">
        <v>1.7570686145995659E-2</v>
      </c>
      <c r="D283" t="s">
        <v>256</v>
      </c>
      <c r="E283" t="s">
        <v>602</v>
      </c>
      <c r="F283" t="s">
        <v>601</v>
      </c>
      <c r="G283" t="s">
        <v>245</v>
      </c>
    </row>
    <row r="284" spans="1:8" x14ac:dyDescent="0.25">
      <c r="A284" t="s">
        <v>601</v>
      </c>
      <c r="B284" t="s">
        <v>144</v>
      </c>
      <c r="C284" s="4">
        <v>3.3682321998821839E-2</v>
      </c>
      <c r="D284" t="s">
        <v>256</v>
      </c>
      <c r="E284" t="s">
        <v>602</v>
      </c>
      <c r="F284" t="s">
        <v>601</v>
      </c>
      <c r="G284" t="s">
        <v>245</v>
      </c>
    </row>
    <row r="285" spans="1:8" x14ac:dyDescent="0.25">
      <c r="A285" t="s">
        <v>601</v>
      </c>
      <c r="B285" t="s">
        <v>145</v>
      </c>
      <c r="C285" s="4">
        <v>5.4508900092825469E-2</v>
      </c>
      <c r="D285" t="s">
        <v>256</v>
      </c>
      <c r="E285" t="s">
        <v>602</v>
      </c>
      <c r="F285" t="s">
        <v>601</v>
      </c>
      <c r="G285" t="s">
        <v>245</v>
      </c>
    </row>
    <row r="286" spans="1:8" x14ac:dyDescent="0.25">
      <c r="A286" t="s">
        <v>601</v>
      </c>
      <c r="B286" t="s">
        <v>86</v>
      </c>
      <c r="C286" s="4">
        <v>3.1339788153885689E-2</v>
      </c>
      <c r="D286" t="s">
        <v>256</v>
      </c>
      <c r="E286" t="s">
        <v>602</v>
      </c>
      <c r="F286" t="s">
        <v>601</v>
      </c>
      <c r="G286" t="s">
        <v>245</v>
      </c>
    </row>
    <row r="287" spans="1:8" x14ac:dyDescent="0.25">
      <c r="A287" t="s">
        <v>601</v>
      </c>
      <c r="B287" t="s">
        <v>99</v>
      </c>
      <c r="C287" s="4">
        <v>2.0266396339512741E-4</v>
      </c>
      <c r="D287" t="s">
        <v>256</v>
      </c>
      <c r="E287" t="s">
        <v>602</v>
      </c>
      <c r="F287" t="s">
        <v>601</v>
      </c>
      <c r="G287" t="s">
        <v>245</v>
      </c>
    </row>
    <row r="288" spans="1:8" x14ac:dyDescent="0.25">
      <c r="A288" t="s">
        <v>601</v>
      </c>
      <c r="B288" t="s">
        <v>102</v>
      </c>
      <c r="C288" s="4">
        <v>6.7835039294124863E-2</v>
      </c>
      <c r="D288" t="s">
        <v>256</v>
      </c>
      <c r="E288" t="s">
        <v>602</v>
      </c>
      <c r="F288" t="s">
        <v>601</v>
      </c>
      <c r="G288" t="s">
        <v>245</v>
      </c>
    </row>
    <row r="289" spans="1:8" x14ac:dyDescent="0.25">
      <c r="A289" t="s">
        <v>601</v>
      </c>
      <c r="B289" t="s">
        <v>146</v>
      </c>
      <c r="C289" s="4">
        <v>1.3612240263026289E-2</v>
      </c>
      <c r="D289" t="s">
        <v>256</v>
      </c>
      <c r="E289" t="s">
        <v>602</v>
      </c>
      <c r="F289" t="s">
        <v>601</v>
      </c>
      <c r="G289" t="s">
        <v>245</v>
      </c>
    </row>
    <row r="290" spans="1:8" x14ac:dyDescent="0.25">
      <c r="A290" t="s">
        <v>601</v>
      </c>
      <c r="B290" t="s">
        <v>107</v>
      </c>
      <c r="C290" s="4">
        <v>1.071793620847173E-2</v>
      </c>
      <c r="D290" t="s">
        <v>256</v>
      </c>
      <c r="E290" t="s">
        <v>602</v>
      </c>
      <c r="F290" t="s">
        <v>601</v>
      </c>
      <c r="G290" t="s">
        <v>245</v>
      </c>
    </row>
    <row r="291" spans="1:8" x14ac:dyDescent="0.25">
      <c r="A291" t="s">
        <v>601</v>
      </c>
      <c r="B291" t="s">
        <v>112</v>
      </c>
      <c r="C291" s="4">
        <v>0.59415932171472874</v>
      </c>
      <c r="D291" t="s">
        <v>256</v>
      </c>
      <c r="E291" t="s">
        <v>602</v>
      </c>
      <c r="F291" t="s">
        <v>601</v>
      </c>
      <c r="G291" t="s">
        <v>245</v>
      </c>
    </row>
    <row r="292" spans="1:8" x14ac:dyDescent="0.25">
      <c r="A292" t="s">
        <v>601</v>
      </c>
      <c r="B292" t="s">
        <v>113</v>
      </c>
      <c r="C292" s="4">
        <v>0.17637110216472471</v>
      </c>
      <c r="D292" t="s">
        <v>276</v>
      </c>
      <c r="E292" t="s">
        <v>602</v>
      </c>
      <c r="F292" t="s">
        <v>601</v>
      </c>
      <c r="G292" t="s">
        <v>245</v>
      </c>
    </row>
    <row r="293" spans="1:8" x14ac:dyDescent="0.25">
      <c r="A293" t="s">
        <v>19</v>
      </c>
      <c r="B293" t="s">
        <v>124</v>
      </c>
      <c r="C293" s="4">
        <f>0.3* 0.268733689573754%</f>
        <v>8.0620106872126196E-4</v>
      </c>
      <c r="D293" t="s">
        <v>256</v>
      </c>
      <c r="E293" t="s">
        <v>282</v>
      </c>
      <c r="F293" t="s">
        <v>281</v>
      </c>
      <c r="G293" t="s">
        <v>245</v>
      </c>
      <c r="H293" t="s">
        <v>283</v>
      </c>
    </row>
    <row r="294" spans="1:8" x14ac:dyDescent="0.25">
      <c r="A294" t="s">
        <v>19</v>
      </c>
      <c r="B294" t="s">
        <v>124</v>
      </c>
      <c r="C294" s="4">
        <f xml:space="preserve"> 0.7* 0.268733689573754%</f>
        <v>1.8811358270162779E-3</v>
      </c>
      <c r="D294" t="s">
        <v>256</v>
      </c>
      <c r="E294" t="s">
        <v>280</v>
      </c>
      <c r="F294" t="s">
        <v>281</v>
      </c>
      <c r="G294" t="s">
        <v>245</v>
      </c>
      <c r="H294" t="s">
        <v>279</v>
      </c>
    </row>
    <row r="295" spans="1:8" x14ac:dyDescent="0.25">
      <c r="A295" t="s">
        <v>19</v>
      </c>
      <c r="B295" t="s">
        <v>85</v>
      </c>
      <c r="C295" s="4">
        <f>0.3*0.769696781409221%</f>
        <v>2.3090903442276631E-3</v>
      </c>
      <c r="D295" t="s">
        <v>256</v>
      </c>
      <c r="E295" t="s">
        <v>282</v>
      </c>
      <c r="F295" t="s">
        <v>281</v>
      </c>
      <c r="G295" t="s">
        <v>245</v>
      </c>
    </row>
    <row r="296" spans="1:8" x14ac:dyDescent="0.25">
      <c r="A296" t="s">
        <v>19</v>
      </c>
      <c r="B296" t="s">
        <v>85</v>
      </c>
      <c r="C296" s="4">
        <f xml:space="preserve"> 0.7*0.769696781409221%</f>
        <v>5.3878774698645467E-3</v>
      </c>
      <c r="D296" t="s">
        <v>256</v>
      </c>
      <c r="E296" t="s">
        <v>280</v>
      </c>
      <c r="F296" t="s">
        <v>281</v>
      </c>
      <c r="G296" t="s">
        <v>245</v>
      </c>
    </row>
    <row r="297" spans="1:8" x14ac:dyDescent="0.25">
      <c r="A297" t="s">
        <v>19</v>
      </c>
      <c r="B297" t="s">
        <v>147</v>
      </c>
      <c r="C297" s="4">
        <f>0.3*1.23570895986082%</f>
        <v>3.7071268795824596E-3</v>
      </c>
      <c r="D297" t="s">
        <v>256</v>
      </c>
      <c r="E297" t="s">
        <v>282</v>
      </c>
      <c r="F297" t="s">
        <v>281</v>
      </c>
      <c r="G297" t="s">
        <v>245</v>
      </c>
    </row>
    <row r="298" spans="1:8" x14ac:dyDescent="0.25">
      <c r="A298" t="s">
        <v>19</v>
      </c>
      <c r="B298" t="s">
        <v>147</v>
      </c>
      <c r="C298" s="4">
        <f xml:space="preserve"> 0.7*1.23570895986082%</f>
        <v>8.6499627190257389E-3</v>
      </c>
      <c r="D298" t="s">
        <v>256</v>
      </c>
      <c r="E298" t="s">
        <v>280</v>
      </c>
      <c r="F298" t="s">
        <v>281</v>
      </c>
      <c r="G298" t="s">
        <v>245</v>
      </c>
    </row>
    <row r="299" spans="1:8" x14ac:dyDescent="0.25">
      <c r="A299" t="s">
        <v>19</v>
      </c>
      <c r="B299" t="s">
        <v>116</v>
      </c>
      <c r="C299" s="4">
        <f>0.3*5.74903690816453%</f>
        <v>1.7247110724493586E-2</v>
      </c>
      <c r="D299" t="s">
        <v>288</v>
      </c>
      <c r="E299" t="s">
        <v>282</v>
      </c>
      <c r="F299" t="s">
        <v>281</v>
      </c>
      <c r="G299" t="s">
        <v>245</v>
      </c>
    </row>
    <row r="300" spans="1:8" x14ac:dyDescent="0.25">
      <c r="A300" t="s">
        <v>19</v>
      </c>
      <c r="B300" t="s">
        <v>116</v>
      </c>
      <c r="C300" s="4">
        <f xml:space="preserve"> 0.7*5.74903690816453%</f>
        <v>4.0243258357151701E-2</v>
      </c>
      <c r="D300" t="s">
        <v>256</v>
      </c>
      <c r="E300" t="s">
        <v>280</v>
      </c>
      <c r="F300" t="s">
        <v>281</v>
      </c>
      <c r="G300" t="s">
        <v>245</v>
      </c>
    </row>
    <row r="301" spans="1:8" x14ac:dyDescent="0.25">
      <c r="A301" t="s">
        <v>19</v>
      </c>
      <c r="B301" t="s">
        <v>86</v>
      </c>
      <c r="C301" s="4">
        <f>0.3*5.74903690816453%</f>
        <v>1.7247110724493586E-2</v>
      </c>
      <c r="D301" t="s">
        <v>256</v>
      </c>
      <c r="E301" t="s">
        <v>282</v>
      </c>
      <c r="F301" t="s">
        <v>281</v>
      </c>
      <c r="G301" t="s">
        <v>245</v>
      </c>
    </row>
    <row r="302" spans="1:8" x14ac:dyDescent="0.25">
      <c r="A302" t="s">
        <v>19</v>
      </c>
      <c r="B302" t="s">
        <v>86</v>
      </c>
      <c r="C302" s="4">
        <f xml:space="preserve"> 0.7*38.6083322977507%</f>
        <v>0.27025832608425487</v>
      </c>
      <c r="D302" t="s">
        <v>256</v>
      </c>
      <c r="E302" t="s">
        <v>280</v>
      </c>
      <c r="F302" t="s">
        <v>281</v>
      </c>
      <c r="G302" t="s">
        <v>245</v>
      </c>
    </row>
    <row r="303" spans="1:8" x14ac:dyDescent="0.25">
      <c r="A303" t="s">
        <v>19</v>
      </c>
      <c r="B303" t="s">
        <v>117</v>
      </c>
      <c r="C303" s="4">
        <f>0.3*1.78638001739779%</f>
        <v>5.3591400521933704E-3</v>
      </c>
      <c r="D303" t="s">
        <v>256</v>
      </c>
      <c r="E303" t="s">
        <v>282</v>
      </c>
      <c r="F303" t="s">
        <v>281</v>
      </c>
      <c r="G303" t="s">
        <v>245</v>
      </c>
    </row>
    <row r="304" spans="1:8" x14ac:dyDescent="0.25">
      <c r="A304" t="s">
        <v>19</v>
      </c>
      <c r="B304" t="s">
        <v>117</v>
      </c>
      <c r="C304" s="4">
        <f xml:space="preserve"> 0.7*1.78638001739779%</f>
        <v>1.2504660121784529E-2</v>
      </c>
      <c r="D304" t="s">
        <v>256</v>
      </c>
      <c r="E304" t="s">
        <v>280</v>
      </c>
      <c r="F304" t="s">
        <v>281</v>
      </c>
      <c r="G304" t="s">
        <v>245</v>
      </c>
    </row>
    <row r="305" spans="1:7" x14ac:dyDescent="0.25">
      <c r="A305" t="s">
        <v>19</v>
      </c>
      <c r="B305" t="s">
        <v>97</v>
      </c>
      <c r="C305" s="4">
        <f>0.3*0.0365042873120417%</f>
        <v>1.095128619361251E-4</v>
      </c>
      <c r="D305" t="s">
        <v>256</v>
      </c>
      <c r="E305" t="s">
        <v>282</v>
      </c>
      <c r="F305" t="s">
        <v>281</v>
      </c>
      <c r="G305" t="s">
        <v>245</v>
      </c>
    </row>
    <row r="306" spans="1:7" x14ac:dyDescent="0.25">
      <c r="A306" t="s">
        <v>19</v>
      </c>
      <c r="B306" t="s">
        <v>97</v>
      </c>
      <c r="C306" s="4">
        <f xml:space="preserve"> 0.7*0.0365042873120417%</f>
        <v>2.555300111842919E-4</v>
      </c>
      <c r="D306" t="s">
        <v>256</v>
      </c>
      <c r="E306" t="s">
        <v>280</v>
      </c>
      <c r="F306" t="s">
        <v>281</v>
      </c>
      <c r="G306" t="s">
        <v>245</v>
      </c>
    </row>
    <row r="307" spans="1:7" x14ac:dyDescent="0.25">
      <c r="A307" t="s">
        <v>19</v>
      </c>
      <c r="B307" t="s">
        <v>119</v>
      </c>
      <c r="C307" s="4">
        <f>0.3*7.69075431837952%</f>
        <v>2.3072262955138558E-2</v>
      </c>
      <c r="D307" t="s">
        <v>256</v>
      </c>
      <c r="E307" t="s">
        <v>282</v>
      </c>
      <c r="F307" t="s">
        <v>281</v>
      </c>
      <c r="G307" t="s">
        <v>245</v>
      </c>
    </row>
    <row r="308" spans="1:7" x14ac:dyDescent="0.25">
      <c r="A308" t="s">
        <v>19</v>
      </c>
      <c r="B308" t="s">
        <v>119</v>
      </c>
      <c r="C308" s="4">
        <f xml:space="preserve"> 0.7*7.69075431837952%</f>
        <v>5.3835280228656635E-2</v>
      </c>
      <c r="D308" t="s">
        <v>256</v>
      </c>
      <c r="E308" t="s">
        <v>280</v>
      </c>
      <c r="F308" t="s">
        <v>281</v>
      </c>
      <c r="G308" t="s">
        <v>245</v>
      </c>
    </row>
    <row r="309" spans="1:7" x14ac:dyDescent="0.25">
      <c r="A309" t="s">
        <v>19</v>
      </c>
      <c r="B309" t="s">
        <v>102</v>
      </c>
      <c r="C309" s="4">
        <f>0.3*5.74748353423636%</f>
        <v>1.724245060270908E-2</v>
      </c>
      <c r="D309" t="s">
        <v>256</v>
      </c>
      <c r="E309" t="s">
        <v>282</v>
      </c>
      <c r="F309" t="s">
        <v>281</v>
      </c>
      <c r="G309" t="s">
        <v>245</v>
      </c>
    </row>
    <row r="310" spans="1:7" x14ac:dyDescent="0.25">
      <c r="A310" t="s">
        <v>19</v>
      </c>
      <c r="B310" t="s">
        <v>102</v>
      </c>
      <c r="C310" s="4">
        <f xml:space="preserve"> 0.7*5.74748353423636%</f>
        <v>4.0232384739654514E-2</v>
      </c>
      <c r="D310" t="s">
        <v>256</v>
      </c>
      <c r="E310" t="s">
        <v>280</v>
      </c>
      <c r="F310" t="s">
        <v>281</v>
      </c>
      <c r="G310" t="s">
        <v>245</v>
      </c>
    </row>
    <row r="311" spans="1:7" x14ac:dyDescent="0.25">
      <c r="A311" t="s">
        <v>19</v>
      </c>
      <c r="B311" t="s">
        <v>148</v>
      </c>
      <c r="C311" s="4">
        <f>0.3*17.4016714303467%</f>
        <v>5.2205014291040096E-2</v>
      </c>
      <c r="D311" t="s">
        <v>256</v>
      </c>
      <c r="E311" t="s">
        <v>282</v>
      </c>
      <c r="F311" t="s">
        <v>281</v>
      </c>
      <c r="G311" t="s">
        <v>245</v>
      </c>
    </row>
    <row r="312" spans="1:7" x14ac:dyDescent="0.25">
      <c r="A312" t="s">
        <v>19</v>
      </c>
      <c r="B312" t="s">
        <v>148</v>
      </c>
      <c r="C312" s="4">
        <f xml:space="preserve"> 0.7*17.4016714303467%</f>
        <v>0.12181170001242689</v>
      </c>
      <c r="D312" t="s">
        <v>256</v>
      </c>
      <c r="E312" t="s">
        <v>280</v>
      </c>
      <c r="F312" t="s">
        <v>281</v>
      </c>
      <c r="G312" t="s">
        <v>245</v>
      </c>
    </row>
    <row r="313" spans="1:7" x14ac:dyDescent="0.25">
      <c r="A313" t="s">
        <v>19</v>
      </c>
      <c r="B313" t="s">
        <v>149</v>
      </c>
      <c r="C313" s="4">
        <f>0.3*0.776686964085995%</f>
        <v>2.3300608922579851E-3</v>
      </c>
      <c r="D313" t="s">
        <v>256</v>
      </c>
      <c r="E313" t="s">
        <v>282</v>
      </c>
      <c r="F313" t="s">
        <v>281</v>
      </c>
      <c r="G313" t="s">
        <v>245</v>
      </c>
    </row>
    <row r="314" spans="1:7" x14ac:dyDescent="0.25">
      <c r="A314" t="s">
        <v>19</v>
      </c>
      <c r="B314" t="s">
        <v>149</v>
      </c>
      <c r="C314" s="4">
        <f xml:space="preserve"> 0.7*0.776686964085995%</f>
        <v>5.4368087486019647E-3</v>
      </c>
      <c r="D314" t="s">
        <v>256</v>
      </c>
      <c r="E314" t="s">
        <v>280</v>
      </c>
      <c r="F314" t="s">
        <v>281</v>
      </c>
      <c r="G314" t="s">
        <v>245</v>
      </c>
    </row>
    <row r="315" spans="1:7" x14ac:dyDescent="0.25">
      <c r="A315" t="s">
        <v>19</v>
      </c>
      <c r="B315" t="s">
        <v>150</v>
      </c>
      <c r="C315" s="4">
        <f>0.3*4.21741021498695%</f>
        <v>1.2652230644960851E-2</v>
      </c>
      <c r="D315" t="s">
        <v>256</v>
      </c>
      <c r="E315" t="s">
        <v>282</v>
      </c>
      <c r="F315" t="s">
        <v>281</v>
      </c>
      <c r="G315" t="s">
        <v>245</v>
      </c>
    </row>
    <row r="316" spans="1:7" x14ac:dyDescent="0.25">
      <c r="A316" t="s">
        <v>19</v>
      </c>
      <c r="B316" t="s">
        <v>150</v>
      </c>
      <c r="C316" s="4">
        <f xml:space="preserve"> 0.7*4.21741021498695%</f>
        <v>2.9521871504908651E-2</v>
      </c>
      <c r="D316" t="s">
        <v>256</v>
      </c>
      <c r="E316" t="s">
        <v>280</v>
      </c>
      <c r="F316" t="s">
        <v>281</v>
      </c>
      <c r="G316" t="s">
        <v>245</v>
      </c>
    </row>
    <row r="317" spans="1:7" x14ac:dyDescent="0.25">
      <c r="A317" t="s">
        <v>19</v>
      </c>
      <c r="B317" t="s">
        <v>130</v>
      </c>
      <c r="C317" s="4">
        <f>0.3*3.57276003479558%</f>
        <v>1.0718280104386741E-2</v>
      </c>
      <c r="D317" t="s">
        <v>256</v>
      </c>
      <c r="E317" t="s">
        <v>282</v>
      </c>
      <c r="F317" t="s">
        <v>281</v>
      </c>
      <c r="G317" t="s">
        <v>245</v>
      </c>
    </row>
    <row r="318" spans="1:7" x14ac:dyDescent="0.25">
      <c r="A318" t="s">
        <v>19</v>
      </c>
      <c r="B318" t="s">
        <v>130</v>
      </c>
      <c r="C318" s="4">
        <f xml:space="preserve"> 0.7*3.57276003479558%</f>
        <v>2.5009320243569059E-2</v>
      </c>
      <c r="D318" t="s">
        <v>256</v>
      </c>
      <c r="E318" t="s">
        <v>280</v>
      </c>
      <c r="F318" t="s">
        <v>281</v>
      </c>
      <c r="G318" t="s">
        <v>245</v>
      </c>
    </row>
    <row r="319" spans="1:7" x14ac:dyDescent="0.25">
      <c r="A319" t="s">
        <v>19</v>
      </c>
      <c r="B319" t="s">
        <v>132</v>
      </c>
      <c r="C319" s="4">
        <f>0.3*1.46483161426619%</f>
        <v>4.3944948427985693E-3</v>
      </c>
      <c r="D319" t="s">
        <v>256</v>
      </c>
      <c r="E319" t="s">
        <v>282</v>
      </c>
      <c r="F319" t="s">
        <v>281</v>
      </c>
      <c r="G319" t="s">
        <v>245</v>
      </c>
    </row>
    <row r="320" spans="1:7" x14ac:dyDescent="0.25">
      <c r="A320" t="s">
        <v>19</v>
      </c>
      <c r="B320" t="s">
        <v>132</v>
      </c>
      <c r="C320" s="4">
        <f xml:space="preserve"> 0.7*1.46483161426619%</f>
        <v>1.0253821299863328E-2</v>
      </c>
      <c r="D320" t="s">
        <v>256</v>
      </c>
      <c r="E320" t="s">
        <v>280</v>
      </c>
      <c r="F320" t="s">
        <v>281</v>
      </c>
      <c r="G320" t="s">
        <v>245</v>
      </c>
    </row>
    <row r="321" spans="1:8" x14ac:dyDescent="0.25">
      <c r="A321" t="s">
        <v>19</v>
      </c>
      <c r="B321" t="s">
        <v>146</v>
      </c>
      <c r="C321" s="4">
        <f>0.3*2.56306698148378%</f>
        <v>7.6892009444513394E-3</v>
      </c>
      <c r="D321" t="s">
        <v>256</v>
      </c>
      <c r="E321" t="s">
        <v>282</v>
      </c>
      <c r="F321" t="s">
        <v>281</v>
      </c>
      <c r="G321" t="s">
        <v>245</v>
      </c>
    </row>
    <row r="322" spans="1:8" x14ac:dyDescent="0.25">
      <c r="A322" t="s">
        <v>19</v>
      </c>
      <c r="B322" t="s">
        <v>146</v>
      </c>
      <c r="C322" s="4">
        <f xml:space="preserve"> 0.7*2.56306698148378%</f>
        <v>1.7941468870386459E-2</v>
      </c>
      <c r="D322" t="s">
        <v>256</v>
      </c>
      <c r="E322" t="s">
        <v>280</v>
      </c>
      <c r="F322" t="s">
        <v>281</v>
      </c>
      <c r="G322" t="s">
        <v>245</v>
      </c>
    </row>
    <row r="323" spans="1:8" x14ac:dyDescent="0.25">
      <c r="A323" t="s">
        <v>19</v>
      </c>
      <c r="B323" t="s">
        <v>151</v>
      </c>
      <c r="C323" s="4">
        <f>0.3*0.693581458928793%</f>
        <v>2.0807443767863788E-3</v>
      </c>
      <c r="D323" t="s">
        <v>256</v>
      </c>
      <c r="E323" t="s">
        <v>282</v>
      </c>
      <c r="F323" t="s">
        <v>281</v>
      </c>
      <c r="G323" t="s">
        <v>245</v>
      </c>
    </row>
    <row r="324" spans="1:8" x14ac:dyDescent="0.25">
      <c r="A324" t="s">
        <v>19</v>
      </c>
      <c r="B324" t="s">
        <v>151</v>
      </c>
      <c r="C324" s="4">
        <f xml:space="preserve"> 0.7*0.693581458928793%</f>
        <v>4.8550702125015506E-3</v>
      </c>
      <c r="D324" t="s">
        <v>256</v>
      </c>
      <c r="E324" t="s">
        <v>280</v>
      </c>
      <c r="F324" t="s">
        <v>281</v>
      </c>
      <c r="G324" t="s">
        <v>245</v>
      </c>
    </row>
    <row r="325" spans="1:8" x14ac:dyDescent="0.25">
      <c r="A325" t="s">
        <v>19</v>
      </c>
      <c r="B325" t="s">
        <v>107</v>
      </c>
      <c r="C325" s="4">
        <f>0.3*5.28147135578476%</f>
        <v>1.5844414067354276E-2</v>
      </c>
      <c r="D325" t="s">
        <v>256</v>
      </c>
      <c r="E325" t="s">
        <v>282</v>
      </c>
      <c r="F325" t="s">
        <v>281</v>
      </c>
      <c r="G325" t="s">
        <v>245</v>
      </c>
    </row>
    <row r="326" spans="1:8" x14ac:dyDescent="0.25">
      <c r="A326" t="s">
        <v>19</v>
      </c>
      <c r="B326" t="s">
        <v>107</v>
      </c>
      <c r="C326" s="4">
        <f xml:space="preserve"> 0.7*5.28147135578476%</f>
        <v>3.6970299490493311E-2</v>
      </c>
      <c r="D326" t="s">
        <v>256</v>
      </c>
      <c r="E326" t="s">
        <v>280</v>
      </c>
      <c r="F326" t="s">
        <v>281</v>
      </c>
      <c r="G326" t="s">
        <v>245</v>
      </c>
    </row>
    <row r="327" spans="1:8" x14ac:dyDescent="0.25">
      <c r="A327" t="s">
        <v>19</v>
      </c>
      <c r="B327" t="s">
        <v>113</v>
      </c>
      <c r="C327" s="4">
        <f>0.3*2.13588915123649%</f>
        <v>6.4076674537094707E-3</v>
      </c>
      <c r="D327" t="s">
        <v>256</v>
      </c>
      <c r="E327" t="s">
        <v>282</v>
      </c>
      <c r="F327" t="s">
        <v>281</v>
      </c>
      <c r="G327" t="s">
        <v>245</v>
      </c>
    </row>
    <row r="328" spans="1:8" x14ac:dyDescent="0.25">
      <c r="A328" t="s">
        <v>19</v>
      </c>
      <c r="B328" t="s">
        <v>113</v>
      </c>
      <c r="C328" s="4">
        <f xml:space="preserve"> 0.7*2.13588915123649%</f>
        <v>1.495122405865543E-2</v>
      </c>
      <c r="D328" t="s">
        <v>256</v>
      </c>
      <c r="E328" t="s">
        <v>280</v>
      </c>
      <c r="F328" t="s">
        <v>281</v>
      </c>
      <c r="G328" t="s">
        <v>245</v>
      </c>
    </row>
    <row r="329" spans="1:8" x14ac:dyDescent="0.25">
      <c r="A329" t="s">
        <v>285</v>
      </c>
      <c r="B329" t="s">
        <v>152</v>
      </c>
      <c r="C329" s="4">
        <v>1.2629649451162799E-4</v>
      </c>
      <c r="D329" t="s">
        <v>256</v>
      </c>
      <c r="E329" t="s">
        <v>284</v>
      </c>
      <c r="F329" t="s">
        <v>285</v>
      </c>
      <c r="G329" t="s">
        <v>245</v>
      </c>
      <c r="H329" t="s">
        <v>603</v>
      </c>
    </row>
    <row r="330" spans="1:8" x14ac:dyDescent="0.25">
      <c r="A330" t="s">
        <v>285</v>
      </c>
      <c r="B330" t="s">
        <v>153</v>
      </c>
      <c r="C330" s="4">
        <v>2.5924519761167591E-2</v>
      </c>
      <c r="D330" t="s">
        <v>256</v>
      </c>
      <c r="E330" t="s">
        <v>284</v>
      </c>
      <c r="F330" t="s">
        <v>285</v>
      </c>
      <c r="G330" t="s">
        <v>245</v>
      </c>
    </row>
    <row r="331" spans="1:8" x14ac:dyDescent="0.25">
      <c r="A331" t="s">
        <v>285</v>
      </c>
      <c r="B331" t="s">
        <v>85</v>
      </c>
      <c r="C331" s="4">
        <v>6.2631579778266409E-3</v>
      </c>
      <c r="D331" t="s">
        <v>256</v>
      </c>
      <c r="E331" t="s">
        <v>284</v>
      </c>
      <c r="F331" t="s">
        <v>285</v>
      </c>
      <c r="G331" t="s">
        <v>245</v>
      </c>
    </row>
    <row r="332" spans="1:8" x14ac:dyDescent="0.25">
      <c r="A332" t="s">
        <v>285</v>
      </c>
      <c r="B332" t="s">
        <v>86</v>
      </c>
      <c r="C332" s="4">
        <v>8.6111246257928155E-4</v>
      </c>
      <c r="D332" t="s">
        <v>256</v>
      </c>
      <c r="E332" t="s">
        <v>284</v>
      </c>
      <c r="F332" t="s">
        <v>285</v>
      </c>
      <c r="G332" t="s">
        <v>245</v>
      </c>
    </row>
    <row r="333" spans="1:8" x14ac:dyDescent="0.25">
      <c r="A333" t="s">
        <v>285</v>
      </c>
      <c r="B333" t="s">
        <v>87</v>
      </c>
      <c r="C333" s="4">
        <v>3.4444498503171261E-7</v>
      </c>
      <c r="D333" t="s">
        <v>256</v>
      </c>
      <c r="E333" t="s">
        <v>284</v>
      </c>
      <c r="F333" t="s">
        <v>285</v>
      </c>
      <c r="G333" t="s">
        <v>245</v>
      </c>
    </row>
    <row r="334" spans="1:8" x14ac:dyDescent="0.25">
      <c r="A334" t="s">
        <v>285</v>
      </c>
      <c r="B334" t="s">
        <v>154</v>
      </c>
      <c r="C334" s="4">
        <v>3.1733992026959708E-2</v>
      </c>
      <c r="D334" t="s">
        <v>256</v>
      </c>
      <c r="E334" t="s">
        <v>284</v>
      </c>
      <c r="F334" t="s">
        <v>285</v>
      </c>
      <c r="G334" t="s">
        <v>245</v>
      </c>
    </row>
    <row r="335" spans="1:8" x14ac:dyDescent="0.25">
      <c r="A335" t="s">
        <v>285</v>
      </c>
      <c r="B335" t="s">
        <v>97</v>
      </c>
      <c r="C335" s="4">
        <v>9.6471927518441802E-2</v>
      </c>
      <c r="D335" t="s">
        <v>256</v>
      </c>
      <c r="E335" t="s">
        <v>284</v>
      </c>
      <c r="F335" t="s">
        <v>285</v>
      </c>
      <c r="G335" t="s">
        <v>245</v>
      </c>
    </row>
    <row r="336" spans="1:8" x14ac:dyDescent="0.25">
      <c r="A336" t="s">
        <v>285</v>
      </c>
      <c r="B336" t="s">
        <v>99</v>
      </c>
      <c r="C336" s="4">
        <v>7.5030738126945487E-3</v>
      </c>
      <c r="D336" t="s">
        <v>256</v>
      </c>
      <c r="E336" t="s">
        <v>284</v>
      </c>
      <c r="F336" t="s">
        <v>285</v>
      </c>
      <c r="G336" t="s">
        <v>245</v>
      </c>
    </row>
    <row r="337" spans="1:8" x14ac:dyDescent="0.25">
      <c r="A337" t="s">
        <v>285</v>
      </c>
      <c r="B337" t="s">
        <v>102</v>
      </c>
      <c r="C337" s="4">
        <v>0.1879527209072796</v>
      </c>
      <c r="D337" t="s">
        <v>286</v>
      </c>
      <c r="E337" t="s">
        <v>284</v>
      </c>
      <c r="F337" t="s">
        <v>285</v>
      </c>
      <c r="G337" t="s">
        <v>245</v>
      </c>
    </row>
    <row r="338" spans="1:8" x14ac:dyDescent="0.25">
      <c r="A338" t="s">
        <v>285</v>
      </c>
      <c r="B338" t="s">
        <v>141</v>
      </c>
      <c r="C338" s="4">
        <v>1.157226075461294E-3</v>
      </c>
      <c r="D338" t="s">
        <v>256</v>
      </c>
      <c r="E338" t="s">
        <v>284</v>
      </c>
      <c r="F338" t="s">
        <v>285</v>
      </c>
      <c r="G338" t="s">
        <v>245</v>
      </c>
    </row>
    <row r="339" spans="1:8" x14ac:dyDescent="0.25">
      <c r="A339" t="s">
        <v>285</v>
      </c>
      <c r="B339" t="s">
        <v>133</v>
      </c>
      <c r="C339" s="4">
        <v>1.707815643284737E-2</v>
      </c>
      <c r="D339" t="s">
        <v>256</v>
      </c>
      <c r="E339" t="s">
        <v>284</v>
      </c>
      <c r="F339" t="s">
        <v>285</v>
      </c>
      <c r="G339" t="s">
        <v>245</v>
      </c>
    </row>
    <row r="340" spans="1:8" x14ac:dyDescent="0.25">
      <c r="A340" t="s">
        <v>285</v>
      </c>
      <c r="B340" t="s">
        <v>106</v>
      </c>
      <c r="C340" s="4">
        <v>1.156186999756449E-2</v>
      </c>
      <c r="D340" t="s">
        <v>256</v>
      </c>
      <c r="E340" t="s">
        <v>284</v>
      </c>
      <c r="F340" t="s">
        <v>285</v>
      </c>
      <c r="G340" t="s">
        <v>245</v>
      </c>
    </row>
    <row r="341" spans="1:8" x14ac:dyDescent="0.25">
      <c r="A341" t="s">
        <v>285</v>
      </c>
      <c r="B341" t="s">
        <v>155</v>
      </c>
      <c r="C341" s="4">
        <v>2.9909822867731262E-3</v>
      </c>
      <c r="D341" t="s">
        <v>256</v>
      </c>
      <c r="E341" t="s">
        <v>284</v>
      </c>
      <c r="F341" t="s">
        <v>285</v>
      </c>
      <c r="G341" t="s">
        <v>245</v>
      </c>
    </row>
    <row r="342" spans="1:8" x14ac:dyDescent="0.25">
      <c r="A342" t="s">
        <v>285</v>
      </c>
      <c r="B342" t="s">
        <v>156</v>
      </c>
      <c r="C342" s="4">
        <v>9.9748397290308705E-4</v>
      </c>
      <c r="D342" t="s">
        <v>256</v>
      </c>
      <c r="E342" t="s">
        <v>284</v>
      </c>
      <c r="F342" t="s">
        <v>285</v>
      </c>
      <c r="G342" t="s">
        <v>245</v>
      </c>
    </row>
    <row r="343" spans="1:8" x14ac:dyDescent="0.25">
      <c r="A343" t="s">
        <v>285</v>
      </c>
      <c r="B343" t="s">
        <v>107</v>
      </c>
      <c r="C343" s="4">
        <v>1.7101693506824531E-2</v>
      </c>
      <c r="D343" t="s">
        <v>256</v>
      </c>
      <c r="E343" t="s">
        <v>284</v>
      </c>
      <c r="F343" t="s">
        <v>285</v>
      </c>
      <c r="G343" t="s">
        <v>245</v>
      </c>
    </row>
    <row r="344" spans="1:8" x14ac:dyDescent="0.25">
      <c r="A344" t="s">
        <v>285</v>
      </c>
      <c r="B344" t="s">
        <v>137</v>
      </c>
      <c r="C344" s="4">
        <v>0.48057119311867807</v>
      </c>
      <c r="D344" t="s">
        <v>256</v>
      </c>
      <c r="E344" t="s">
        <v>284</v>
      </c>
      <c r="F344" t="s">
        <v>285</v>
      </c>
      <c r="G344" t="s">
        <v>245</v>
      </c>
    </row>
    <row r="345" spans="1:8" x14ac:dyDescent="0.25">
      <c r="A345" t="s">
        <v>285</v>
      </c>
      <c r="B345" t="s">
        <v>157</v>
      </c>
      <c r="C345" s="4">
        <v>4.898466947130996E-4</v>
      </c>
      <c r="D345" t="s">
        <v>256</v>
      </c>
      <c r="E345" t="s">
        <v>284</v>
      </c>
      <c r="F345" t="s">
        <v>285</v>
      </c>
      <c r="G345" t="s">
        <v>245</v>
      </c>
    </row>
    <row r="346" spans="1:8" x14ac:dyDescent="0.25">
      <c r="A346" t="s">
        <v>285</v>
      </c>
      <c r="B346" t="s">
        <v>112</v>
      </c>
      <c r="C346" s="4">
        <v>7.8779160676553092E-2</v>
      </c>
      <c r="D346" t="s">
        <v>256</v>
      </c>
      <c r="E346" t="s">
        <v>284</v>
      </c>
      <c r="F346" t="s">
        <v>285</v>
      </c>
      <c r="G346" t="s">
        <v>245</v>
      </c>
    </row>
    <row r="347" spans="1:8" x14ac:dyDescent="0.25">
      <c r="A347" t="s">
        <v>285</v>
      </c>
      <c r="B347" t="s">
        <v>158</v>
      </c>
      <c r="C347" s="4">
        <v>3.2435241831236021E-2</v>
      </c>
      <c r="D347" t="s">
        <v>256</v>
      </c>
      <c r="E347" t="s">
        <v>284</v>
      </c>
      <c r="F347" t="s">
        <v>285</v>
      </c>
      <c r="G347" t="s">
        <v>245</v>
      </c>
    </row>
    <row r="348" spans="1:8" x14ac:dyDescent="0.25">
      <c r="A348" t="s">
        <v>21</v>
      </c>
      <c r="B348" t="s">
        <v>83</v>
      </c>
      <c r="C348" s="4">
        <v>4.1208758140038763E-2</v>
      </c>
      <c r="D348" t="s">
        <v>298</v>
      </c>
      <c r="E348" t="s">
        <v>296</v>
      </c>
      <c r="F348" t="s">
        <v>297</v>
      </c>
      <c r="G348" t="s">
        <v>245</v>
      </c>
      <c r="H348" t="s">
        <v>300</v>
      </c>
    </row>
    <row r="349" spans="1:8" x14ac:dyDescent="0.25">
      <c r="A349" t="s">
        <v>290</v>
      </c>
      <c r="B349" t="s">
        <v>83</v>
      </c>
      <c r="D349" t="s">
        <v>298</v>
      </c>
      <c r="E349" t="s">
        <v>299</v>
      </c>
      <c r="F349" t="s">
        <v>290</v>
      </c>
      <c r="G349" t="s">
        <v>245</v>
      </c>
      <c r="H349" t="s">
        <v>301</v>
      </c>
    </row>
    <row r="350" spans="1:8" x14ac:dyDescent="0.25">
      <c r="A350" t="s">
        <v>21</v>
      </c>
      <c r="B350" t="s">
        <v>85</v>
      </c>
      <c r="C350" s="4">
        <v>3.9571722618775361E-4</v>
      </c>
      <c r="D350" t="s">
        <v>298</v>
      </c>
      <c r="E350" t="s">
        <v>296</v>
      </c>
      <c r="F350" t="s">
        <v>297</v>
      </c>
      <c r="G350" t="s">
        <v>245</v>
      </c>
    </row>
    <row r="351" spans="1:8" x14ac:dyDescent="0.25">
      <c r="A351" t="s">
        <v>290</v>
      </c>
      <c r="B351" t="s">
        <v>85</v>
      </c>
      <c r="D351" t="s">
        <v>298</v>
      </c>
      <c r="E351" t="s">
        <v>299</v>
      </c>
      <c r="F351" t="s">
        <v>290</v>
      </c>
      <c r="G351" t="s">
        <v>245</v>
      </c>
    </row>
    <row r="352" spans="1:8" x14ac:dyDescent="0.25">
      <c r="A352" t="s">
        <v>21</v>
      </c>
      <c r="B352" t="s">
        <v>116</v>
      </c>
      <c r="C352" s="4">
        <v>3.748179399833889E-2</v>
      </c>
      <c r="D352" t="s">
        <v>298</v>
      </c>
      <c r="E352" t="s">
        <v>296</v>
      </c>
      <c r="F352" t="s">
        <v>297</v>
      </c>
      <c r="G352" t="s">
        <v>245</v>
      </c>
    </row>
    <row r="353" spans="1:8" x14ac:dyDescent="0.25">
      <c r="A353" t="s">
        <v>290</v>
      </c>
      <c r="B353" t="s">
        <v>116</v>
      </c>
      <c r="D353" t="s">
        <v>298</v>
      </c>
      <c r="E353" t="s">
        <v>299</v>
      </c>
      <c r="F353" t="s">
        <v>290</v>
      </c>
      <c r="G353" t="s">
        <v>245</v>
      </c>
    </row>
    <row r="354" spans="1:8" x14ac:dyDescent="0.25">
      <c r="A354" t="s">
        <v>21</v>
      </c>
      <c r="B354" t="s">
        <v>86</v>
      </c>
      <c r="C354" s="4">
        <v>2.7050206434994041E-2</v>
      </c>
      <c r="D354" t="s">
        <v>298</v>
      </c>
      <c r="E354" t="s">
        <v>296</v>
      </c>
      <c r="F354" t="s">
        <v>297</v>
      </c>
      <c r="G354" t="s">
        <v>245</v>
      </c>
    </row>
    <row r="355" spans="1:8" x14ac:dyDescent="0.25">
      <c r="A355" t="s">
        <v>290</v>
      </c>
      <c r="B355" t="s">
        <v>86</v>
      </c>
      <c r="D355" t="s">
        <v>298</v>
      </c>
      <c r="E355" t="s">
        <v>299</v>
      </c>
      <c r="F355" t="s">
        <v>290</v>
      </c>
      <c r="G355" t="s">
        <v>245</v>
      </c>
    </row>
    <row r="356" spans="1:8" x14ac:dyDescent="0.25">
      <c r="A356" t="s">
        <v>21</v>
      </c>
      <c r="B356" t="s">
        <v>159</v>
      </c>
      <c r="C356" s="4">
        <f>(59.2/(14.8+59.2))*67.6223563681885%</f>
        <v>0.54097885094550813</v>
      </c>
      <c r="D356" t="s">
        <v>298</v>
      </c>
      <c r="E356" t="s">
        <v>296</v>
      </c>
      <c r="F356" t="s">
        <v>297</v>
      </c>
      <c r="G356" t="s">
        <v>245</v>
      </c>
      <c r="H356" t="s">
        <v>294</v>
      </c>
    </row>
    <row r="357" spans="1:8" x14ac:dyDescent="0.25">
      <c r="A357" t="s">
        <v>21</v>
      </c>
      <c r="B357" t="s">
        <v>159</v>
      </c>
      <c r="C357" s="4">
        <f>(14.8/(14.8+59.2))*67.6223563681885%</f>
        <v>0.13524471273637703</v>
      </c>
      <c r="D357" t="s">
        <v>298</v>
      </c>
      <c r="E357" t="s">
        <v>295</v>
      </c>
      <c r="F357" t="s">
        <v>297</v>
      </c>
      <c r="G357" t="s">
        <v>245</v>
      </c>
    </row>
    <row r="358" spans="1:8" x14ac:dyDescent="0.25">
      <c r="A358" t="s">
        <v>290</v>
      </c>
      <c r="B358" t="s">
        <v>159</v>
      </c>
      <c r="D358" t="s">
        <v>298</v>
      </c>
      <c r="E358" t="s">
        <v>299</v>
      </c>
      <c r="F358" t="s">
        <v>290</v>
      </c>
      <c r="G358" t="s">
        <v>245</v>
      </c>
    </row>
    <row r="359" spans="1:8" x14ac:dyDescent="0.25">
      <c r="A359" t="s">
        <v>21</v>
      </c>
      <c r="B359" t="s">
        <v>160</v>
      </c>
      <c r="C359" s="4">
        <v>3.7615705911383412E-2</v>
      </c>
      <c r="D359" t="s">
        <v>298</v>
      </c>
      <c r="E359" t="s">
        <v>296</v>
      </c>
      <c r="F359" t="s">
        <v>297</v>
      </c>
      <c r="G359" t="s">
        <v>245</v>
      </c>
    </row>
    <row r="360" spans="1:8" x14ac:dyDescent="0.25">
      <c r="A360" t="s">
        <v>290</v>
      </c>
      <c r="B360" t="s">
        <v>160</v>
      </c>
      <c r="D360" t="s">
        <v>298</v>
      </c>
      <c r="E360" t="s">
        <v>299</v>
      </c>
      <c r="F360" t="s">
        <v>290</v>
      </c>
      <c r="G360" t="s">
        <v>245</v>
      </c>
    </row>
    <row r="361" spans="1:8" x14ac:dyDescent="0.25">
      <c r="A361" t="s">
        <v>21</v>
      </c>
      <c r="B361" t="s">
        <v>154</v>
      </c>
      <c r="C361" s="4">
        <v>1.109512861562165E-2</v>
      </c>
      <c r="D361" t="s">
        <v>298</v>
      </c>
      <c r="E361" t="s">
        <v>296</v>
      </c>
      <c r="F361" t="s">
        <v>297</v>
      </c>
      <c r="G361" t="s">
        <v>245</v>
      </c>
    </row>
    <row r="362" spans="1:8" x14ac:dyDescent="0.25">
      <c r="A362" t="s">
        <v>290</v>
      </c>
      <c r="B362" t="s">
        <v>154</v>
      </c>
      <c r="D362" t="s">
        <v>298</v>
      </c>
      <c r="E362" t="s">
        <v>299</v>
      </c>
      <c r="F362" t="s">
        <v>290</v>
      </c>
      <c r="G362" t="s">
        <v>245</v>
      </c>
    </row>
    <row r="363" spans="1:8" x14ac:dyDescent="0.25">
      <c r="A363" t="s">
        <v>21</v>
      </c>
      <c r="B363" t="s">
        <v>98</v>
      </c>
      <c r="C363" s="4">
        <v>2.6330994137968391E-3</v>
      </c>
      <c r="D363" t="s">
        <v>298</v>
      </c>
      <c r="E363" t="s">
        <v>296</v>
      </c>
      <c r="F363" t="s">
        <v>297</v>
      </c>
      <c r="G363" t="s">
        <v>245</v>
      </c>
    </row>
    <row r="364" spans="1:8" x14ac:dyDescent="0.25">
      <c r="A364" t="s">
        <v>290</v>
      </c>
      <c r="B364" t="s">
        <v>98</v>
      </c>
      <c r="D364" t="s">
        <v>298</v>
      </c>
      <c r="E364" t="s">
        <v>299</v>
      </c>
      <c r="F364" t="s">
        <v>290</v>
      </c>
      <c r="G364" t="s">
        <v>245</v>
      </c>
    </row>
    <row r="365" spans="1:8" x14ac:dyDescent="0.25">
      <c r="A365" t="s">
        <v>21</v>
      </c>
      <c r="B365" t="s">
        <v>141</v>
      </c>
      <c r="C365" s="4">
        <v>1.783586311494156E-2</v>
      </c>
      <c r="D365" t="s">
        <v>298</v>
      </c>
      <c r="E365" t="s">
        <v>296</v>
      </c>
      <c r="F365" t="s">
        <v>297</v>
      </c>
      <c r="G365" t="s">
        <v>245</v>
      </c>
    </row>
    <row r="366" spans="1:8" x14ac:dyDescent="0.25">
      <c r="A366" t="s">
        <v>290</v>
      </c>
      <c r="B366" t="s">
        <v>141</v>
      </c>
      <c r="D366" t="s">
        <v>298</v>
      </c>
      <c r="E366" t="s">
        <v>299</v>
      </c>
      <c r="F366" t="s">
        <v>290</v>
      </c>
      <c r="G366" t="s">
        <v>245</v>
      </c>
    </row>
    <row r="367" spans="1:8" x14ac:dyDescent="0.25">
      <c r="A367" t="s">
        <v>21</v>
      </c>
      <c r="B367" t="s">
        <v>161</v>
      </c>
      <c r="C367" s="4">
        <v>1.5556351336711729E-2</v>
      </c>
      <c r="D367" t="s">
        <v>298</v>
      </c>
      <c r="E367" t="s">
        <v>296</v>
      </c>
      <c r="F367" t="s">
        <v>297</v>
      </c>
      <c r="G367" t="s">
        <v>245</v>
      </c>
    </row>
    <row r="368" spans="1:8" x14ac:dyDescent="0.25">
      <c r="A368" t="s">
        <v>290</v>
      </c>
      <c r="B368" t="s">
        <v>161</v>
      </c>
      <c r="D368" t="s">
        <v>298</v>
      </c>
      <c r="E368" t="s">
        <v>299</v>
      </c>
      <c r="F368" t="s">
        <v>290</v>
      </c>
      <c r="G368" t="s">
        <v>245</v>
      </c>
    </row>
    <row r="369" spans="1:7" x14ac:dyDescent="0.25">
      <c r="A369" t="s">
        <v>21</v>
      </c>
      <c r="B369" t="s">
        <v>162</v>
      </c>
      <c r="C369" s="4">
        <v>1.547359678370668E-2</v>
      </c>
      <c r="D369" t="s">
        <v>298</v>
      </c>
      <c r="E369" t="s">
        <v>296</v>
      </c>
      <c r="F369" t="s">
        <v>297</v>
      </c>
      <c r="G369" t="s">
        <v>245</v>
      </c>
    </row>
    <row r="370" spans="1:7" x14ac:dyDescent="0.25">
      <c r="A370" t="s">
        <v>290</v>
      </c>
      <c r="B370" t="s">
        <v>162</v>
      </c>
      <c r="D370" t="s">
        <v>298</v>
      </c>
      <c r="E370" t="s">
        <v>299</v>
      </c>
      <c r="F370" t="s">
        <v>290</v>
      </c>
      <c r="G370" t="s">
        <v>245</v>
      </c>
    </row>
    <row r="371" spans="1:7" x14ac:dyDescent="0.25">
      <c r="A371" t="s">
        <v>21</v>
      </c>
      <c r="B371" t="s">
        <v>155</v>
      </c>
      <c r="C371" s="4">
        <v>2.3156228559047629E-2</v>
      </c>
      <c r="D371" t="s">
        <v>298</v>
      </c>
      <c r="E371" t="s">
        <v>296</v>
      </c>
      <c r="F371" t="s">
        <v>297</v>
      </c>
      <c r="G371" t="s">
        <v>245</v>
      </c>
    </row>
    <row r="372" spans="1:7" x14ac:dyDescent="0.25">
      <c r="A372" t="s">
        <v>290</v>
      </c>
      <c r="B372" t="s">
        <v>155</v>
      </c>
      <c r="D372" t="s">
        <v>298</v>
      </c>
      <c r="E372" t="s">
        <v>299</v>
      </c>
      <c r="F372" t="s">
        <v>290</v>
      </c>
      <c r="G372" t="s">
        <v>245</v>
      </c>
    </row>
    <row r="373" spans="1:7" x14ac:dyDescent="0.25">
      <c r="A373" t="s">
        <v>21</v>
      </c>
      <c r="B373" t="s">
        <v>156</v>
      </c>
      <c r="C373" s="4">
        <v>2.9565944846347361E-2</v>
      </c>
      <c r="D373" t="s">
        <v>298</v>
      </c>
      <c r="E373" t="s">
        <v>296</v>
      </c>
      <c r="F373" t="s">
        <v>297</v>
      </c>
      <c r="G373" t="s">
        <v>245</v>
      </c>
    </row>
    <row r="374" spans="1:7" x14ac:dyDescent="0.25">
      <c r="A374" t="s">
        <v>290</v>
      </c>
      <c r="B374" t="s">
        <v>156</v>
      </c>
      <c r="D374" t="s">
        <v>298</v>
      </c>
      <c r="E374" t="s">
        <v>299</v>
      </c>
      <c r="F374" t="s">
        <v>290</v>
      </c>
      <c r="G374" t="s">
        <v>245</v>
      </c>
    </row>
    <row r="375" spans="1:7" x14ac:dyDescent="0.25">
      <c r="A375" t="s">
        <v>21</v>
      </c>
      <c r="B375" t="s">
        <v>107</v>
      </c>
      <c r="C375" s="4">
        <v>4.4461764387255187E-2</v>
      </c>
      <c r="D375" t="s">
        <v>298</v>
      </c>
      <c r="E375" t="s">
        <v>296</v>
      </c>
      <c r="F375" t="s">
        <v>297</v>
      </c>
      <c r="G375" t="s">
        <v>245</v>
      </c>
    </row>
    <row r="376" spans="1:7" x14ac:dyDescent="0.25">
      <c r="A376" t="s">
        <v>290</v>
      </c>
      <c r="B376" t="s">
        <v>107</v>
      </c>
      <c r="D376" t="s">
        <v>298</v>
      </c>
      <c r="E376" t="s">
        <v>299</v>
      </c>
      <c r="F376" t="s">
        <v>290</v>
      </c>
      <c r="G376" t="s">
        <v>245</v>
      </c>
    </row>
    <row r="377" spans="1:7" x14ac:dyDescent="0.25">
      <c r="A377" t="s">
        <v>21</v>
      </c>
      <c r="B377" t="s">
        <v>137</v>
      </c>
      <c r="C377" s="4">
        <v>6.6369151510044886E-3</v>
      </c>
      <c r="D377" t="s">
        <v>298</v>
      </c>
      <c r="E377" t="s">
        <v>296</v>
      </c>
      <c r="F377" t="s">
        <v>297</v>
      </c>
      <c r="G377" t="s">
        <v>245</v>
      </c>
    </row>
    <row r="378" spans="1:7" x14ac:dyDescent="0.25">
      <c r="A378" t="s">
        <v>290</v>
      </c>
      <c r="B378" t="s">
        <v>137</v>
      </c>
      <c r="D378" t="s">
        <v>298</v>
      </c>
      <c r="E378" t="s">
        <v>299</v>
      </c>
      <c r="F378" t="s">
        <v>290</v>
      </c>
      <c r="G378" t="s">
        <v>245</v>
      </c>
    </row>
    <row r="379" spans="1:7" x14ac:dyDescent="0.25">
      <c r="A379" t="s">
        <v>21</v>
      </c>
      <c r="B379" t="s">
        <v>112</v>
      </c>
      <c r="C379" s="4">
        <v>1.570831878859372E-3</v>
      </c>
      <c r="D379" t="s">
        <v>298</v>
      </c>
      <c r="E379" t="s">
        <v>296</v>
      </c>
      <c r="F379" t="s">
        <v>297</v>
      </c>
      <c r="G379" t="s">
        <v>245</v>
      </c>
    </row>
    <row r="380" spans="1:7" x14ac:dyDescent="0.25">
      <c r="A380" t="s">
        <v>290</v>
      </c>
      <c r="B380" t="s">
        <v>112</v>
      </c>
      <c r="D380" t="s">
        <v>298</v>
      </c>
      <c r="E380" t="s">
        <v>299</v>
      </c>
      <c r="F380" t="s">
        <v>290</v>
      </c>
      <c r="G380" t="s">
        <v>245</v>
      </c>
    </row>
    <row r="381" spans="1:7" x14ac:dyDescent="0.25">
      <c r="A381" t="s">
        <v>21</v>
      </c>
      <c r="B381" t="s">
        <v>113</v>
      </c>
      <c r="C381" s="4">
        <v>4.5590235564596697E-3</v>
      </c>
      <c r="D381" t="s">
        <v>298</v>
      </c>
      <c r="E381" t="s">
        <v>296</v>
      </c>
      <c r="F381" t="s">
        <v>297</v>
      </c>
      <c r="G381" t="s">
        <v>245</v>
      </c>
    </row>
    <row r="382" spans="1:7" x14ac:dyDescent="0.25">
      <c r="A382" t="s">
        <v>290</v>
      </c>
      <c r="B382" t="s">
        <v>113</v>
      </c>
      <c r="D382" t="s">
        <v>298</v>
      </c>
      <c r="E382" t="s">
        <v>299</v>
      </c>
      <c r="F382" t="s">
        <v>290</v>
      </c>
      <c r="G382" t="s">
        <v>245</v>
      </c>
    </row>
    <row r="383" spans="1:7" x14ac:dyDescent="0.25">
      <c r="A383" t="s">
        <v>21</v>
      </c>
      <c r="B383" t="s">
        <v>143</v>
      </c>
      <c r="C383" s="4">
        <v>3.8172418358871892E-3</v>
      </c>
      <c r="D383" t="s">
        <v>298</v>
      </c>
      <c r="E383" t="s">
        <v>296</v>
      </c>
      <c r="F383" t="s">
        <v>297</v>
      </c>
      <c r="G383" t="s">
        <v>245</v>
      </c>
    </row>
    <row r="384" spans="1:7" x14ac:dyDescent="0.25">
      <c r="A384" t="s">
        <v>290</v>
      </c>
      <c r="B384" t="s">
        <v>143</v>
      </c>
      <c r="D384" t="s">
        <v>298</v>
      </c>
      <c r="E384" t="s">
        <v>299</v>
      </c>
      <c r="F384" t="s">
        <v>290</v>
      </c>
      <c r="G384" t="s">
        <v>245</v>
      </c>
    </row>
    <row r="385" spans="1:8" x14ac:dyDescent="0.25">
      <c r="A385" t="s">
        <v>21</v>
      </c>
      <c r="B385" t="s">
        <v>158</v>
      </c>
      <c r="C385" s="4">
        <v>3.662265127532289E-3</v>
      </c>
      <c r="D385" t="s">
        <v>298</v>
      </c>
      <c r="E385" t="s">
        <v>296</v>
      </c>
      <c r="F385" t="s">
        <v>297</v>
      </c>
      <c r="G385" t="s">
        <v>245</v>
      </c>
    </row>
    <row r="386" spans="1:8" x14ac:dyDescent="0.25">
      <c r="A386" t="s">
        <v>290</v>
      </c>
      <c r="B386" t="s">
        <v>158</v>
      </c>
      <c r="D386" t="s">
        <v>298</v>
      </c>
      <c r="E386" t="s">
        <v>299</v>
      </c>
      <c r="F386" t="s">
        <v>290</v>
      </c>
      <c r="G386" t="s">
        <v>245</v>
      </c>
    </row>
    <row r="387" spans="1:8" x14ac:dyDescent="0.25">
      <c r="A387" t="s">
        <v>292</v>
      </c>
      <c r="B387" t="s">
        <v>83</v>
      </c>
      <c r="C387" s="4">
        <v>2.4369514927577728E-2</v>
      </c>
      <c r="D387" t="s">
        <v>254</v>
      </c>
      <c r="E387" t="s">
        <v>291</v>
      </c>
      <c r="F387" t="s">
        <v>292</v>
      </c>
      <c r="G387" t="s">
        <v>245</v>
      </c>
      <c r="H387" t="s">
        <v>293</v>
      </c>
    </row>
    <row r="388" spans="1:8" x14ac:dyDescent="0.25">
      <c r="A388" t="s">
        <v>292</v>
      </c>
      <c r="B388" t="s">
        <v>163</v>
      </c>
      <c r="C388" s="4">
        <v>1.1134895854637341E-2</v>
      </c>
      <c r="D388" t="s">
        <v>254</v>
      </c>
      <c r="E388" t="s">
        <v>291</v>
      </c>
      <c r="F388" t="s">
        <v>292</v>
      </c>
      <c r="G388" t="s">
        <v>245</v>
      </c>
      <c r="H388" t="s">
        <v>606</v>
      </c>
    </row>
    <row r="389" spans="1:8" x14ac:dyDescent="0.25">
      <c r="A389" t="s">
        <v>292</v>
      </c>
      <c r="B389" t="s">
        <v>85</v>
      </c>
      <c r="C389" s="4">
        <v>2.9238570067279012E-4</v>
      </c>
      <c r="D389" t="s">
        <v>254</v>
      </c>
      <c r="E389" t="s">
        <v>291</v>
      </c>
      <c r="F389" t="s">
        <v>292</v>
      </c>
      <c r="G389" t="s">
        <v>245</v>
      </c>
    </row>
    <row r="390" spans="1:8" x14ac:dyDescent="0.25">
      <c r="A390" t="s">
        <v>292</v>
      </c>
      <c r="B390" t="s">
        <v>116</v>
      </c>
      <c r="C390" s="4">
        <v>4.4753191624740382E-2</v>
      </c>
      <c r="D390" t="s">
        <v>254</v>
      </c>
      <c r="E390" t="s">
        <v>291</v>
      </c>
      <c r="F390" t="s">
        <v>292</v>
      </c>
      <c r="G390" t="s">
        <v>245</v>
      </c>
    </row>
    <row r="391" spans="1:8" x14ac:dyDescent="0.25">
      <c r="A391" t="s">
        <v>292</v>
      </c>
      <c r="B391" t="s">
        <v>86</v>
      </c>
      <c r="C391" s="4">
        <v>0.67863781592426453</v>
      </c>
      <c r="D391" t="s">
        <v>254</v>
      </c>
      <c r="E391" t="s">
        <v>291</v>
      </c>
      <c r="F391" t="s">
        <v>292</v>
      </c>
      <c r="G391" t="s">
        <v>245</v>
      </c>
    </row>
    <row r="392" spans="1:8" x14ac:dyDescent="0.25">
      <c r="A392" t="s">
        <v>292</v>
      </c>
      <c r="B392" t="s">
        <v>159</v>
      </c>
      <c r="C392" s="4">
        <v>2.848109415880028E-4</v>
      </c>
      <c r="D392" t="s">
        <v>254</v>
      </c>
      <c r="E392" t="s">
        <v>291</v>
      </c>
      <c r="F392" t="s">
        <v>292</v>
      </c>
      <c r="G392" t="s">
        <v>245</v>
      </c>
    </row>
    <row r="393" spans="1:8" x14ac:dyDescent="0.25">
      <c r="A393" t="s">
        <v>292</v>
      </c>
      <c r="B393" t="s">
        <v>154</v>
      </c>
      <c r="C393" s="4">
        <v>0.10846752019052031</v>
      </c>
      <c r="D393" t="s">
        <v>254</v>
      </c>
      <c r="E393" t="s">
        <v>291</v>
      </c>
      <c r="F393" t="s">
        <v>292</v>
      </c>
      <c r="G393" t="s">
        <v>245</v>
      </c>
    </row>
    <row r="394" spans="1:8" x14ac:dyDescent="0.25">
      <c r="A394" t="s">
        <v>292</v>
      </c>
      <c r="B394" t="s">
        <v>91</v>
      </c>
      <c r="C394" s="4">
        <v>4.9235934051117508E-4</v>
      </c>
      <c r="D394" t="s">
        <v>254</v>
      </c>
      <c r="E394" t="s">
        <v>291</v>
      </c>
      <c r="F394" t="s">
        <v>292</v>
      </c>
      <c r="G394" t="s">
        <v>245</v>
      </c>
    </row>
    <row r="395" spans="1:8" x14ac:dyDescent="0.25">
      <c r="A395" t="s">
        <v>292</v>
      </c>
      <c r="B395" t="s">
        <v>97</v>
      </c>
      <c r="C395" s="4">
        <v>1.514951816957462E-4</v>
      </c>
      <c r="D395" t="s">
        <v>254</v>
      </c>
      <c r="E395" t="s">
        <v>291</v>
      </c>
      <c r="F395" t="s">
        <v>292</v>
      </c>
      <c r="G395" t="s">
        <v>245</v>
      </c>
    </row>
    <row r="396" spans="1:8" x14ac:dyDescent="0.25">
      <c r="A396" t="s">
        <v>292</v>
      </c>
      <c r="B396" t="s">
        <v>119</v>
      </c>
      <c r="C396" s="4">
        <v>2.8521997857858129E-2</v>
      </c>
      <c r="D396" t="s">
        <v>254</v>
      </c>
      <c r="E396" t="s">
        <v>291</v>
      </c>
      <c r="F396" t="s">
        <v>292</v>
      </c>
      <c r="G396" t="s">
        <v>245</v>
      </c>
    </row>
    <row r="397" spans="1:8" x14ac:dyDescent="0.25">
      <c r="A397" t="s">
        <v>292</v>
      </c>
      <c r="B397" t="s">
        <v>141</v>
      </c>
      <c r="C397" s="4">
        <v>1.7799168897433219E-2</v>
      </c>
      <c r="D397" t="s">
        <v>254</v>
      </c>
      <c r="E397" t="s">
        <v>291</v>
      </c>
      <c r="F397" t="s">
        <v>292</v>
      </c>
      <c r="G397" t="s">
        <v>245</v>
      </c>
    </row>
    <row r="398" spans="1:8" x14ac:dyDescent="0.25">
      <c r="A398" t="s">
        <v>292</v>
      </c>
      <c r="B398" t="s">
        <v>161</v>
      </c>
      <c r="C398" s="4">
        <v>1.5663086835523199E-2</v>
      </c>
      <c r="D398" t="s">
        <v>254</v>
      </c>
      <c r="E398" t="s">
        <v>291</v>
      </c>
      <c r="F398" t="s">
        <v>292</v>
      </c>
      <c r="G398" t="s">
        <v>245</v>
      </c>
    </row>
    <row r="399" spans="1:8" x14ac:dyDescent="0.25">
      <c r="A399" t="s">
        <v>292</v>
      </c>
      <c r="B399" t="s">
        <v>162</v>
      </c>
      <c r="C399" s="4">
        <v>8.9154914427946614E-3</v>
      </c>
      <c r="D399" t="s">
        <v>254</v>
      </c>
      <c r="E399" t="s">
        <v>291</v>
      </c>
      <c r="F399" t="s">
        <v>292</v>
      </c>
      <c r="G399" t="s">
        <v>245</v>
      </c>
    </row>
    <row r="400" spans="1:8" x14ac:dyDescent="0.25">
      <c r="A400" t="s">
        <v>292</v>
      </c>
      <c r="B400" t="s">
        <v>132</v>
      </c>
      <c r="C400" s="4">
        <v>3.0842904041436959E-2</v>
      </c>
      <c r="D400" t="s">
        <v>254</v>
      </c>
      <c r="E400" t="s">
        <v>291</v>
      </c>
      <c r="F400" t="s">
        <v>292</v>
      </c>
      <c r="G400" t="s">
        <v>245</v>
      </c>
    </row>
    <row r="401" spans="1:8" x14ac:dyDescent="0.25">
      <c r="A401" t="s">
        <v>292</v>
      </c>
      <c r="B401" t="s">
        <v>107</v>
      </c>
      <c r="C401" s="4">
        <v>1.420570318761012E-2</v>
      </c>
      <c r="D401" t="s">
        <v>254</v>
      </c>
      <c r="E401" t="s">
        <v>291</v>
      </c>
      <c r="F401" t="s">
        <v>292</v>
      </c>
      <c r="G401" t="s">
        <v>245</v>
      </c>
    </row>
    <row r="402" spans="1:8" x14ac:dyDescent="0.25">
      <c r="A402" t="s">
        <v>292</v>
      </c>
      <c r="B402" t="s">
        <v>137</v>
      </c>
      <c r="C402" s="4">
        <v>6.8536420199155563E-3</v>
      </c>
      <c r="D402" t="s">
        <v>254</v>
      </c>
      <c r="E402" t="s">
        <v>291</v>
      </c>
      <c r="F402" t="s">
        <v>292</v>
      </c>
      <c r="G402" t="s">
        <v>245</v>
      </c>
    </row>
    <row r="403" spans="1:8" x14ac:dyDescent="0.25">
      <c r="A403" t="s">
        <v>292</v>
      </c>
      <c r="B403" t="s">
        <v>143</v>
      </c>
      <c r="C403" s="4">
        <v>8.6140160312201276E-3</v>
      </c>
      <c r="D403" t="s">
        <v>254</v>
      </c>
      <c r="E403" t="s">
        <v>291</v>
      </c>
      <c r="F403" t="s">
        <v>292</v>
      </c>
      <c r="G403" t="s">
        <v>245</v>
      </c>
    </row>
    <row r="404" spans="1:8" x14ac:dyDescent="0.25">
      <c r="A404" t="s">
        <v>305</v>
      </c>
      <c r="B404" t="s">
        <v>153</v>
      </c>
      <c r="C404" s="4">
        <f>(0.0260899569876454 / ( 0.0260899569876454 + 0.0904226503711535 + 0.00131543821211861))*0.0137944095839437%</f>
        <v>3.0544133272451103E-5</v>
      </c>
      <c r="D404" t="s">
        <v>242</v>
      </c>
      <c r="E404" t="s">
        <v>315</v>
      </c>
      <c r="F404" t="s">
        <v>305</v>
      </c>
      <c r="G404" t="s">
        <v>245</v>
      </c>
      <c r="H404" t="s">
        <v>607</v>
      </c>
    </row>
    <row r="405" spans="1:8" x14ac:dyDescent="0.25">
      <c r="A405" t="s">
        <v>305</v>
      </c>
      <c r="B405" t="s">
        <v>153</v>
      </c>
      <c r="C405" s="4">
        <f>(0.0904226503711535 / ( 0.0260899569876454 + 0.0904226503711535 + 0.00131543821211861))*0.0137944095839437%</f>
        <v>1.0585994776045893E-4</v>
      </c>
      <c r="D405" t="s">
        <v>242</v>
      </c>
      <c r="E405" t="s">
        <v>316</v>
      </c>
      <c r="F405" t="s">
        <v>305</v>
      </c>
      <c r="G405" t="s">
        <v>245</v>
      </c>
    </row>
    <row r="406" spans="1:8" x14ac:dyDescent="0.25">
      <c r="A406" t="s">
        <v>305</v>
      </c>
      <c r="B406" t="s">
        <v>153</v>
      </c>
      <c r="C406" s="4">
        <f>(0.00131543821211861 / ( 0.0260899569876454 + 0.0904226503711535 + 0.00131543821211861))*0.0137944095839437%</f>
        <v>1.5400148065269669E-6</v>
      </c>
      <c r="D406" t="s">
        <v>242</v>
      </c>
      <c r="E406" t="s">
        <v>317</v>
      </c>
      <c r="F406" t="s">
        <v>305</v>
      </c>
      <c r="G406" t="s">
        <v>245</v>
      </c>
      <c r="H406" t="s">
        <v>342</v>
      </c>
    </row>
    <row r="407" spans="1:8" x14ac:dyDescent="0.25">
      <c r="A407" t="s">
        <v>305</v>
      </c>
      <c r="B407" t="s">
        <v>124</v>
      </c>
      <c r="C407" s="4">
        <f>(0.0260899569876454 / ( 0.0260899569876454 + 0.0904226503711535 + 0.00131543821211861))*0.0487166735794057%</f>
        <v>1.0787040658353836E-4</v>
      </c>
      <c r="D407" t="s">
        <v>242</v>
      </c>
      <c r="E407" t="s">
        <v>315</v>
      </c>
      <c r="F407" t="s">
        <v>305</v>
      </c>
      <c r="G407" t="s">
        <v>245</v>
      </c>
    </row>
    <row r="408" spans="1:8" x14ac:dyDescent="0.25">
      <c r="A408" t="s">
        <v>305</v>
      </c>
      <c r="B408" t="s">
        <v>124</v>
      </c>
      <c r="C408" s="4">
        <f>(0.0904226503711535 / ( 0.0260899569876454 + 0.0904226503711535 + 0.00131543821211861))*0.0487166735794057%</f>
        <v>3.7385757533124045E-4</v>
      </c>
      <c r="D408" t="s">
        <v>242</v>
      </c>
      <c r="E408" t="s">
        <v>316</v>
      </c>
      <c r="F408" t="s">
        <v>305</v>
      </c>
      <c r="G408" t="s">
        <v>245</v>
      </c>
    </row>
    <row r="409" spans="1:8" x14ac:dyDescent="0.25">
      <c r="A409" t="s">
        <v>305</v>
      </c>
      <c r="B409" t="s">
        <v>124</v>
      </c>
      <c r="C409" s="4">
        <f>(0.00131543821211861 / ( 0.0260899569876454 + 0.0904226503711535 + 0.00131543821211861))*0.0487166735794057%</f>
        <v>5.4387538792781779E-6</v>
      </c>
      <c r="D409" t="s">
        <v>242</v>
      </c>
      <c r="E409" t="s">
        <v>317</v>
      </c>
      <c r="F409" t="s">
        <v>305</v>
      </c>
      <c r="G409" t="s">
        <v>245</v>
      </c>
    </row>
    <row r="410" spans="1:8" x14ac:dyDescent="0.25">
      <c r="A410" t="s">
        <v>305</v>
      </c>
      <c r="B410" t="s">
        <v>164</v>
      </c>
      <c r="C410" s="4">
        <f>(0.0260899569876454 / ( 0.0260899569876454 + 0.0904226503711535 + 0.00131543821211861))*0.43833667824064%</f>
        <v>9.70582599922913E-4</v>
      </c>
      <c r="D410" t="s">
        <v>242</v>
      </c>
      <c r="E410" t="s">
        <v>315</v>
      </c>
      <c r="F410" t="s">
        <v>305</v>
      </c>
      <c r="G410" t="s">
        <v>245</v>
      </c>
      <c r="H410" s="8"/>
    </row>
    <row r="411" spans="1:8" x14ac:dyDescent="0.25">
      <c r="A411" t="s">
        <v>305</v>
      </c>
      <c r="B411" t="s">
        <v>164</v>
      </c>
      <c r="C411" s="4">
        <f>(0.0904226503711535 / ( 0.0260899569876454 + 0.0904226503711535 + 0.00131543821211861))*0.43833667824064%</f>
        <v>3.3638480558137256E-3</v>
      </c>
      <c r="D411" t="s">
        <v>242</v>
      </c>
      <c r="E411" t="s">
        <v>316</v>
      </c>
      <c r="F411" t="s">
        <v>305</v>
      </c>
      <c r="G411" t="s">
        <v>245</v>
      </c>
    </row>
    <row r="412" spans="1:8" x14ac:dyDescent="0.25">
      <c r="A412" t="s">
        <v>305</v>
      </c>
      <c r="B412" t="s">
        <v>164</v>
      </c>
      <c r="C412" s="4">
        <f>(0.00131543821211861 / ( 0.0260899569876454 + 0.0904226503711535 + 0.00131543821211861))*0.43833667824064%</f>
        <v>4.893612666976089E-5</v>
      </c>
      <c r="D412" t="s">
        <v>242</v>
      </c>
      <c r="E412" t="s">
        <v>317</v>
      </c>
      <c r="F412" t="s">
        <v>305</v>
      </c>
      <c r="G412" t="s">
        <v>245</v>
      </c>
    </row>
    <row r="413" spans="1:8" x14ac:dyDescent="0.25">
      <c r="A413" t="s">
        <v>305</v>
      </c>
      <c r="B413" t="s">
        <v>83</v>
      </c>
      <c r="C413" s="4">
        <v>4.1790142695172623E-2</v>
      </c>
      <c r="D413" t="s">
        <v>307</v>
      </c>
      <c r="E413" t="s">
        <v>306</v>
      </c>
      <c r="F413" t="s">
        <v>305</v>
      </c>
      <c r="G413" t="s">
        <v>245</v>
      </c>
    </row>
    <row r="414" spans="1:8" x14ac:dyDescent="0.25">
      <c r="A414" t="s">
        <v>305</v>
      </c>
      <c r="B414" t="s">
        <v>125</v>
      </c>
      <c r="C414" s="4">
        <f>(0.0260899569876454 / ( 0.0260899569876454 + 0.0904226503711535 + 0.00131543821211861))*0.0106523282702424%</f>
        <v>2.3586811191027657E-5</v>
      </c>
      <c r="D414" t="s">
        <v>242</v>
      </c>
      <c r="E414" t="s">
        <v>315</v>
      </c>
      <c r="F414" t="s">
        <v>305</v>
      </c>
      <c r="G414" t="s">
        <v>245</v>
      </c>
    </row>
    <row r="415" spans="1:8" x14ac:dyDescent="0.25">
      <c r="A415" t="s">
        <v>305</v>
      </c>
      <c r="B415" t="s">
        <v>125</v>
      </c>
      <c r="C415" s="4">
        <f>(0.0904226503711535 / ( 0.0260899569876454 + 0.0904226503711535 + 0.00131543821211861))*0.0106523282702424%</f>
        <v>8.1747240239095017E-5</v>
      </c>
      <c r="D415" t="s">
        <v>242</v>
      </c>
      <c r="E415" t="s">
        <v>316</v>
      </c>
      <c r="F415" t="s">
        <v>305</v>
      </c>
      <c r="G415" t="s">
        <v>245</v>
      </c>
    </row>
    <row r="416" spans="1:8" x14ac:dyDescent="0.25">
      <c r="A416" t="s">
        <v>305</v>
      </c>
      <c r="B416" t="s">
        <v>125</v>
      </c>
      <c r="C416" s="4">
        <f>(0.00131543821211861 / ( 0.0260899569876454 + 0.0904226503711535 + 0.00131543821211861))*0.0106523282702424%</f>
        <v>1.1892312723013346E-6</v>
      </c>
      <c r="D416" t="s">
        <v>242</v>
      </c>
      <c r="E416" t="s">
        <v>317</v>
      </c>
      <c r="F416" t="s">
        <v>305</v>
      </c>
      <c r="G416" t="s">
        <v>245</v>
      </c>
    </row>
    <row r="417" spans="1:7" x14ac:dyDescent="0.25">
      <c r="A417" t="s">
        <v>305</v>
      </c>
      <c r="B417" t="s">
        <v>144</v>
      </c>
      <c r="C417" s="4">
        <f>(0.0260899569876454 / ( 0.0260899569876454 + 0.0904226503711535 + 0.00131543821211861))*0.0221435057719409%</f>
        <v>4.9031035891866667E-5</v>
      </c>
      <c r="D417" t="s">
        <v>242</v>
      </c>
      <c r="E417" t="s">
        <v>315</v>
      </c>
      <c r="F417" t="s">
        <v>305</v>
      </c>
      <c r="G417" t="s">
        <v>245</v>
      </c>
    </row>
    <row r="418" spans="1:7" x14ac:dyDescent="0.25">
      <c r="A418" t="s">
        <v>305</v>
      </c>
      <c r="B418" t="s">
        <v>144</v>
      </c>
      <c r="C418" s="4">
        <f>(0.0904226503711535 / ( 0.0260899569876454 + 0.0904226503711535 + 0.00131543821211861))*0.0221435057719409%</f>
        <v>1.699319097338941E-4</v>
      </c>
      <c r="D418" t="s">
        <v>242</v>
      </c>
      <c r="E418" t="s">
        <v>316</v>
      </c>
      <c r="F418" t="s">
        <v>305</v>
      </c>
      <c r="G418" t="s">
        <v>245</v>
      </c>
    </row>
    <row r="419" spans="1:7" x14ac:dyDescent="0.25">
      <c r="A419" t="s">
        <v>305</v>
      </c>
      <c r="B419" t="s">
        <v>144</v>
      </c>
      <c r="C419" s="4">
        <f>(0.00131543821211861 / ( 0.0260899569876454 + 0.0904226503711535 + 0.00131543821211861))*0.0221435057719409%</f>
        <v>2.4721120936482353E-6</v>
      </c>
      <c r="D419" t="s">
        <v>242</v>
      </c>
      <c r="E419" t="s">
        <v>317</v>
      </c>
      <c r="F419" t="s">
        <v>305</v>
      </c>
      <c r="G419" t="s">
        <v>245</v>
      </c>
    </row>
    <row r="420" spans="1:7" x14ac:dyDescent="0.25">
      <c r="A420" t="s">
        <v>305</v>
      </c>
      <c r="B420" t="s">
        <v>165</v>
      </c>
      <c r="C420" s="4">
        <f>(0.0260899569876454 / ( 0.0260899569876454 + 0.0904226503711535 + 0.00131543821211861))*0.0138780062427486%</f>
        <v>3.072923633700274E-5</v>
      </c>
      <c r="D420" t="s">
        <v>242</v>
      </c>
      <c r="E420" t="s">
        <v>315</v>
      </c>
      <c r="F420" t="s">
        <v>305</v>
      </c>
      <c r="G420" t="s">
        <v>245</v>
      </c>
    </row>
    <row r="421" spans="1:7" x14ac:dyDescent="0.25">
      <c r="A421" t="s">
        <v>305</v>
      </c>
      <c r="B421" t="s">
        <v>165</v>
      </c>
      <c r="C421" s="4">
        <f>(0.0904226503711535 / ( 0.0260899569876454 + 0.0904226503711535 + 0.00131543821211861))*0.0138780062427486%</f>
        <v>1.0650147851102735E-4</v>
      </c>
      <c r="D421" t="s">
        <v>242</v>
      </c>
      <c r="E421" t="s">
        <v>316</v>
      </c>
      <c r="F421" t="s">
        <v>305</v>
      </c>
      <c r="G421" t="s">
        <v>245</v>
      </c>
    </row>
    <row r="422" spans="1:7" x14ac:dyDescent="0.25">
      <c r="A422" t="s">
        <v>305</v>
      </c>
      <c r="B422" t="s">
        <v>165</v>
      </c>
      <c r="C422" s="4">
        <f>(0.00131543821211861 / ( 0.0260899569876454 + 0.0904226503711535 + 0.00131543821211861))*0.0138780062427486%</f>
        <v>1.5493475794559062E-6</v>
      </c>
      <c r="D422" t="s">
        <v>242</v>
      </c>
      <c r="E422" t="s">
        <v>317</v>
      </c>
      <c r="F422" t="s">
        <v>305</v>
      </c>
      <c r="G422" t="s">
        <v>245</v>
      </c>
    </row>
    <row r="423" spans="1:7" x14ac:dyDescent="0.25">
      <c r="A423" t="s">
        <v>305</v>
      </c>
      <c r="B423" t="s">
        <v>85</v>
      </c>
      <c r="C423" s="4">
        <f>(0.0260899569876454 / ( 0.0260899569876454 + 0.0904226503711535 + 0.00131543821211861))*1.75072831186781%</f>
        <v>3.8765326312904685E-3</v>
      </c>
      <c r="D423" t="s">
        <v>242</v>
      </c>
      <c r="E423" t="s">
        <v>315</v>
      </c>
      <c r="F423" t="s">
        <v>305</v>
      </c>
      <c r="G423" t="s">
        <v>245</v>
      </c>
    </row>
    <row r="424" spans="1:7" x14ac:dyDescent="0.25">
      <c r="A424" t="s">
        <v>305</v>
      </c>
      <c r="B424" t="s">
        <v>85</v>
      </c>
      <c r="C424" s="4">
        <f>(0.0904226503711535 / ( 0.0260899569876454 + 0.0904226503711535 + 0.00131543821211861))*1.75072831186781%</f>
        <v>1.3435298300320442E-2</v>
      </c>
      <c r="D424" t="s">
        <v>242</v>
      </c>
      <c r="E424" t="s">
        <v>316</v>
      </c>
      <c r="F424" t="s">
        <v>305</v>
      </c>
      <c r="G424" t="s">
        <v>245</v>
      </c>
    </row>
    <row r="425" spans="1:7" x14ac:dyDescent="0.25">
      <c r="A425" t="s">
        <v>305</v>
      </c>
      <c r="B425" t="s">
        <v>85</v>
      </c>
      <c r="C425" s="4">
        <f>(0.00131543821211861 / ( 0.0260899569876454 + 0.0904226503711535 + 0.00131543821211861))*1.75072831186781%</f>
        <v>1.9545218706718901E-4</v>
      </c>
      <c r="D425" t="s">
        <v>242</v>
      </c>
      <c r="E425" t="s">
        <v>317</v>
      </c>
      <c r="F425" t="s">
        <v>305</v>
      </c>
      <c r="G425" t="s">
        <v>245</v>
      </c>
    </row>
    <row r="426" spans="1:7" x14ac:dyDescent="0.25">
      <c r="A426" t="s">
        <v>305</v>
      </c>
      <c r="B426" t="s">
        <v>147</v>
      </c>
      <c r="C426" s="4">
        <f>(0.0260899569876454 / ( 0.0260899569876454 + 0.0904226503711535 + 0.00131543821211861))*0.343294964228557%</f>
        <v>7.6013743649915781E-4</v>
      </c>
      <c r="D426" t="s">
        <v>242</v>
      </c>
      <c r="E426" t="s">
        <v>315</v>
      </c>
      <c r="F426" t="s">
        <v>305</v>
      </c>
      <c r="G426" t="s">
        <v>245</v>
      </c>
    </row>
    <row r="427" spans="1:7" x14ac:dyDescent="0.25">
      <c r="A427" t="s">
        <v>305</v>
      </c>
      <c r="B427" t="s">
        <v>147</v>
      </c>
      <c r="C427" s="4">
        <f>(0.0904226503711535 / ( 0.0260899569876454 + 0.0904226503711535 + 0.00131543821211861))*0.343294964228557%</f>
        <v>2.6344865837508382E-3</v>
      </c>
      <c r="D427" t="s">
        <v>242</v>
      </c>
      <c r="E427" t="s">
        <v>316</v>
      </c>
      <c r="F427" t="s">
        <v>305</v>
      </c>
      <c r="G427" t="s">
        <v>245</v>
      </c>
    </row>
    <row r="428" spans="1:7" x14ac:dyDescent="0.25">
      <c r="A428" t="s">
        <v>305</v>
      </c>
      <c r="B428" t="s">
        <v>147</v>
      </c>
      <c r="C428" s="4">
        <f>(0.00131543821211861 / ( 0.0260899569876454 + 0.0904226503711535 + 0.00131543821211861))*0.343294964228557%</f>
        <v>3.832562203557381E-5</v>
      </c>
      <c r="D428" t="s">
        <v>242</v>
      </c>
      <c r="E428" t="s">
        <v>317</v>
      </c>
      <c r="F428" t="s">
        <v>305</v>
      </c>
      <c r="G428" t="s">
        <v>245</v>
      </c>
    </row>
    <row r="429" spans="1:7" x14ac:dyDescent="0.25">
      <c r="A429" t="s">
        <v>305</v>
      </c>
      <c r="B429" t="s">
        <v>116</v>
      </c>
      <c r="C429" s="4">
        <f>(0.0385427501095062/(0.0385427501095062+0.000558972017421674))*2.72987483706459%</f>
        <v>2.6908503756858979E-2</v>
      </c>
      <c r="D429" t="s">
        <v>270</v>
      </c>
      <c r="E429" t="s">
        <v>306</v>
      </c>
      <c r="F429" t="s">
        <v>305</v>
      </c>
      <c r="G429" t="s">
        <v>245</v>
      </c>
    </row>
    <row r="430" spans="1:7" x14ac:dyDescent="0.25">
      <c r="A430" t="s">
        <v>305</v>
      </c>
      <c r="B430" t="s">
        <v>116</v>
      </c>
      <c r="C430" s="4">
        <f>(0.000558972017421674/(0.0385427501095062+0.000558972017421674))*2.72987483706459%</f>
        <v>3.9024461378692367E-4</v>
      </c>
      <c r="D430" t="s">
        <v>288</v>
      </c>
      <c r="E430" t="s">
        <v>309</v>
      </c>
      <c r="F430" t="s">
        <v>305</v>
      </c>
      <c r="G430" t="s">
        <v>245</v>
      </c>
    </row>
    <row r="431" spans="1:7" x14ac:dyDescent="0.25">
      <c r="A431" t="s">
        <v>305</v>
      </c>
      <c r="B431" t="s">
        <v>145</v>
      </c>
      <c r="C431" s="4">
        <v>0.27366375184975622</v>
      </c>
      <c r="D431" t="s">
        <v>311</v>
      </c>
      <c r="E431" t="s">
        <v>306</v>
      </c>
      <c r="F431" t="s">
        <v>305</v>
      </c>
      <c r="G431" t="s">
        <v>245</v>
      </c>
    </row>
    <row r="432" spans="1:7" x14ac:dyDescent="0.25">
      <c r="A432" t="s">
        <v>305</v>
      </c>
      <c r="B432" t="s">
        <v>86</v>
      </c>
      <c r="C432" s="4">
        <v>8.1467672907797828E-2</v>
      </c>
      <c r="D432" t="s">
        <v>254</v>
      </c>
      <c r="E432" t="s">
        <v>306</v>
      </c>
      <c r="F432" t="s">
        <v>305</v>
      </c>
      <c r="G432" t="s">
        <v>245</v>
      </c>
    </row>
    <row r="433" spans="1:7" x14ac:dyDescent="0.25">
      <c r="A433" t="s">
        <v>305</v>
      </c>
      <c r="B433" t="s">
        <v>87</v>
      </c>
      <c r="C433" s="4">
        <f>(0.0260899569876454 / ( 0.0260899569876454 + 0.0904226503711535 + 0.00131543821211861))*0.0427255796983881%</f>
        <v>9.4604686957338024E-5</v>
      </c>
      <c r="D433" t="s">
        <v>242</v>
      </c>
      <c r="E433" t="s">
        <v>315</v>
      </c>
      <c r="F433" t="s">
        <v>305</v>
      </c>
      <c r="G433" t="s">
        <v>245</v>
      </c>
    </row>
    <row r="434" spans="1:7" x14ac:dyDescent="0.25">
      <c r="A434" t="s">
        <v>305</v>
      </c>
      <c r="B434" t="s">
        <v>87</v>
      </c>
      <c r="C434" s="4">
        <f>(0.0904226503711535 / ( 0.0260899569876454 + 0.0904226503711535 + 0.00131543821211861))*0.0427255796983881%</f>
        <v>3.2788120487383873E-4</v>
      </c>
      <c r="D434" t="s">
        <v>242</v>
      </c>
      <c r="E434" t="s">
        <v>316</v>
      </c>
      <c r="F434" t="s">
        <v>305</v>
      </c>
      <c r="G434" t="s">
        <v>245</v>
      </c>
    </row>
    <row r="435" spans="1:7" x14ac:dyDescent="0.25">
      <c r="A435" t="s">
        <v>305</v>
      </c>
      <c r="B435" t="s">
        <v>87</v>
      </c>
      <c r="C435" s="4">
        <f>(0.00131543821211861 / ( 0.0260899569876454 + 0.0904226503711535 + 0.00131543821211861))*0.0427255796983881%</f>
        <v>4.769905152704229E-6</v>
      </c>
      <c r="D435" t="s">
        <v>242</v>
      </c>
      <c r="E435" t="s">
        <v>317</v>
      </c>
      <c r="F435" t="s">
        <v>305</v>
      </c>
      <c r="G435" t="s">
        <v>245</v>
      </c>
    </row>
    <row r="436" spans="1:7" x14ac:dyDescent="0.25">
      <c r="A436" t="s">
        <v>305</v>
      </c>
      <c r="B436" t="s">
        <v>159</v>
      </c>
      <c r="C436" s="4">
        <v>6.8600138876150546E-2</v>
      </c>
      <c r="D436" t="s">
        <v>242</v>
      </c>
      <c r="E436" t="s">
        <v>289</v>
      </c>
      <c r="F436" t="s">
        <v>305</v>
      </c>
      <c r="G436" t="s">
        <v>245</v>
      </c>
    </row>
    <row r="437" spans="1:7" x14ac:dyDescent="0.25">
      <c r="A437" t="s">
        <v>305</v>
      </c>
      <c r="B437" t="s">
        <v>166</v>
      </c>
      <c r="C437" s="4">
        <f>(0.0260899569876454 / ( 0.0260899569876454 + 0.0904226503711535 + 0.00131543821211861))*0.00279039881803933%</f>
        <v>6.1786126374476362E-6</v>
      </c>
      <c r="D437" t="s">
        <v>242</v>
      </c>
      <c r="E437" t="s">
        <v>315</v>
      </c>
      <c r="F437" t="s">
        <v>305</v>
      </c>
      <c r="G437" t="s">
        <v>245</v>
      </c>
    </row>
    <row r="438" spans="1:7" x14ac:dyDescent="0.25">
      <c r="A438" t="s">
        <v>305</v>
      </c>
      <c r="B438" t="s">
        <v>166</v>
      </c>
      <c r="C438" s="4">
        <f>(0.0904226503711535 / ( 0.0260899569876454 + 0.0904226503711535 + 0.00131543821211861))*0.00279039881803933%</f>
        <v>2.1413854018972809E-5</v>
      </c>
      <c r="D438" t="s">
        <v>242</v>
      </c>
      <c r="E438" t="s">
        <v>316</v>
      </c>
      <c r="F438" t="s">
        <v>305</v>
      </c>
      <c r="G438" t="s">
        <v>245</v>
      </c>
    </row>
    <row r="439" spans="1:7" x14ac:dyDescent="0.25">
      <c r="A439" t="s">
        <v>305</v>
      </c>
      <c r="B439" t="s">
        <v>166</v>
      </c>
      <c r="C439" s="4">
        <f>(0.00131543821211861 / ( 0.0260899569876454 + 0.0904226503711535 + 0.00131543821211861))*0.00279039881803933%</f>
        <v>3.115215239728563E-7</v>
      </c>
      <c r="D439" t="s">
        <v>242</v>
      </c>
      <c r="E439" t="s">
        <v>317</v>
      </c>
      <c r="F439" t="s">
        <v>305</v>
      </c>
      <c r="G439" t="s">
        <v>245</v>
      </c>
    </row>
    <row r="440" spans="1:7" x14ac:dyDescent="0.25">
      <c r="A440" t="s">
        <v>305</v>
      </c>
      <c r="B440" t="s">
        <v>89</v>
      </c>
      <c r="C440" s="4">
        <f>(0.0260899569876454 / ( 0.0260899569876454 + 0.0904226503711535 + 0.00131543821211861))*0.0299987090561942%</f>
        <v>6.6424341095425396E-5</v>
      </c>
      <c r="D440" t="s">
        <v>242</v>
      </c>
      <c r="E440" t="s">
        <v>315</v>
      </c>
      <c r="F440" t="s">
        <v>305</v>
      </c>
      <c r="G440" t="s">
        <v>245</v>
      </c>
    </row>
    <row r="441" spans="1:7" x14ac:dyDescent="0.25">
      <c r="A441" t="s">
        <v>305</v>
      </c>
      <c r="B441" t="s">
        <v>89</v>
      </c>
      <c r="C441" s="4">
        <f>(0.0904226503711535 / ( 0.0260899569876454 + 0.0904226503711535 + 0.00131543821211861))*0.0299987090561942%</f>
        <v>2.3021367853730425E-4</v>
      </c>
      <c r="D441" t="s">
        <v>242</v>
      </c>
      <c r="E441" t="s">
        <v>316</v>
      </c>
      <c r="F441" t="s">
        <v>305</v>
      </c>
      <c r="G441" t="s">
        <v>245</v>
      </c>
    </row>
    <row r="442" spans="1:7" x14ac:dyDescent="0.25">
      <c r="A442" t="s">
        <v>305</v>
      </c>
      <c r="B442" t="s">
        <v>89</v>
      </c>
      <c r="C442" s="4">
        <f>(0.00131543821211861 / ( 0.0260899569876454 + 0.0904226503711535 + 0.00131543821211861))*0.0299987090561942%</f>
        <v>3.3490709292123217E-6</v>
      </c>
      <c r="D442" t="s">
        <v>242</v>
      </c>
      <c r="E442" t="s">
        <v>317</v>
      </c>
      <c r="F442" t="s">
        <v>305</v>
      </c>
      <c r="G442" t="s">
        <v>245</v>
      </c>
    </row>
    <row r="443" spans="1:7" x14ac:dyDescent="0.25">
      <c r="A443" t="s">
        <v>305</v>
      </c>
      <c r="B443" t="s">
        <v>167</v>
      </c>
      <c r="C443" s="4">
        <f>(0.0260899569876454 / ( 0.0260899569876454 + 0.0904226503711535 + 0.00131543821211861))*0.00903900884342149%</f>
        <v>2.0014534807324371E-5</v>
      </c>
      <c r="D443" t="s">
        <v>242</v>
      </c>
      <c r="E443" t="s">
        <v>315</v>
      </c>
      <c r="F443" t="s">
        <v>305</v>
      </c>
      <c r="G443" t="s">
        <v>245</v>
      </c>
    </row>
    <row r="444" spans="1:7" x14ac:dyDescent="0.25">
      <c r="A444" t="s">
        <v>305</v>
      </c>
      <c r="B444" t="s">
        <v>167</v>
      </c>
      <c r="C444" s="4">
        <f>(0.0904226503711535 / ( 0.0260899569876454 + 0.0904226503711535 + 0.00131543821211861))*0.00903900884342149%</f>
        <v>6.9366434144792503E-5</v>
      </c>
      <c r="D444" t="s">
        <v>242</v>
      </c>
      <c r="E444" t="s">
        <v>316</v>
      </c>
      <c r="F444" t="s">
        <v>305</v>
      </c>
      <c r="G444" t="s">
        <v>245</v>
      </c>
    </row>
    <row r="445" spans="1:7" x14ac:dyDescent="0.25">
      <c r="A445" t="s">
        <v>305</v>
      </c>
      <c r="B445" t="s">
        <v>167</v>
      </c>
      <c r="C445" s="4">
        <f>(0.00131543821211861 / ( 0.0260899569876454 + 0.0904226503711535 + 0.00131543821211861))*0.00903900884342149%</f>
        <v>1.0091194820980243E-6</v>
      </c>
      <c r="D445" t="s">
        <v>242</v>
      </c>
      <c r="E445" t="s">
        <v>317</v>
      </c>
      <c r="F445" t="s">
        <v>305</v>
      </c>
      <c r="G445" t="s">
        <v>245</v>
      </c>
    </row>
    <row r="446" spans="1:7" x14ac:dyDescent="0.25">
      <c r="A446" t="s">
        <v>305</v>
      </c>
      <c r="B446" t="s">
        <v>168</v>
      </c>
      <c r="C446" s="4">
        <f>(0.0260899569876454 / ( 0.0260899569876454 + 0.0904226503711535 + 0.00131543821211861))*0.0799039926004465%</f>
        <v>1.7692661538988748E-4</v>
      </c>
      <c r="D446" t="s">
        <v>242</v>
      </c>
      <c r="E446" t="s">
        <v>315</v>
      </c>
      <c r="F446" t="s">
        <v>305</v>
      </c>
      <c r="G446" t="s">
        <v>245</v>
      </c>
    </row>
    <row r="447" spans="1:7" x14ac:dyDescent="0.25">
      <c r="A447" t="s">
        <v>305</v>
      </c>
      <c r="B447" t="s">
        <v>168</v>
      </c>
      <c r="C447" s="4">
        <f>(0.0904226503711535 / ( 0.0260899569876454 + 0.0904226503711535 + 0.00131543821211861))*0.0799039926004465%</f>
        <v>6.1319278879329276E-4</v>
      </c>
      <c r="D447" t="s">
        <v>242</v>
      </c>
      <c r="E447" t="s">
        <v>316</v>
      </c>
      <c r="F447" t="s">
        <v>305</v>
      </c>
      <c r="G447" t="s">
        <v>245</v>
      </c>
    </row>
    <row r="448" spans="1:7" x14ac:dyDescent="0.25">
      <c r="A448" t="s">
        <v>305</v>
      </c>
      <c r="B448" t="s">
        <v>168</v>
      </c>
      <c r="C448" s="4">
        <f>(0.00131543821211861 / ( 0.0260899569876454 + 0.0904226503711535 + 0.00131543821211861))*0.0799039926004465%</f>
        <v>8.9205218212847172E-6</v>
      </c>
      <c r="D448" t="s">
        <v>242</v>
      </c>
      <c r="E448" t="s">
        <v>317</v>
      </c>
      <c r="F448" t="s">
        <v>305</v>
      </c>
      <c r="G448" t="s">
        <v>245</v>
      </c>
    </row>
    <row r="449" spans="1:7" x14ac:dyDescent="0.25">
      <c r="A449" t="s">
        <v>305</v>
      </c>
      <c r="B449" t="s">
        <v>154</v>
      </c>
      <c r="C449" s="4">
        <f>(0.0260899569876454 / ( 0.0260899569876454 + 0.0904226503711535 + 0.00131543821211861))*0.192178148899967%</f>
        <v>4.2552854156845962E-4</v>
      </c>
      <c r="D449" t="s">
        <v>242</v>
      </c>
      <c r="E449" t="s">
        <v>315</v>
      </c>
      <c r="F449" t="s">
        <v>305</v>
      </c>
      <c r="G449" t="s">
        <v>245</v>
      </c>
    </row>
    <row r="450" spans="1:7" x14ac:dyDescent="0.25">
      <c r="A450" t="s">
        <v>305</v>
      </c>
      <c r="B450" t="s">
        <v>154</v>
      </c>
      <c r="C450" s="4">
        <f>(0.0904226503711535 / ( 0.0260899569876454 + 0.0904226503711535 + 0.00131543821211861))*0.192178148899967%</f>
        <v>1.4747980824733526E-3</v>
      </c>
      <c r="D450" t="s">
        <v>242</v>
      </c>
      <c r="E450" t="s">
        <v>316</v>
      </c>
      <c r="F450" t="s">
        <v>305</v>
      </c>
      <c r="G450" t="s">
        <v>245</v>
      </c>
    </row>
    <row r="451" spans="1:7" x14ac:dyDescent="0.25">
      <c r="A451" t="s">
        <v>305</v>
      </c>
      <c r="B451" t="s">
        <v>154</v>
      </c>
      <c r="C451" s="4">
        <f>(0.00131543821211861 / ( 0.0260899569876454 + 0.0904226503711535 + 0.00131543821211861))*0.192178148899967%</f>
        <v>2.1454864957857937E-5</v>
      </c>
      <c r="D451" t="s">
        <v>242</v>
      </c>
      <c r="E451" t="s">
        <v>317</v>
      </c>
      <c r="F451" t="s">
        <v>305</v>
      </c>
      <c r="G451" t="s">
        <v>245</v>
      </c>
    </row>
    <row r="452" spans="1:7" x14ac:dyDescent="0.25">
      <c r="A452" t="s">
        <v>305</v>
      </c>
      <c r="B452" t="s">
        <v>169</v>
      </c>
      <c r="C452" s="4">
        <f>(0.0260899569876454 / ( 0.0260899569876454 + 0.0904226503711535 + 0.00131543821211861))*0.054221561605765%</f>
        <v>1.200595497653351E-4</v>
      </c>
      <c r="D452" t="s">
        <v>242</v>
      </c>
      <c r="E452" t="s">
        <v>315</v>
      </c>
      <c r="F452" t="s">
        <v>305</v>
      </c>
      <c r="G452" t="s">
        <v>245</v>
      </c>
    </row>
    <row r="453" spans="1:7" x14ac:dyDescent="0.25">
      <c r="A453" t="s">
        <v>305</v>
      </c>
      <c r="B453" t="s">
        <v>169</v>
      </c>
      <c r="C453" s="4">
        <f>(0.0904226503711535 / ( 0.0260899569876454 + 0.0904226503711535 + 0.00131543821211861))*0.054221561605765%</f>
        <v>4.1610274395200353E-4</v>
      </c>
      <c r="D453" t="s">
        <v>242</v>
      </c>
      <c r="E453" t="s">
        <v>316</v>
      </c>
      <c r="F453" t="s">
        <v>305</v>
      </c>
      <c r="G453" t="s">
        <v>245</v>
      </c>
    </row>
    <row r="454" spans="1:7" x14ac:dyDescent="0.25">
      <c r="A454" t="s">
        <v>305</v>
      </c>
      <c r="B454" t="s">
        <v>169</v>
      </c>
      <c r="C454" s="4">
        <f>(0.00131543821211861 / ( 0.0260899569876454 + 0.0904226503711535 + 0.00131543821211861))*0.054221561605765%</f>
        <v>6.0533223403114094E-6</v>
      </c>
      <c r="D454" t="s">
        <v>242</v>
      </c>
      <c r="E454" t="s">
        <v>317</v>
      </c>
      <c r="F454" t="s">
        <v>305</v>
      </c>
      <c r="G454" t="s">
        <v>245</v>
      </c>
    </row>
    <row r="455" spans="1:7" x14ac:dyDescent="0.25">
      <c r="A455" t="s">
        <v>305</v>
      </c>
      <c r="B455" t="s">
        <v>97</v>
      </c>
      <c r="C455" s="4">
        <f>(0.0260899569876454 / ( 0.0260899569876454 + 0.0904226503711535 + 0.00131543821211861))*0.135943541314934%</f>
        <v>3.010116249038625E-4</v>
      </c>
      <c r="D455" t="s">
        <v>242</v>
      </c>
      <c r="E455" t="s">
        <v>315</v>
      </c>
      <c r="F455" t="s">
        <v>305</v>
      </c>
      <c r="G455" t="s">
        <v>245</v>
      </c>
    </row>
    <row r="456" spans="1:7" x14ac:dyDescent="0.25">
      <c r="A456" t="s">
        <v>305</v>
      </c>
      <c r="B456" t="s">
        <v>97</v>
      </c>
      <c r="C456" s="4">
        <f>(0.0904226503711535 / ( 0.0260899569876454 + 0.0904226503711535 + 0.00131543821211861))*0.135943541314934%</f>
        <v>1.04324698309099E-3</v>
      </c>
      <c r="D456" t="s">
        <v>242</v>
      </c>
      <c r="E456" t="s">
        <v>316</v>
      </c>
      <c r="F456" t="s">
        <v>305</v>
      </c>
      <c r="G456" t="s">
        <v>245</v>
      </c>
    </row>
    <row r="457" spans="1:7" x14ac:dyDescent="0.25">
      <c r="A457" t="s">
        <v>305</v>
      </c>
      <c r="B457" t="s">
        <v>97</v>
      </c>
      <c r="C457" s="4">
        <f>(0.00131543821211861 / ( 0.0260899569876454 + 0.0904226503711535 + 0.00131543821211861))*0.135943541314934%</f>
        <v>1.5176805154487522E-5</v>
      </c>
      <c r="D457" t="s">
        <v>242</v>
      </c>
      <c r="E457" t="s">
        <v>317</v>
      </c>
      <c r="F457" t="s">
        <v>305</v>
      </c>
      <c r="G457" t="s">
        <v>245</v>
      </c>
    </row>
    <row r="458" spans="1:7" x14ac:dyDescent="0.25">
      <c r="A458" t="s">
        <v>305</v>
      </c>
      <c r="B458" t="s">
        <v>98</v>
      </c>
      <c r="C458" s="4">
        <v>2.792480086579234E-2</v>
      </c>
      <c r="D458" t="s">
        <v>287</v>
      </c>
      <c r="E458" t="s">
        <v>306</v>
      </c>
      <c r="F458" t="s">
        <v>305</v>
      </c>
      <c r="G458" t="s">
        <v>245</v>
      </c>
    </row>
    <row r="459" spans="1:7" x14ac:dyDescent="0.25">
      <c r="A459" t="s">
        <v>305</v>
      </c>
      <c r="B459" t="s">
        <v>99</v>
      </c>
      <c r="C459" s="4">
        <f>(0.0260899569876454 / ( 0.0260899569876454 + 0.0904226503711535 + 0.00131543821211861))*1.48611894295965%</f>
        <v>3.2906239862059011E-3</v>
      </c>
      <c r="D459" t="s">
        <v>242</v>
      </c>
      <c r="E459" t="s">
        <v>315</v>
      </c>
      <c r="F459" t="s">
        <v>305</v>
      </c>
      <c r="G459" t="s">
        <v>245</v>
      </c>
    </row>
    <row r="460" spans="1:7" x14ac:dyDescent="0.25">
      <c r="A460" t="s">
        <v>305</v>
      </c>
      <c r="B460" t="s">
        <v>99</v>
      </c>
      <c r="C460" s="4">
        <f>(0.0904226503711535 / ( 0.0260899569876454 + 0.0904226503711535 + 0.00131543821211861))*1.48611894295965%</f>
        <v>1.1404654379021306E-2</v>
      </c>
      <c r="D460" t="s">
        <v>242</v>
      </c>
      <c r="E460" t="s">
        <v>316</v>
      </c>
      <c r="F460" t="s">
        <v>305</v>
      </c>
      <c r="G460" t="s">
        <v>245</v>
      </c>
    </row>
    <row r="461" spans="1:7" x14ac:dyDescent="0.25">
      <c r="A461" t="s">
        <v>305</v>
      </c>
      <c r="B461" t="s">
        <v>99</v>
      </c>
      <c r="C461" s="4">
        <f>(0.00131543821211861 / ( 0.0260899569876454 + 0.0904226503711535 + 0.00131543821211861))*1.48611894295965%</f>
        <v>1.6591106436929232E-4</v>
      </c>
      <c r="D461" t="s">
        <v>242</v>
      </c>
      <c r="E461" t="s">
        <v>317</v>
      </c>
      <c r="F461" t="s">
        <v>305</v>
      </c>
      <c r="G461" t="s">
        <v>245</v>
      </c>
    </row>
    <row r="462" spans="1:7" x14ac:dyDescent="0.25">
      <c r="A462" t="s">
        <v>305</v>
      </c>
      <c r="B462" t="s">
        <v>102</v>
      </c>
      <c r="C462" s="4">
        <v>2.708820009619381E-2</v>
      </c>
      <c r="D462" t="s">
        <v>286</v>
      </c>
      <c r="E462" t="s">
        <v>306</v>
      </c>
      <c r="F462" t="s">
        <v>305</v>
      </c>
      <c r="G462" t="s">
        <v>245</v>
      </c>
    </row>
    <row r="463" spans="1:7" x14ac:dyDescent="0.25">
      <c r="A463" t="s">
        <v>305</v>
      </c>
      <c r="B463" t="s">
        <v>149</v>
      </c>
      <c r="C463" s="4">
        <f>(0.0260899569876454 / ( 0.0260899569876454 + 0.0904226503711535 + 0.00131543821211861))*0.00941663512974706%</f>
        <v>2.0850690029954164E-5</v>
      </c>
      <c r="D463" t="s">
        <v>242</v>
      </c>
      <c r="E463" t="s">
        <v>315</v>
      </c>
      <c r="F463" t="s">
        <v>305</v>
      </c>
      <c r="G463" t="s">
        <v>245</v>
      </c>
    </row>
    <row r="464" spans="1:7" x14ac:dyDescent="0.25">
      <c r="A464" t="s">
        <v>305</v>
      </c>
      <c r="B464" t="s">
        <v>149</v>
      </c>
      <c r="C464" s="4">
        <f>(0.0904226503711535 / ( 0.0260899569876454 + 0.0904226503711535 + 0.00131543821211861))*0.00941663512974706%</f>
        <v>7.2264383397360095E-5</v>
      </c>
      <c r="D464" t="s">
        <v>242</v>
      </c>
      <c r="E464" t="s">
        <v>316</v>
      </c>
      <c r="F464" t="s">
        <v>305</v>
      </c>
      <c r="G464" t="s">
        <v>245</v>
      </c>
    </row>
    <row r="465" spans="1:7" x14ac:dyDescent="0.25">
      <c r="A465" t="s">
        <v>305</v>
      </c>
      <c r="B465" t="s">
        <v>149</v>
      </c>
      <c r="C465" s="4">
        <f>(0.00131543821211861 / ( 0.0260899569876454 + 0.0904226503711535 + 0.00131543821211861))*0.00941663512974706%</f>
        <v>1.0512778701563343E-6</v>
      </c>
      <c r="D465" t="s">
        <v>242</v>
      </c>
      <c r="E465" t="s">
        <v>317</v>
      </c>
      <c r="F465" t="s">
        <v>305</v>
      </c>
      <c r="G465" t="s">
        <v>245</v>
      </c>
    </row>
    <row r="466" spans="1:7" x14ac:dyDescent="0.25">
      <c r="A466" t="s">
        <v>305</v>
      </c>
      <c r="B466" t="s">
        <v>170</v>
      </c>
      <c r="C466" s="4">
        <f>(0.0260899569876454 / ( 0.0260899569876454 + 0.0904226503711535 + 0.00131543821211861))*0.0320934299319951%</f>
        <v>7.106255581637443E-5</v>
      </c>
      <c r="D466" t="s">
        <v>242</v>
      </c>
      <c r="E466" t="s">
        <v>315</v>
      </c>
      <c r="F466" t="s">
        <v>305</v>
      </c>
      <c r="G466" t="s">
        <v>245</v>
      </c>
    </row>
    <row r="467" spans="1:7" x14ac:dyDescent="0.25">
      <c r="A467" t="s">
        <v>305</v>
      </c>
      <c r="B467" t="s">
        <v>170</v>
      </c>
      <c r="C467" s="4">
        <f>(0.0904226503711535 / ( 0.0260899569876454 + 0.0904226503711535 + 0.00131543821211861))*0.0320934299319951%</f>
        <v>2.4628881688488043E-4</v>
      </c>
      <c r="D467" t="s">
        <v>242</v>
      </c>
      <c r="E467" t="s">
        <v>316</v>
      </c>
      <c r="F467" t="s">
        <v>305</v>
      </c>
      <c r="G467" t="s">
        <v>245</v>
      </c>
    </row>
    <row r="468" spans="1:7" x14ac:dyDescent="0.25">
      <c r="A468" t="s">
        <v>305</v>
      </c>
      <c r="B468" t="s">
        <v>170</v>
      </c>
      <c r="C468" s="4">
        <f>(0.00131543821211861 / ( 0.0260899569876454 + 0.0904226503711535 + 0.00131543821211861))*0.0320934299319951%</f>
        <v>3.5829266186960801E-6</v>
      </c>
      <c r="D468" t="s">
        <v>242</v>
      </c>
      <c r="E468" t="s">
        <v>317</v>
      </c>
      <c r="F468" t="s">
        <v>305</v>
      </c>
      <c r="G468" t="s">
        <v>245</v>
      </c>
    </row>
    <row r="469" spans="1:7" x14ac:dyDescent="0.25">
      <c r="A469" t="s">
        <v>305</v>
      </c>
      <c r="B469" t="s">
        <v>171</v>
      </c>
      <c r="C469" s="4">
        <f>(0.0260899569876454 / ( 0.0260899569876454 + 0.0904226503711535 + 0.00131543821211861))*0.866560082528159%</f>
        <v>1.918771984277942E-3</v>
      </c>
      <c r="D469" t="s">
        <v>242</v>
      </c>
      <c r="E469" t="s">
        <v>315</v>
      </c>
      <c r="F469" t="s">
        <v>305</v>
      </c>
      <c r="G469" t="s">
        <v>245</v>
      </c>
    </row>
    <row r="470" spans="1:7" x14ac:dyDescent="0.25">
      <c r="A470" t="s">
        <v>305</v>
      </c>
      <c r="B470" t="s">
        <v>171</v>
      </c>
      <c r="C470" s="4">
        <f>(0.0904226503711535 / ( 0.0260899569876454 + 0.0904226503711535 + 0.00131543821211861))*0.866560082528159%</f>
        <v>6.6500856386420238E-3</v>
      </c>
      <c r="D470" t="s">
        <v>242</v>
      </c>
      <c r="E470" t="s">
        <v>316</v>
      </c>
      <c r="F470" t="s">
        <v>305</v>
      </c>
      <c r="G470" t="s">
        <v>245</v>
      </c>
    </row>
    <row r="471" spans="1:7" x14ac:dyDescent="0.25">
      <c r="A471" t="s">
        <v>305</v>
      </c>
      <c r="B471" t="s">
        <v>171</v>
      </c>
      <c r="C471" s="4">
        <f>(0.00131543821211861 / ( 0.0260899569876454 + 0.0904226503711535 + 0.00131543821211861))*0.866560082528159%</f>
        <v>9.674320236162433E-5</v>
      </c>
      <c r="D471" t="s">
        <v>242</v>
      </c>
      <c r="E471" t="s">
        <v>317</v>
      </c>
      <c r="F471" t="s">
        <v>305</v>
      </c>
      <c r="G471" t="s">
        <v>245</v>
      </c>
    </row>
    <row r="472" spans="1:7" x14ac:dyDescent="0.25">
      <c r="A472" t="s">
        <v>305</v>
      </c>
      <c r="B472" t="s">
        <v>172</v>
      </c>
      <c r="C472" s="4">
        <f>(0.0260899569876454 / ( 0.0260899569876454 + 0.0904226503711535 + 0.00131543821211861))*0.128648531732787%</f>
        <v>2.848587229949427E-4</v>
      </c>
      <c r="D472" t="s">
        <v>242</v>
      </c>
      <c r="E472" t="s">
        <v>315</v>
      </c>
      <c r="F472" t="s">
        <v>305</v>
      </c>
      <c r="G472" t="s">
        <v>245</v>
      </c>
    </row>
    <row r="473" spans="1:7" x14ac:dyDescent="0.25">
      <c r="A473" t="s">
        <v>305</v>
      </c>
      <c r="B473" t="s">
        <v>172</v>
      </c>
      <c r="C473" s="4">
        <f>(0.0904226503711535 / ( 0.0260899569876454 + 0.0904226503711535 + 0.00131543821211861))*0.128648531732787%</f>
        <v>9.8726420770805482E-4</v>
      </c>
      <c r="D473" t="s">
        <v>242</v>
      </c>
      <c r="E473" t="s">
        <v>316</v>
      </c>
      <c r="F473" t="s">
        <v>305</v>
      </c>
      <c r="G473" t="s">
        <v>245</v>
      </c>
    </row>
    <row r="474" spans="1:7" x14ac:dyDescent="0.25">
      <c r="A474" t="s">
        <v>305</v>
      </c>
      <c r="B474" t="s">
        <v>172</v>
      </c>
      <c r="C474" s="4">
        <f>(0.00131543821211861 / ( 0.0260899569876454 + 0.0904226503711535 + 0.00131543821211861))*0.128648531732787%</f>
        <v>1.4362386624872524E-5</v>
      </c>
      <c r="D474" t="s">
        <v>242</v>
      </c>
      <c r="E474" t="s">
        <v>317</v>
      </c>
      <c r="F474" t="s">
        <v>305</v>
      </c>
      <c r="G474" t="s">
        <v>245</v>
      </c>
    </row>
    <row r="475" spans="1:7" x14ac:dyDescent="0.25">
      <c r="A475" t="s">
        <v>305</v>
      </c>
      <c r="B475" t="s">
        <v>150</v>
      </c>
      <c r="C475" s="4">
        <f>(0.0260899569876454 / ( 0.0260899569876454 + 0.0904226503711535 + 0.00131543821211861))*3.54271685970208%</f>
        <v>7.8444253268550347E-3</v>
      </c>
      <c r="D475" t="s">
        <v>242</v>
      </c>
      <c r="E475" t="s">
        <v>315</v>
      </c>
      <c r="F475" t="s">
        <v>305</v>
      </c>
      <c r="G475" t="s">
        <v>245</v>
      </c>
    </row>
    <row r="476" spans="1:7" x14ac:dyDescent="0.25">
      <c r="A476" t="s">
        <v>305</v>
      </c>
      <c r="B476" t="s">
        <v>150</v>
      </c>
      <c r="C476" s="4">
        <f>(0.0904226503711535 / ( 0.0260899569876454 + 0.0904226503711535 + 0.00131543821211861))*3.54271685970208%</f>
        <v>2.718723258258807E-2</v>
      </c>
      <c r="D476" t="s">
        <v>242</v>
      </c>
      <c r="E476" t="s">
        <v>316</v>
      </c>
      <c r="F476" t="s">
        <v>305</v>
      </c>
      <c r="G476" t="s">
        <v>245</v>
      </c>
    </row>
    <row r="477" spans="1:7" x14ac:dyDescent="0.25">
      <c r="A477" t="s">
        <v>305</v>
      </c>
      <c r="B477" t="s">
        <v>150</v>
      </c>
      <c r="C477" s="4">
        <f>(0.00131543821211861 / ( 0.0260899569876454 + 0.0904226503711535 + 0.00131543821211861))*3.54271685970208%</f>
        <v>3.9551068757769537E-4</v>
      </c>
      <c r="D477" t="s">
        <v>242</v>
      </c>
      <c r="E477" t="s">
        <v>317</v>
      </c>
      <c r="F477" t="s">
        <v>305</v>
      </c>
      <c r="G477" t="s">
        <v>245</v>
      </c>
    </row>
    <row r="478" spans="1:7" x14ac:dyDescent="0.25">
      <c r="A478" t="s">
        <v>305</v>
      </c>
      <c r="B478" t="s">
        <v>173</v>
      </c>
      <c r="C478" s="4">
        <f>(0.0260899569876454 / ( 0.0260899569876454 + 0.0904226503711535 + 0.00131543821211861))*2.18391947162684%</f>
        <v>4.8357218184470179E-3</v>
      </c>
      <c r="D478" t="s">
        <v>242</v>
      </c>
      <c r="E478" t="s">
        <v>315</v>
      </c>
      <c r="F478" t="s">
        <v>305</v>
      </c>
      <c r="G478" t="s">
        <v>245</v>
      </c>
    </row>
    <row r="479" spans="1:7" x14ac:dyDescent="0.25">
      <c r="A479" t="s">
        <v>305</v>
      </c>
      <c r="B479" t="s">
        <v>173</v>
      </c>
      <c r="C479" s="4">
        <f>(0.0904226503711535 / ( 0.0260899569876454 + 0.0904226503711535 + 0.00131543821211861))*2.18391947162684%</f>
        <v>1.6759659032349196E-2</v>
      </c>
      <c r="D479" t="s">
        <v>242</v>
      </c>
      <c r="E479" t="s">
        <v>316</v>
      </c>
      <c r="F479" t="s">
        <v>305</v>
      </c>
      <c r="G479" t="s">
        <v>245</v>
      </c>
    </row>
    <row r="480" spans="1:7" x14ac:dyDescent="0.25">
      <c r="A480" t="s">
        <v>305</v>
      </c>
      <c r="B480" t="s">
        <v>173</v>
      </c>
      <c r="C480" s="4">
        <f>(0.00131543821211861 / ( 0.0260899569876454 + 0.0904226503711535 + 0.00131543821211861))*2.18391947162684%</f>
        <v>2.4381386547218611E-4</v>
      </c>
      <c r="D480" t="s">
        <v>242</v>
      </c>
      <c r="E480" t="s">
        <v>317</v>
      </c>
      <c r="F480" t="s">
        <v>305</v>
      </c>
      <c r="G480" t="s">
        <v>245</v>
      </c>
    </row>
    <row r="481" spans="1:7" x14ac:dyDescent="0.25">
      <c r="A481" t="s">
        <v>305</v>
      </c>
      <c r="B481" t="s">
        <v>161</v>
      </c>
      <c r="C481" s="4">
        <f>(0.0260899569876454 / ( 0.0260899569876454 + 0.0904226503711535 + 0.00131543821211861))*0.160274973432838%</f>
        <v>3.5488725479554704E-4</v>
      </c>
      <c r="D481" t="s">
        <v>242</v>
      </c>
      <c r="E481" t="s">
        <v>315</v>
      </c>
      <c r="F481" t="s">
        <v>305</v>
      </c>
      <c r="G481" t="s">
        <v>245</v>
      </c>
    </row>
    <row r="482" spans="1:7" x14ac:dyDescent="0.25">
      <c r="A482" t="s">
        <v>305</v>
      </c>
      <c r="B482" t="s">
        <v>161</v>
      </c>
      <c r="C482" s="4">
        <f>(0.0904226503711535 / ( 0.0260899569876454 + 0.0904226503711535 + 0.00131543821211861))*0.160274973432838%</f>
        <v>1.229969301089764E-3</v>
      </c>
      <c r="D482" t="s">
        <v>242</v>
      </c>
      <c r="E482" t="s">
        <v>316</v>
      </c>
      <c r="F482" t="s">
        <v>305</v>
      </c>
      <c r="G482" t="s">
        <v>245</v>
      </c>
    </row>
    <row r="483" spans="1:7" x14ac:dyDescent="0.25">
      <c r="A483" t="s">
        <v>305</v>
      </c>
      <c r="B483" t="s">
        <v>161</v>
      </c>
      <c r="C483" s="4">
        <f>(0.00131543821211861 / ( 0.0260899569876454 + 0.0904226503711535 + 0.00131543821211861))*0.160274973432838%</f>
        <v>1.789317844306907E-5</v>
      </c>
      <c r="D483" t="s">
        <v>242</v>
      </c>
      <c r="E483" t="s">
        <v>317</v>
      </c>
      <c r="F483" t="s">
        <v>305</v>
      </c>
      <c r="G483" t="s">
        <v>245</v>
      </c>
    </row>
    <row r="484" spans="1:7" x14ac:dyDescent="0.25">
      <c r="A484" t="s">
        <v>305</v>
      </c>
      <c r="B484" t="s">
        <v>174</v>
      </c>
      <c r="C484" s="4">
        <f>(0.0260899569876454 / ( 0.0260899569876454 + 0.0904226503711535 + 0.00131543821211861))*0.738917593344438%</f>
        <v>1.6361408809219141E-3</v>
      </c>
      <c r="D484" t="s">
        <v>242</v>
      </c>
      <c r="E484" t="s">
        <v>315</v>
      </c>
      <c r="F484" t="s">
        <v>305</v>
      </c>
      <c r="G484" t="s">
        <v>245</v>
      </c>
    </row>
    <row r="485" spans="1:7" x14ac:dyDescent="0.25">
      <c r="A485" t="s">
        <v>305</v>
      </c>
      <c r="B485" t="s">
        <v>174</v>
      </c>
      <c r="C485" s="4">
        <f>(0.0904226503711535 / ( 0.0260899569876454 + 0.0904226503711535 + 0.00131543821211861))*0.738917593344438%</f>
        <v>5.6705419216908099E-3</v>
      </c>
      <c r="D485" t="s">
        <v>242</v>
      </c>
      <c r="E485" t="s">
        <v>316</v>
      </c>
      <c r="F485" t="s">
        <v>305</v>
      </c>
      <c r="G485" t="s">
        <v>245</v>
      </c>
    </row>
    <row r="486" spans="1:7" x14ac:dyDescent="0.25">
      <c r="A486" t="s">
        <v>305</v>
      </c>
      <c r="B486" t="s">
        <v>174</v>
      </c>
      <c r="C486" s="4">
        <f>(0.00131543821211861 / ( 0.0260899569876454 + 0.0904226503711535 + 0.00131543821211861))*0.738917593344438%</f>
        <v>8.2493130831655254E-5</v>
      </c>
      <c r="D486" t="s">
        <v>242</v>
      </c>
      <c r="E486" t="s">
        <v>317</v>
      </c>
      <c r="F486" t="s">
        <v>305</v>
      </c>
      <c r="G486" t="s">
        <v>245</v>
      </c>
    </row>
    <row r="487" spans="1:7" x14ac:dyDescent="0.25">
      <c r="A487" t="s">
        <v>305</v>
      </c>
      <c r="B487" t="s">
        <v>175</v>
      </c>
      <c r="C487" s="4">
        <f>(0.0260899569876454 / ( 0.0260899569876454 + 0.0904226503711535 + 0.00131543821211861))*0.0579478586499649%</f>
        <v>1.2831046567718835E-4</v>
      </c>
      <c r="D487" t="s">
        <v>242</v>
      </c>
      <c r="E487" t="s">
        <v>315</v>
      </c>
      <c r="F487" t="s">
        <v>305</v>
      </c>
      <c r="G487" t="s">
        <v>245</v>
      </c>
    </row>
    <row r="488" spans="1:7" x14ac:dyDescent="0.25">
      <c r="A488" t="s">
        <v>305</v>
      </c>
      <c r="B488" t="s">
        <v>175</v>
      </c>
      <c r="C488" s="4">
        <f>(0.0904226503711535 / ( 0.0260899569876454 + 0.0904226503711535 + 0.00131543821211861))*0.0579478586499649%</f>
        <v>4.4469879281067306E-4</v>
      </c>
      <c r="D488" t="s">
        <v>242</v>
      </c>
      <c r="E488" t="s">
        <v>316</v>
      </c>
      <c r="F488" t="s">
        <v>305</v>
      </c>
      <c r="G488" t="s">
        <v>245</v>
      </c>
    </row>
    <row r="489" spans="1:7" x14ac:dyDescent="0.25">
      <c r="A489" t="s">
        <v>305</v>
      </c>
      <c r="B489" t="s">
        <v>175</v>
      </c>
      <c r="C489" s="4">
        <f>(0.00131543821211861 / ( 0.0260899569876454 + 0.0904226503711535 + 0.00131543821211861))*0.0579478586499649%</f>
        <v>6.4693280117875578E-6</v>
      </c>
      <c r="D489" t="s">
        <v>242</v>
      </c>
      <c r="E489" t="s">
        <v>317</v>
      </c>
      <c r="F489" t="s">
        <v>305</v>
      </c>
      <c r="G489" t="s">
        <v>245</v>
      </c>
    </row>
    <row r="490" spans="1:7" x14ac:dyDescent="0.25">
      <c r="A490" t="s">
        <v>305</v>
      </c>
      <c r="B490" t="s">
        <v>176</v>
      </c>
      <c r="C490" s="4">
        <f>(0.0260899569876454 / ( 0.0260899569876454 + 0.0904226503711535 + 0.00131543821211861))*0.0348751808198132%</f>
        <v>7.7222019860937344E-5</v>
      </c>
      <c r="D490" t="s">
        <v>242</v>
      </c>
      <c r="E490" t="s">
        <v>315</v>
      </c>
      <c r="F490" t="s">
        <v>305</v>
      </c>
      <c r="G490" t="s">
        <v>245</v>
      </c>
    </row>
    <row r="491" spans="1:7" x14ac:dyDescent="0.25">
      <c r="A491" t="s">
        <v>305</v>
      </c>
      <c r="B491" t="s">
        <v>176</v>
      </c>
      <c r="C491" s="4">
        <f>(0.0904226503711535 / ( 0.0260899569876454 + 0.0904226503711535 + 0.00131543821211861))*0.0348751808198132%</f>
        <v>2.6763630565379424E-4</v>
      </c>
      <c r="D491" t="s">
        <v>242</v>
      </c>
      <c r="E491" t="s">
        <v>316</v>
      </c>
      <c r="F491" t="s">
        <v>305</v>
      </c>
      <c r="G491" t="s">
        <v>245</v>
      </c>
    </row>
    <row r="492" spans="1:7" x14ac:dyDescent="0.25">
      <c r="A492" t="s">
        <v>305</v>
      </c>
      <c r="B492" t="s">
        <v>176</v>
      </c>
      <c r="C492" s="4">
        <f>(0.00131543821211861 / ( 0.0260899569876454 + 0.0904226503711535 + 0.00131543821211861))*0.0348751808198132%</f>
        <v>3.8934826834004222E-6</v>
      </c>
      <c r="D492" t="s">
        <v>242</v>
      </c>
      <c r="E492" t="s">
        <v>317</v>
      </c>
      <c r="F492" t="s">
        <v>305</v>
      </c>
      <c r="G492" t="s">
        <v>245</v>
      </c>
    </row>
    <row r="493" spans="1:7" x14ac:dyDescent="0.25">
      <c r="A493" t="s">
        <v>305</v>
      </c>
      <c r="B493" t="s">
        <v>106</v>
      </c>
      <c r="C493" s="4">
        <f>(0.0260899569876454 / ( 0.0260899569876454 + 0.0904226503711535 + 0.00131543821211861))*0.0649930391368328%</f>
        <v>1.4391018601388468E-4</v>
      </c>
      <c r="D493" t="s">
        <v>242</v>
      </c>
      <c r="E493" t="s">
        <v>315</v>
      </c>
      <c r="F493" t="s">
        <v>305</v>
      </c>
      <c r="G493" t="s">
        <v>245</v>
      </c>
    </row>
    <row r="494" spans="1:7" x14ac:dyDescent="0.25">
      <c r="A494" t="s">
        <v>305</v>
      </c>
      <c r="B494" t="s">
        <v>106</v>
      </c>
      <c r="C494" s="4">
        <f>(0.0904226503711535 / ( 0.0260899569876454 + 0.0904226503711535 + 0.00131543821211861))*0.0649930391368328%</f>
        <v>4.9876434985857555E-4</v>
      </c>
      <c r="D494" t="s">
        <v>242</v>
      </c>
      <c r="E494" t="s">
        <v>316</v>
      </c>
      <c r="F494" t="s">
        <v>305</v>
      </c>
      <c r="G494" t="s">
        <v>245</v>
      </c>
    </row>
    <row r="495" spans="1:7" x14ac:dyDescent="0.25">
      <c r="A495" t="s">
        <v>305</v>
      </c>
      <c r="B495" t="s">
        <v>106</v>
      </c>
      <c r="C495" s="4">
        <f>(0.00131543821211861 / ( 0.0260899569876454 + 0.0904226503711535 + 0.00131543821211861))*0.0649930391368328%</f>
        <v>7.2558554958677864E-6</v>
      </c>
      <c r="D495" t="s">
        <v>242</v>
      </c>
      <c r="E495" t="s">
        <v>317</v>
      </c>
      <c r="F495" t="s">
        <v>305</v>
      </c>
      <c r="G495" t="s">
        <v>245</v>
      </c>
    </row>
    <row r="496" spans="1:7" x14ac:dyDescent="0.25">
      <c r="A496" t="s">
        <v>305</v>
      </c>
      <c r="B496" t="s">
        <v>177</v>
      </c>
      <c r="C496" s="4">
        <f>(0.0260899569876454 / ( 0.0260899569876454 + 0.0904226503711535 + 0.00131543821211861))*0.657269601482717%</f>
        <v>1.455352632633622E-3</v>
      </c>
      <c r="D496" t="s">
        <v>242</v>
      </c>
      <c r="E496" t="s">
        <v>315</v>
      </c>
      <c r="F496" t="s">
        <v>305</v>
      </c>
      <c r="G496" t="s">
        <v>245</v>
      </c>
    </row>
    <row r="497" spans="1:7" x14ac:dyDescent="0.25">
      <c r="A497" t="s">
        <v>305</v>
      </c>
      <c r="B497" t="s">
        <v>177</v>
      </c>
      <c r="C497" s="4">
        <f>(0.0904226503711535 / ( 0.0260899569876454 + 0.0904226503711535 + 0.00131543821211861))*0.657269601482717%</f>
        <v>5.0439654741356596E-3</v>
      </c>
      <c r="D497" t="s">
        <v>242</v>
      </c>
      <c r="E497" t="s">
        <v>316</v>
      </c>
      <c r="F497" t="s">
        <v>305</v>
      </c>
      <c r="G497" t="s">
        <v>245</v>
      </c>
    </row>
    <row r="498" spans="1:7" x14ac:dyDescent="0.25">
      <c r="A498" t="s">
        <v>305</v>
      </c>
      <c r="B498" t="s">
        <v>177</v>
      </c>
      <c r="C498" s="4">
        <f>(0.00131543821211861 / ( 0.0260899569876454 + 0.0904226503711535 + 0.00131543821211861))*0.657269601482717%</f>
        <v>7.3377908057887495E-5</v>
      </c>
      <c r="D498" t="s">
        <v>242</v>
      </c>
      <c r="E498" t="s">
        <v>317</v>
      </c>
      <c r="F498" t="s">
        <v>305</v>
      </c>
      <c r="G498" t="s">
        <v>245</v>
      </c>
    </row>
    <row r="499" spans="1:7" x14ac:dyDescent="0.25">
      <c r="A499" t="s">
        <v>305</v>
      </c>
      <c r="B499" t="s">
        <v>155</v>
      </c>
      <c r="C499" s="4">
        <f>(0.0260899569876454 / ( 0.0260899569876454 + 0.0904226503711535 + 0.00131543821211861))*0.429325534950154%</f>
        <v>9.5062976613710702E-4</v>
      </c>
      <c r="D499" t="s">
        <v>242</v>
      </c>
      <c r="E499" t="s">
        <v>315</v>
      </c>
      <c r="F499" t="s">
        <v>305</v>
      </c>
      <c r="G499" t="s">
        <v>245</v>
      </c>
    </row>
    <row r="500" spans="1:7" x14ac:dyDescent="0.25">
      <c r="A500" t="s">
        <v>305</v>
      </c>
      <c r="B500" t="s">
        <v>155</v>
      </c>
      <c r="C500" s="4">
        <f>(0.0904226503711535 / ( 0.0260899569876454 + 0.0904226503711535 + 0.00131543821211861))*0.429325534950154%</f>
        <v>3.2946954652524601E-3</v>
      </c>
      <c r="D500" t="s">
        <v>242</v>
      </c>
      <c r="E500" t="s">
        <v>316</v>
      </c>
      <c r="F500" t="s">
        <v>305</v>
      </c>
      <c r="G500" t="s">
        <v>245</v>
      </c>
    </row>
    <row r="501" spans="1:7" x14ac:dyDescent="0.25">
      <c r="A501" t="s">
        <v>305</v>
      </c>
      <c r="B501" t="s">
        <v>155</v>
      </c>
      <c r="C501" s="4">
        <f>(0.00131543821211861 / ( 0.0260899569876454 + 0.0904226503711535 + 0.00131543821211861))*0.429325534950154%</f>
        <v>4.7930118111972571E-5</v>
      </c>
      <c r="D501" t="s">
        <v>242</v>
      </c>
      <c r="E501" t="s">
        <v>317</v>
      </c>
      <c r="F501" t="s">
        <v>305</v>
      </c>
      <c r="G501" t="s">
        <v>245</v>
      </c>
    </row>
    <row r="502" spans="1:7" x14ac:dyDescent="0.25">
      <c r="A502" t="s">
        <v>305</v>
      </c>
      <c r="B502" t="s">
        <v>146</v>
      </c>
      <c r="C502" s="4">
        <f>(0.0260899569876454 / ( 0.0260899569876454 + 0.0904226503711535 + 0.00131543821211861))*11.3263508343259%</f>
        <v>2.5079258903321831E-2</v>
      </c>
      <c r="D502" t="s">
        <v>242</v>
      </c>
      <c r="E502" t="s">
        <v>315</v>
      </c>
      <c r="F502" t="s">
        <v>305</v>
      </c>
      <c r="G502" t="s">
        <v>245</v>
      </c>
    </row>
    <row r="503" spans="1:7" x14ac:dyDescent="0.25">
      <c r="A503" t="s">
        <v>305</v>
      </c>
      <c r="B503" t="s">
        <v>146</v>
      </c>
      <c r="C503" s="4">
        <f>(0.0904226503711535 / ( 0.0260899569876454 + 0.0904226503711535 + 0.00131543821211861))*11.3263508343259%</f>
        <v>8.6919769950428327E-2</v>
      </c>
      <c r="D503" t="s">
        <v>242</v>
      </c>
      <c r="E503" t="s">
        <v>316</v>
      </c>
      <c r="F503" t="s">
        <v>305</v>
      </c>
      <c r="G503" t="s">
        <v>245</v>
      </c>
    </row>
    <row r="504" spans="1:7" x14ac:dyDescent="0.25">
      <c r="A504" t="s">
        <v>305</v>
      </c>
      <c r="B504" t="s">
        <v>146</v>
      </c>
      <c r="C504" s="4">
        <f>(0.00131543821211861 / ( 0.0260899569876454 + 0.0904226503711535 + 0.00131543821211861))*11.3263508343259%</f>
        <v>1.264479489508838E-3</v>
      </c>
      <c r="D504" t="s">
        <v>242</v>
      </c>
      <c r="E504" t="s">
        <v>317</v>
      </c>
      <c r="F504" t="s">
        <v>305</v>
      </c>
      <c r="G504" t="s">
        <v>245</v>
      </c>
    </row>
    <row r="505" spans="1:7" x14ac:dyDescent="0.25">
      <c r="A505" t="s">
        <v>305</v>
      </c>
      <c r="B505" t="s">
        <v>156</v>
      </c>
      <c r="C505" s="4">
        <f>(0.0260899569876454 / ( 0.0260899569876454 + 0.0904226503711535 + 0.00131543821211861))*0.309810178412085%</f>
        <v>6.8599408484978615E-4</v>
      </c>
      <c r="D505" t="s">
        <v>242</v>
      </c>
      <c r="E505" t="s">
        <v>315</v>
      </c>
      <c r="F505" t="s">
        <v>305</v>
      </c>
      <c r="G505" t="s">
        <v>245</v>
      </c>
    </row>
    <row r="506" spans="1:7" x14ac:dyDescent="0.25">
      <c r="A506" t="s">
        <v>305</v>
      </c>
      <c r="B506" t="s">
        <v>156</v>
      </c>
      <c r="C506" s="4">
        <f>(0.0904226503711535 / ( 0.0260899569876454 + 0.0904226503711535 + 0.00131543821211861))*0.309810178412085%</f>
        <v>2.3775203355231641E-3</v>
      </c>
      <c r="D506" t="s">
        <v>242</v>
      </c>
      <c r="E506" t="s">
        <v>316</v>
      </c>
      <c r="F506" t="s">
        <v>305</v>
      </c>
      <c r="G506" t="s">
        <v>245</v>
      </c>
    </row>
    <row r="507" spans="1:7" x14ac:dyDescent="0.25">
      <c r="A507" t="s">
        <v>305</v>
      </c>
      <c r="B507" t="s">
        <v>156</v>
      </c>
      <c r="C507" s="4">
        <f>(0.00131543821211861 / ( 0.0260899569876454 + 0.0904226503711535 + 0.00131543821211861))*0.309810178412085%</f>
        <v>3.458736374789953E-5</v>
      </c>
      <c r="D507" t="s">
        <v>242</v>
      </c>
      <c r="E507" t="s">
        <v>317</v>
      </c>
      <c r="F507" t="s">
        <v>305</v>
      </c>
      <c r="G507" t="s">
        <v>245</v>
      </c>
    </row>
    <row r="508" spans="1:7" x14ac:dyDescent="0.25">
      <c r="A508" t="s">
        <v>305</v>
      </c>
      <c r="B508" t="s">
        <v>151</v>
      </c>
      <c r="C508" s="4">
        <f>(0.0260899569876454 / ( 0.0260899569876454 + 0.0904226503711535 + 0.00131543821211861))*2.07002623061368%</f>
        <v>4.5835348501561428E-3</v>
      </c>
      <c r="D508" t="s">
        <v>242</v>
      </c>
      <c r="E508" t="s">
        <v>315</v>
      </c>
      <c r="F508" t="s">
        <v>305</v>
      </c>
      <c r="G508" t="s">
        <v>245</v>
      </c>
    </row>
    <row r="509" spans="1:7" x14ac:dyDescent="0.25">
      <c r="A509" t="s">
        <v>305</v>
      </c>
      <c r="B509" t="s">
        <v>151</v>
      </c>
      <c r="C509" s="4">
        <f>(0.0904226503711535 / ( 0.0260899569876454 + 0.0904226503711535 + 0.00131543821211861))*2.07002623061368%</f>
        <v>1.5885628689074761E-2</v>
      </c>
      <c r="D509" t="s">
        <v>242</v>
      </c>
      <c r="E509" t="s">
        <v>316</v>
      </c>
      <c r="F509" t="s">
        <v>305</v>
      </c>
      <c r="G509" t="s">
        <v>245</v>
      </c>
    </row>
    <row r="510" spans="1:7" x14ac:dyDescent="0.25">
      <c r="A510" t="s">
        <v>305</v>
      </c>
      <c r="B510" t="s">
        <v>151</v>
      </c>
      <c r="C510" s="4">
        <f>(0.00131543821211861 / ( 0.0260899569876454 + 0.0904226503711535 + 0.00131543821211861))*2.07002623061368%</f>
        <v>2.3109876690589675E-4</v>
      </c>
      <c r="D510" t="s">
        <v>242</v>
      </c>
      <c r="E510" t="s">
        <v>317</v>
      </c>
      <c r="F510" t="s">
        <v>305</v>
      </c>
      <c r="G510" t="s">
        <v>245</v>
      </c>
    </row>
    <row r="511" spans="1:7" x14ac:dyDescent="0.25">
      <c r="A511" t="s">
        <v>305</v>
      </c>
      <c r="B511" t="s">
        <v>178</v>
      </c>
      <c r="C511" s="4">
        <f>(0.0260899569876454 / ( 0.0260899569876454 + 0.0904226503711535 + 0.00131543821211861))*0.215623648610765%</f>
        <v>4.7744250450018042E-4</v>
      </c>
      <c r="D511" t="s">
        <v>242</v>
      </c>
      <c r="E511" t="s">
        <v>315</v>
      </c>
      <c r="F511" t="s">
        <v>305</v>
      </c>
      <c r="G511" t="s">
        <v>245</v>
      </c>
    </row>
    <row r="512" spans="1:7" x14ac:dyDescent="0.25">
      <c r="A512" t="s">
        <v>305</v>
      </c>
      <c r="B512" t="s">
        <v>178</v>
      </c>
      <c r="C512" s="4">
        <f>(0.0904226503711535 / ( 0.0260899569876454 + 0.0904226503711535 + 0.00131543821211861))*0.215623648610765%</f>
        <v>1.6547216492994266E-3</v>
      </c>
      <c r="D512" t="s">
        <v>242</v>
      </c>
      <c r="E512" t="s">
        <v>316</v>
      </c>
      <c r="F512" t="s">
        <v>305</v>
      </c>
      <c r="G512" t="s">
        <v>245</v>
      </c>
    </row>
    <row r="513" spans="1:7" x14ac:dyDescent="0.25">
      <c r="A513" t="s">
        <v>305</v>
      </c>
      <c r="B513" t="s">
        <v>178</v>
      </c>
      <c r="C513" s="4">
        <f>(0.00131543821211861 / ( 0.0260899569876454 + 0.0904226503711535 + 0.00131543821211861))*0.215623648610765%</f>
        <v>2.4072332308043004E-5</v>
      </c>
      <c r="D513" t="s">
        <v>242</v>
      </c>
      <c r="E513" t="s">
        <v>317</v>
      </c>
      <c r="F513" t="s">
        <v>305</v>
      </c>
      <c r="G513" t="s">
        <v>245</v>
      </c>
    </row>
    <row r="514" spans="1:7" x14ac:dyDescent="0.25">
      <c r="A514" t="s">
        <v>305</v>
      </c>
      <c r="B514" t="s">
        <v>120</v>
      </c>
      <c r="C514" s="4">
        <f>(0.0260899569876454 / ( 0.0260899569876454 + 0.0904226503711535 + 0.00131543821211861))*0.0418194687874338%</f>
        <v>9.2598339947312701E-5</v>
      </c>
      <c r="D514" t="s">
        <v>242</v>
      </c>
      <c r="E514" t="s">
        <v>315</v>
      </c>
      <c r="F514" t="s">
        <v>305</v>
      </c>
      <c r="G514" t="s">
        <v>245</v>
      </c>
    </row>
    <row r="515" spans="1:7" x14ac:dyDescent="0.25">
      <c r="A515" t="s">
        <v>305</v>
      </c>
      <c r="B515" t="s">
        <v>120</v>
      </c>
      <c r="C515" s="4">
        <f>(0.0904226503711535 / ( 0.0260899569876454 + 0.0904226503711535 + 0.00131543821211861))*0.0418194687874338%</f>
        <v>3.2092760145101056E-4</v>
      </c>
      <c r="D515" t="s">
        <v>242</v>
      </c>
      <c r="E515" t="s">
        <v>316</v>
      </c>
      <c r="F515" t="s">
        <v>305</v>
      </c>
      <c r="G515" t="s">
        <v>245</v>
      </c>
    </row>
    <row r="516" spans="1:7" x14ac:dyDescent="0.25">
      <c r="A516" t="s">
        <v>305</v>
      </c>
      <c r="B516" t="s">
        <v>120</v>
      </c>
      <c r="C516" s="4">
        <f>(0.00131543821211861 / ( 0.0260899569876454 + 0.0904226503711535 + 0.00131543821211861))*0.0418194687874338%</f>
        <v>4.6687464760146887E-6</v>
      </c>
      <c r="D516" t="s">
        <v>242</v>
      </c>
      <c r="E516" t="s">
        <v>317</v>
      </c>
      <c r="F516" t="s">
        <v>305</v>
      </c>
      <c r="G516" t="s">
        <v>245</v>
      </c>
    </row>
    <row r="517" spans="1:7" x14ac:dyDescent="0.25">
      <c r="A517" t="s">
        <v>305</v>
      </c>
      <c r="B517" t="s">
        <v>107</v>
      </c>
      <c r="C517" s="4">
        <v>4.1011367752319818E-2</v>
      </c>
      <c r="D517" t="s">
        <v>312</v>
      </c>
      <c r="E517" t="s">
        <v>306</v>
      </c>
      <c r="F517" t="s">
        <v>305</v>
      </c>
      <c r="G517" t="s">
        <v>245</v>
      </c>
    </row>
    <row r="518" spans="1:7" x14ac:dyDescent="0.25">
      <c r="A518" t="s">
        <v>305</v>
      </c>
      <c r="B518" t="s">
        <v>108</v>
      </c>
      <c r="C518" s="4">
        <f>(0.0260899569876454 / ( 0.0260899569876454 + 0.0904226503711535 + 0.00131543821211861))*0.300399308569152%</f>
        <v>6.6515616054842153E-4</v>
      </c>
      <c r="D518" t="s">
        <v>242</v>
      </c>
      <c r="E518" t="s">
        <v>315</v>
      </c>
      <c r="F518" t="s">
        <v>305</v>
      </c>
      <c r="G518" t="s">
        <v>245</v>
      </c>
    </row>
    <row r="519" spans="1:7" x14ac:dyDescent="0.25">
      <c r="A519" t="s">
        <v>305</v>
      </c>
      <c r="B519" t="s">
        <v>108</v>
      </c>
      <c r="C519" s="4">
        <f>(0.0904226503711535 / ( 0.0260899569876454 + 0.0904226503711535 + 0.00131543821211861))*0.300399308569152%</f>
        <v>2.3053001956258425E-3</v>
      </c>
      <c r="D519" t="s">
        <v>242</v>
      </c>
      <c r="E519" t="s">
        <v>316</v>
      </c>
      <c r="F519" t="s">
        <v>305</v>
      </c>
      <c r="G519" t="s">
        <v>245</v>
      </c>
    </row>
    <row r="520" spans="1:7" x14ac:dyDescent="0.25">
      <c r="A520" t="s">
        <v>305</v>
      </c>
      <c r="B520" t="s">
        <v>108</v>
      </c>
      <c r="C520" s="4">
        <f>(0.00131543821211861 / ( 0.0260899569876454 + 0.0904226503711535 + 0.00131543821211861))*0.300399308569152%</f>
        <v>3.3536729517255529E-5</v>
      </c>
      <c r="D520" t="s">
        <v>242</v>
      </c>
      <c r="E520" t="s">
        <v>317</v>
      </c>
      <c r="F520" t="s">
        <v>305</v>
      </c>
      <c r="G520" t="s">
        <v>245</v>
      </c>
    </row>
    <row r="521" spans="1:7" x14ac:dyDescent="0.25">
      <c r="A521" t="s">
        <v>305</v>
      </c>
      <c r="B521" t="s">
        <v>179</v>
      </c>
      <c r="C521" s="4">
        <f>(0.0260899569876454 / ( 0.0260899569876454 + 0.0904226503711535 + 0.00131543821211861))*0.293844177461486%</f>
        <v>6.5064152714185727E-4</v>
      </c>
      <c r="D521" t="s">
        <v>242</v>
      </c>
      <c r="E521" t="s">
        <v>315</v>
      </c>
      <c r="F521" t="s">
        <v>305</v>
      </c>
      <c r="G521" t="s">
        <v>245</v>
      </c>
    </row>
    <row r="522" spans="1:7" x14ac:dyDescent="0.25">
      <c r="A522" t="s">
        <v>305</v>
      </c>
      <c r="B522" t="s">
        <v>179</v>
      </c>
      <c r="C522" s="4">
        <f>(0.0904226503711535 / ( 0.0260899569876454 + 0.0904226503711535 + 0.00131543821211861))*0.293844177461486%</f>
        <v>2.2549953360812783E-3</v>
      </c>
      <c r="D522" t="s">
        <v>242</v>
      </c>
      <c r="E522" t="s">
        <v>316</v>
      </c>
      <c r="F522" t="s">
        <v>305</v>
      </c>
      <c r="G522" t="s">
        <v>245</v>
      </c>
    </row>
    <row r="523" spans="1:7" x14ac:dyDescent="0.25">
      <c r="A523" t="s">
        <v>305</v>
      </c>
      <c r="B523" t="s">
        <v>179</v>
      </c>
      <c r="C523" s="4">
        <f>(0.00131543821211861 / ( 0.0260899569876454 + 0.0904226503711535 + 0.00131543821211861))*0.293844177461486%</f>
        <v>3.2804911391724344E-5</v>
      </c>
      <c r="D523" t="s">
        <v>242</v>
      </c>
      <c r="E523" t="s">
        <v>317</v>
      </c>
      <c r="F523" t="s">
        <v>305</v>
      </c>
      <c r="G523" t="s">
        <v>245</v>
      </c>
    </row>
    <row r="524" spans="1:7" x14ac:dyDescent="0.25">
      <c r="A524" t="s">
        <v>305</v>
      </c>
      <c r="B524" t="s">
        <v>135</v>
      </c>
      <c r="C524" s="4">
        <f>(0.0260899569876454 / ( 0.0260899569876454 + 0.0904226503711535 + 0.00131543821211861))*0.000159506268524287%</f>
        <v>3.5318515765024417E-7</v>
      </c>
      <c r="D524" t="s">
        <v>242</v>
      </c>
      <c r="E524" t="s">
        <v>315</v>
      </c>
      <c r="F524" t="s">
        <v>305</v>
      </c>
      <c r="G524" t="s">
        <v>245</v>
      </c>
    </row>
    <row r="525" spans="1:7" x14ac:dyDescent="0.25">
      <c r="A525" t="s">
        <v>305</v>
      </c>
      <c r="B525" t="s">
        <v>135</v>
      </c>
      <c r="C525" s="4">
        <f>(0.0904226503711535 / ( 0.0260899569876454 + 0.0904226503711535 + 0.00131543821211861))*0.000159506268524287%</f>
        <v>1.2240701677512021E-6</v>
      </c>
      <c r="D525" t="s">
        <v>242</v>
      </c>
      <c r="E525" t="s">
        <v>316</v>
      </c>
      <c r="F525" t="s">
        <v>305</v>
      </c>
      <c r="G525" t="s">
        <v>245</v>
      </c>
    </row>
    <row r="526" spans="1:7" x14ac:dyDescent="0.25">
      <c r="A526" t="s">
        <v>305</v>
      </c>
      <c r="B526" t="s">
        <v>135</v>
      </c>
      <c r="C526" s="4">
        <f>(0.00131543821211861 / ( 0.0260899569876454 + 0.0904226503711535 + 0.00131543821211861))*0.000159506268524287%</f>
        <v>1.7807359841423631E-8</v>
      </c>
      <c r="D526" t="s">
        <v>242</v>
      </c>
      <c r="E526" t="s">
        <v>317</v>
      </c>
      <c r="F526" t="s">
        <v>305</v>
      </c>
      <c r="G526" t="s">
        <v>245</v>
      </c>
    </row>
    <row r="527" spans="1:7" x14ac:dyDescent="0.25">
      <c r="A527" t="s">
        <v>305</v>
      </c>
      <c r="B527" t="s">
        <v>137</v>
      </c>
      <c r="C527" s="4">
        <f>(0.0260899569876454 / ( 0.0260899569876454 + 0.0904226503711535 + 0.00131543821211861))*0.213583697959699%</f>
        <v>4.729255642008357E-4</v>
      </c>
      <c r="D527" t="s">
        <v>242</v>
      </c>
      <c r="E527" t="s">
        <v>315</v>
      </c>
      <c r="F527" t="s">
        <v>305</v>
      </c>
      <c r="G527" t="s">
        <v>245</v>
      </c>
    </row>
    <row r="528" spans="1:7" x14ac:dyDescent="0.25">
      <c r="A528" t="s">
        <v>305</v>
      </c>
      <c r="B528" t="s">
        <v>137</v>
      </c>
      <c r="C528" s="4">
        <f>(0.0904226503711535 / ( 0.0260899569876454 + 0.0904226503711535 + 0.00131543821211861))*0.213583697959699%</f>
        <v>1.639066824202228E-3</v>
      </c>
      <c r="D528" t="s">
        <v>242</v>
      </c>
      <c r="E528" t="s">
        <v>316</v>
      </c>
      <c r="F528" t="s">
        <v>305</v>
      </c>
      <c r="G528" t="s">
        <v>245</v>
      </c>
    </row>
    <row r="529" spans="1:7" x14ac:dyDescent="0.25">
      <c r="A529" t="s">
        <v>305</v>
      </c>
      <c r="B529" t="s">
        <v>137</v>
      </c>
      <c r="C529" s="4">
        <f>(0.00131543821211861 / ( 0.0260899569876454 + 0.0904226503711535 + 0.00131543821211861))*0.213583697959699%</f>
        <v>2.3844591193926558E-5</v>
      </c>
      <c r="D529" t="s">
        <v>242</v>
      </c>
      <c r="E529" t="s">
        <v>317</v>
      </c>
      <c r="F529" t="s">
        <v>305</v>
      </c>
      <c r="G529" t="s">
        <v>245</v>
      </c>
    </row>
    <row r="530" spans="1:7" x14ac:dyDescent="0.25">
      <c r="A530" t="s">
        <v>305</v>
      </c>
      <c r="B530" t="s">
        <v>121</v>
      </c>
      <c r="C530" s="4">
        <f>(0.0260899569876454 / ( 0.0260899569876454 + 0.0904226503711535 + 0.00131543821211861))*0.847191601476086%</f>
        <v>1.875885519080616E-3</v>
      </c>
      <c r="D530" t="s">
        <v>242</v>
      </c>
      <c r="E530" t="s">
        <v>315</v>
      </c>
      <c r="F530" t="s">
        <v>305</v>
      </c>
      <c r="G530" t="s">
        <v>245</v>
      </c>
    </row>
    <row r="531" spans="1:7" x14ac:dyDescent="0.25">
      <c r="A531" t="s">
        <v>305</v>
      </c>
      <c r="B531" t="s">
        <v>121</v>
      </c>
      <c r="C531" s="4">
        <f>(0.0904226503711535 / ( 0.0260899569876454 + 0.0904226503711535 + 0.00131543821211861))*0.847191601476086%</f>
        <v>6.5014496002603278E-3</v>
      </c>
      <c r="D531" t="s">
        <v>242</v>
      </c>
      <c r="E531" t="s">
        <v>316</v>
      </c>
      <c r="F531" t="s">
        <v>305</v>
      </c>
      <c r="G531" t="s">
        <v>245</v>
      </c>
    </row>
    <row r="532" spans="1:7" x14ac:dyDescent="0.25">
      <c r="A532" t="s">
        <v>305</v>
      </c>
      <c r="B532" t="s">
        <v>121</v>
      </c>
      <c r="C532" s="4">
        <f>(0.00131543821211861 / ( 0.0260899569876454 + 0.0904226503711535 + 0.00131543821211861))*0.847191601476086%</f>
        <v>9.4580895419915995E-5</v>
      </c>
      <c r="D532" t="s">
        <v>242</v>
      </c>
      <c r="E532" t="s">
        <v>317</v>
      </c>
      <c r="F532" t="s">
        <v>305</v>
      </c>
      <c r="G532" t="s">
        <v>245</v>
      </c>
    </row>
    <row r="533" spans="1:7" x14ac:dyDescent="0.25">
      <c r="A533" t="s">
        <v>305</v>
      </c>
      <c r="B533" t="s">
        <v>138</v>
      </c>
      <c r="C533" s="4">
        <f>(0.0260899569876454 / ( 0.0260899569876454 + 0.0904226503711535 + 0.00131543821211861))*0.478612011043023%</f>
        <v>1.0597618522296007E-3</v>
      </c>
      <c r="D533" t="s">
        <v>242</v>
      </c>
      <c r="E533" t="s">
        <v>315</v>
      </c>
      <c r="F533" t="s">
        <v>305</v>
      </c>
      <c r="G533" t="s">
        <v>245</v>
      </c>
    </row>
    <row r="534" spans="1:7" x14ac:dyDescent="0.25">
      <c r="A534" t="s">
        <v>305</v>
      </c>
      <c r="B534" t="s">
        <v>138</v>
      </c>
      <c r="C534" s="4">
        <f>(0.0904226503711535 / ( 0.0260899569876454 + 0.0904226503711535 + 0.00131543821211861))*0.478612011043023%</f>
        <v>3.6729257731709084E-3</v>
      </c>
      <c r="D534" t="s">
        <v>242</v>
      </c>
      <c r="E534" t="s">
        <v>316</v>
      </c>
      <c r="F534" t="s">
        <v>305</v>
      </c>
      <c r="G534" t="s">
        <v>245</v>
      </c>
    </row>
    <row r="535" spans="1:7" x14ac:dyDescent="0.25">
      <c r="A535" t="s">
        <v>305</v>
      </c>
      <c r="B535" t="s">
        <v>138</v>
      </c>
      <c r="C535" s="4">
        <f>(0.00131543821211861 / ( 0.0260899569876454 + 0.0904226503711535 + 0.00131543821211861))*0.478612011043023%</f>
        <v>5.343248502972042E-5</v>
      </c>
      <c r="D535" t="s">
        <v>242</v>
      </c>
      <c r="E535" t="s">
        <v>317</v>
      </c>
      <c r="F535" t="s">
        <v>305</v>
      </c>
      <c r="G535" t="s">
        <v>245</v>
      </c>
    </row>
    <row r="536" spans="1:7" x14ac:dyDescent="0.25">
      <c r="A536" t="s">
        <v>305</v>
      </c>
      <c r="B536" t="s">
        <v>139</v>
      </c>
      <c r="C536" s="4">
        <f>(0.0260899569876454 / ( 0.0260899569876454 + 0.0904226503711535 + 0.00131543821211861))*0.0108733309314508%</f>
        <v>2.4076164120302202E-5</v>
      </c>
      <c r="D536" t="s">
        <v>242</v>
      </c>
      <c r="E536" t="s">
        <v>315</v>
      </c>
      <c r="F536" t="s">
        <v>305</v>
      </c>
      <c r="G536" t="s">
        <v>245</v>
      </c>
    </row>
    <row r="537" spans="1:7" x14ac:dyDescent="0.25">
      <c r="A537" t="s">
        <v>305</v>
      </c>
      <c r="B537" t="s">
        <v>139</v>
      </c>
      <c r="C537" s="4">
        <f>(0.0904226503711535 / ( 0.0260899569876454 + 0.0904226503711535 + 0.00131543821211861))*0.0108733309314508%</f>
        <v>8.3443241073931414E-5</v>
      </c>
      <c r="D537" t="s">
        <v>242</v>
      </c>
      <c r="E537" t="s">
        <v>316</v>
      </c>
      <c r="F537" t="s">
        <v>305</v>
      </c>
      <c r="G537" t="s">
        <v>245</v>
      </c>
    </row>
    <row r="538" spans="1:7" x14ac:dyDescent="0.25">
      <c r="A538" t="s">
        <v>305</v>
      </c>
      <c r="B538" t="s">
        <v>139</v>
      </c>
      <c r="C538" s="4">
        <f>(0.00131543821211861 / ( 0.0260899569876454 + 0.0904226503711535 + 0.00131543821211861))*0.0108733309314508%</f>
        <v>1.2139041202743972E-6</v>
      </c>
      <c r="D538" t="s">
        <v>242</v>
      </c>
      <c r="E538" t="s">
        <v>317</v>
      </c>
      <c r="F538" t="s">
        <v>305</v>
      </c>
      <c r="G538" t="s">
        <v>245</v>
      </c>
    </row>
    <row r="539" spans="1:7" x14ac:dyDescent="0.25">
      <c r="A539" t="s">
        <v>305</v>
      </c>
      <c r="B539" t="s">
        <v>111</v>
      </c>
      <c r="C539" s="4">
        <f>(0.0260899569876454 / ( 0.0260899569876454 + 0.0904226503711535 + 0.00131543821211861))*0.232533234836611%</f>
        <v>5.1488438645397002E-4</v>
      </c>
      <c r="D539" t="s">
        <v>242</v>
      </c>
      <c r="E539" t="s">
        <v>315</v>
      </c>
      <c r="F539" t="s">
        <v>305</v>
      </c>
      <c r="G539" t="s">
        <v>245</v>
      </c>
    </row>
    <row r="540" spans="1:7" x14ac:dyDescent="0.25">
      <c r="A540" t="s">
        <v>305</v>
      </c>
      <c r="B540" t="s">
        <v>111</v>
      </c>
      <c r="C540" s="4">
        <f>(0.0904226503711535 / ( 0.0260899569876454 + 0.0904226503711535 + 0.00131543821211861))*0.232533234836611%</f>
        <v>1.7844878349144019E-3</v>
      </c>
      <c r="D540" t="s">
        <v>242</v>
      </c>
      <c r="E540" t="s">
        <v>316</v>
      </c>
      <c r="F540" t="s">
        <v>305</v>
      </c>
      <c r="G540" t="s">
        <v>245</v>
      </c>
    </row>
    <row r="541" spans="1:7" x14ac:dyDescent="0.25">
      <c r="A541" t="s">
        <v>305</v>
      </c>
      <c r="B541" t="s">
        <v>111</v>
      </c>
      <c r="C541" s="4">
        <f>(0.00131543821211861 / ( 0.0260899569876454 + 0.0904226503711535 + 0.00131543821211861))*0.232533234836611%</f>
        <v>2.5960126997738045E-5</v>
      </c>
      <c r="D541" t="s">
        <v>242</v>
      </c>
      <c r="E541" t="s">
        <v>317</v>
      </c>
      <c r="F541" t="s">
        <v>305</v>
      </c>
      <c r="G541" t="s">
        <v>245</v>
      </c>
    </row>
    <row r="542" spans="1:7" x14ac:dyDescent="0.25">
      <c r="A542" t="s">
        <v>305</v>
      </c>
      <c r="B542" t="s">
        <v>112</v>
      </c>
      <c r="C542" s="4">
        <f>(0.0260899569876454 / ( 0.0260899569876454 + 0.0904226503711535 + 0.00131543821211861))*0.43354956842264%</f>
        <v>9.5998278995054233E-4</v>
      </c>
      <c r="D542" t="s">
        <v>242</v>
      </c>
      <c r="E542" t="s">
        <v>315</v>
      </c>
      <c r="F542" t="s">
        <v>305</v>
      </c>
      <c r="G542" t="s">
        <v>245</v>
      </c>
    </row>
    <row r="543" spans="1:7" x14ac:dyDescent="0.25">
      <c r="A543" t="s">
        <v>305</v>
      </c>
      <c r="B543" t="s">
        <v>112</v>
      </c>
      <c r="C543" s="4">
        <f>(0.0904226503711535 / ( 0.0260899569876454 + 0.0904226503711535 + 0.00131543821211861))*0.43354956842264%</f>
        <v>3.3271112029478428E-3</v>
      </c>
      <c r="D543" t="s">
        <v>242</v>
      </c>
      <c r="E543" t="s">
        <v>316</v>
      </c>
      <c r="F543" t="s">
        <v>305</v>
      </c>
      <c r="G543" t="s">
        <v>245</v>
      </c>
    </row>
    <row r="544" spans="1:7" x14ac:dyDescent="0.25">
      <c r="A544" t="s">
        <v>305</v>
      </c>
      <c r="B544" t="s">
        <v>112</v>
      </c>
      <c r="C544" s="4">
        <f>(0.00131543821211861 / ( 0.0260899569876454 + 0.0904226503711535 + 0.00131543821211861))*0.43354956842264%</f>
        <v>4.8401691328014068E-5</v>
      </c>
      <c r="D544" t="s">
        <v>242</v>
      </c>
      <c r="E544" t="s">
        <v>317</v>
      </c>
      <c r="F544" t="s">
        <v>305</v>
      </c>
      <c r="G544" t="s">
        <v>245</v>
      </c>
    </row>
    <row r="545" spans="1:8" x14ac:dyDescent="0.25">
      <c r="A545" t="s">
        <v>305</v>
      </c>
      <c r="B545" t="s">
        <v>113</v>
      </c>
      <c r="C545" s="4">
        <v>5.928636607197893E-2</v>
      </c>
      <c r="D545" t="s">
        <v>276</v>
      </c>
      <c r="E545" t="s">
        <v>306</v>
      </c>
      <c r="F545" t="s">
        <v>305</v>
      </c>
      <c r="G545" t="s">
        <v>245</v>
      </c>
    </row>
    <row r="546" spans="1:8" x14ac:dyDescent="0.25">
      <c r="A546" t="s">
        <v>305</v>
      </c>
      <c r="B546" t="s">
        <v>180</v>
      </c>
      <c r="C546" s="4">
        <f>(0.0260899569876454 / ( 0.0260899569876454 + 0.0904226503711535 + 0.00131543821211861))*0.682129518225249%</f>
        <v>1.5103984543127008E-3</v>
      </c>
      <c r="D546" t="s">
        <v>242</v>
      </c>
      <c r="E546" t="s">
        <v>315</v>
      </c>
      <c r="F546" t="s">
        <v>305</v>
      </c>
      <c r="G546" t="s">
        <v>245</v>
      </c>
    </row>
    <row r="547" spans="1:8" x14ac:dyDescent="0.25">
      <c r="A547" t="s">
        <v>305</v>
      </c>
      <c r="B547" t="s">
        <v>180</v>
      </c>
      <c r="C547" s="4">
        <f>(0.0904226503711535 / ( 0.0260899569876454 + 0.0904226503711535 + 0.00131543821211861))*0.682129518225249%</f>
        <v>5.2347434463046894E-3</v>
      </c>
      <c r="D547" t="s">
        <v>242</v>
      </c>
      <c r="E547" t="s">
        <v>316</v>
      </c>
      <c r="F547" t="s">
        <v>305</v>
      </c>
      <c r="G547" t="s">
        <v>245</v>
      </c>
    </row>
    <row r="548" spans="1:8" x14ac:dyDescent="0.25">
      <c r="A548" t="s">
        <v>305</v>
      </c>
      <c r="B548" t="s">
        <v>180</v>
      </c>
      <c r="C548" s="4">
        <f>(0.00131543821211861 / ( 0.0260899569876454 + 0.0904226503711535 + 0.00131543821211861))*0.682129518225249%</f>
        <v>7.6153281635100211E-5</v>
      </c>
      <c r="D548" t="s">
        <v>242</v>
      </c>
      <c r="E548" t="s">
        <v>317</v>
      </c>
      <c r="F548" t="s">
        <v>305</v>
      </c>
      <c r="G548" t="s">
        <v>245</v>
      </c>
    </row>
    <row r="549" spans="1:8" x14ac:dyDescent="0.25">
      <c r="A549" t="s">
        <v>305</v>
      </c>
      <c r="B549" t="s">
        <v>115</v>
      </c>
      <c r="C549" s="4">
        <f>(0.0260899569876454 / ( 0.0260899569876454 + 0.0904226503711535 + 0.00131543821211861))*0.136674771859193%</f>
        <v>3.0263074481333147E-4</v>
      </c>
      <c r="D549" t="s">
        <v>242</v>
      </c>
      <c r="E549" t="s">
        <v>315</v>
      </c>
      <c r="F549" t="s">
        <v>305</v>
      </c>
      <c r="G549" t="s">
        <v>245</v>
      </c>
    </row>
    <row r="550" spans="1:8" x14ac:dyDescent="0.25">
      <c r="A550" t="s">
        <v>305</v>
      </c>
      <c r="B550" t="s">
        <v>115</v>
      </c>
      <c r="C550" s="4">
        <f>(0.0904226503711535 / ( 0.0260899569876454 + 0.0904226503711535 + 0.00131543821211861))*0.136674771859193%</f>
        <v>1.0488585336792956E-3</v>
      </c>
      <c r="D550" t="s">
        <v>242</v>
      </c>
      <c r="E550" t="s">
        <v>316</v>
      </c>
      <c r="F550" t="s">
        <v>305</v>
      </c>
      <c r="G550" t="s">
        <v>245</v>
      </c>
    </row>
    <row r="551" spans="1:8" x14ac:dyDescent="0.25">
      <c r="A551" t="s">
        <v>305</v>
      </c>
      <c r="B551" t="s">
        <v>115</v>
      </c>
      <c r="C551" s="4">
        <f>(0.00131543821211861 / ( 0.0260899569876454 + 0.0904226503711535 + 0.00131543821211861))*0.136674771859193%</f>
        <v>1.525844009930273E-5</v>
      </c>
      <c r="D551" t="s">
        <v>242</v>
      </c>
      <c r="E551" t="s">
        <v>317</v>
      </c>
      <c r="F551" t="s">
        <v>305</v>
      </c>
      <c r="G551" t="s">
        <v>245</v>
      </c>
    </row>
    <row r="552" spans="1:8" x14ac:dyDescent="0.25">
      <c r="A552" t="s">
        <v>305</v>
      </c>
      <c r="B552" t="s">
        <v>143</v>
      </c>
      <c r="C552" s="4">
        <v>3.9707673053851769E-2</v>
      </c>
      <c r="D552" t="s">
        <v>314</v>
      </c>
      <c r="E552" t="s">
        <v>306</v>
      </c>
      <c r="F552" t="s">
        <v>305</v>
      </c>
      <c r="G552" t="s">
        <v>245</v>
      </c>
    </row>
    <row r="553" spans="1:8" x14ac:dyDescent="0.25">
      <c r="A553" t="s">
        <v>305</v>
      </c>
      <c r="B553" t="s">
        <v>158</v>
      </c>
      <c r="C553" s="4">
        <f>(0.0260899569876454 / ( 0.0260899569876454 + 0.0904226503711535 + 0.00131543821211861))*0.0415091041806065%</f>
        <v>9.191111822489703E-5</v>
      </c>
      <c r="D553" t="s">
        <v>242</v>
      </c>
      <c r="E553" t="s">
        <v>315</v>
      </c>
      <c r="F553" t="s">
        <v>305</v>
      </c>
      <c r="G553" t="s">
        <v>245</v>
      </c>
    </row>
    <row r="554" spans="1:8" x14ac:dyDescent="0.25">
      <c r="A554" t="s">
        <v>305</v>
      </c>
      <c r="B554" t="s">
        <v>158</v>
      </c>
      <c r="C554" s="4">
        <f>(0.0904226503711535 / ( 0.0260899569876454 + 0.0904226503711535 + 0.00131543821211861))*0.0415091041806065%</f>
        <v>3.185458263655676E-4</v>
      </c>
      <c r="D554" t="s">
        <v>242</v>
      </c>
      <c r="E554" t="s">
        <v>316</v>
      </c>
      <c r="F554" t="s">
        <v>305</v>
      </c>
      <c r="G554" t="s">
        <v>245</v>
      </c>
    </row>
    <row r="555" spans="1:8" x14ac:dyDescent="0.25">
      <c r="A555" t="s">
        <v>305</v>
      </c>
      <c r="B555" t="s">
        <v>158</v>
      </c>
      <c r="C555" s="4">
        <f>(0.00131543821211861 / ( 0.0260899569876454 + 0.0904226503711535 + 0.00131543821211861))*0.0415091041806065%</f>
        <v>4.6340972156003608E-6</v>
      </c>
      <c r="D555" t="s">
        <v>242</v>
      </c>
      <c r="E555" t="s">
        <v>317</v>
      </c>
      <c r="F555" t="s">
        <v>305</v>
      </c>
      <c r="G555" t="s">
        <v>245</v>
      </c>
    </row>
    <row r="556" spans="1:8" x14ac:dyDescent="0.25">
      <c r="A556" t="s">
        <v>319</v>
      </c>
      <c r="B556" t="s">
        <v>164</v>
      </c>
      <c r="C556" s="4">
        <v>2.4480106062796852E-4</v>
      </c>
      <c r="D556" t="s">
        <v>256</v>
      </c>
      <c r="E556" t="s">
        <v>318</v>
      </c>
      <c r="F556" t="s">
        <v>319</v>
      </c>
      <c r="G556" t="s">
        <v>245</v>
      </c>
      <c r="H556" t="s">
        <v>608</v>
      </c>
    </row>
    <row r="557" spans="1:8" x14ac:dyDescent="0.25">
      <c r="A557" t="s">
        <v>319</v>
      </c>
      <c r="B557" t="s">
        <v>83</v>
      </c>
      <c r="C557" s="4">
        <v>2.2311936760906131E-2</v>
      </c>
      <c r="D557" t="s">
        <v>256</v>
      </c>
      <c r="E557" t="s">
        <v>318</v>
      </c>
      <c r="F557" t="s">
        <v>319</v>
      </c>
      <c r="G557" t="s">
        <v>245</v>
      </c>
    </row>
    <row r="558" spans="1:8" x14ac:dyDescent="0.25">
      <c r="A558" t="s">
        <v>319</v>
      </c>
      <c r="B558" t="s">
        <v>85</v>
      </c>
      <c r="C558" s="4">
        <v>5.7056161386664249E-3</v>
      </c>
      <c r="D558" t="s">
        <v>256</v>
      </c>
      <c r="E558" t="s">
        <v>318</v>
      </c>
      <c r="F558" t="s">
        <v>319</v>
      </c>
      <c r="G558" t="s">
        <v>245</v>
      </c>
    </row>
    <row r="559" spans="1:8" x14ac:dyDescent="0.25">
      <c r="A559" t="s">
        <v>319</v>
      </c>
      <c r="B559" t="s">
        <v>147</v>
      </c>
      <c r="C559" s="4">
        <v>1.6585793533974231E-2</v>
      </c>
      <c r="D559" t="s">
        <v>256</v>
      </c>
      <c r="E559" t="s">
        <v>318</v>
      </c>
      <c r="F559" t="s">
        <v>319</v>
      </c>
      <c r="G559" t="s">
        <v>245</v>
      </c>
    </row>
    <row r="560" spans="1:8" x14ac:dyDescent="0.25">
      <c r="A560" t="s">
        <v>319</v>
      </c>
      <c r="B560" t="s">
        <v>116</v>
      </c>
      <c r="C560" s="4">
        <v>1.699258391821858E-2</v>
      </c>
      <c r="D560" t="s">
        <v>256</v>
      </c>
      <c r="E560" t="s">
        <v>318</v>
      </c>
      <c r="F560" t="s">
        <v>319</v>
      </c>
      <c r="G560" t="s">
        <v>245</v>
      </c>
    </row>
    <row r="561" spans="1:7" x14ac:dyDescent="0.25">
      <c r="A561" t="s">
        <v>319</v>
      </c>
      <c r="B561" t="s">
        <v>145</v>
      </c>
      <c r="C561" s="4">
        <v>6.9574051078194976E-2</v>
      </c>
      <c r="D561" t="s">
        <v>311</v>
      </c>
      <c r="E561" t="s">
        <v>318</v>
      </c>
      <c r="F561" t="s">
        <v>319</v>
      </c>
      <c r="G561" t="s">
        <v>245</v>
      </c>
    </row>
    <row r="562" spans="1:7" x14ac:dyDescent="0.25">
      <c r="A562" t="s">
        <v>319</v>
      </c>
      <c r="B562" t="s">
        <v>86</v>
      </c>
      <c r="C562" s="4">
        <v>0.41947375673311349</v>
      </c>
      <c r="D562" t="s">
        <v>254</v>
      </c>
      <c r="E562" t="s">
        <v>318</v>
      </c>
      <c r="F562" t="s">
        <v>319</v>
      </c>
      <c r="G562" t="s">
        <v>245</v>
      </c>
    </row>
    <row r="563" spans="1:7" x14ac:dyDescent="0.25">
      <c r="A563" t="s">
        <v>319</v>
      </c>
      <c r="B563" t="s">
        <v>159</v>
      </c>
      <c r="C563" s="4">
        <v>3.2801138187772052E-3</v>
      </c>
      <c r="D563" t="s">
        <v>242</v>
      </c>
      <c r="E563" t="s">
        <v>289</v>
      </c>
      <c r="F563" t="s">
        <v>319</v>
      </c>
      <c r="G563" t="s">
        <v>245</v>
      </c>
    </row>
    <row r="564" spans="1:7" x14ac:dyDescent="0.25">
      <c r="A564" t="s">
        <v>319</v>
      </c>
      <c r="B564" t="s">
        <v>154</v>
      </c>
      <c r="C564" s="4">
        <v>8.0830538886593386E-3</v>
      </c>
      <c r="D564" t="s">
        <v>256</v>
      </c>
      <c r="E564" t="s">
        <v>318</v>
      </c>
      <c r="F564" t="s">
        <v>319</v>
      </c>
      <c r="G564" t="s">
        <v>245</v>
      </c>
    </row>
    <row r="565" spans="1:7" x14ac:dyDescent="0.25">
      <c r="A565" t="s">
        <v>319</v>
      </c>
      <c r="B565" t="s">
        <v>117</v>
      </c>
      <c r="C565" s="4">
        <v>1.8112136704827669E-2</v>
      </c>
      <c r="D565" t="s">
        <v>256</v>
      </c>
      <c r="E565" t="s">
        <v>318</v>
      </c>
      <c r="F565" t="s">
        <v>319</v>
      </c>
      <c r="G565" t="s">
        <v>245</v>
      </c>
    </row>
    <row r="566" spans="1:7" x14ac:dyDescent="0.25">
      <c r="A566" t="s">
        <v>319</v>
      </c>
      <c r="B566" t="s">
        <v>97</v>
      </c>
      <c r="C566" s="4">
        <v>2.6518747210349951E-2</v>
      </c>
      <c r="D566" t="s">
        <v>308</v>
      </c>
      <c r="E566" t="s">
        <v>318</v>
      </c>
      <c r="F566" t="s">
        <v>319</v>
      </c>
      <c r="G566" t="s">
        <v>245</v>
      </c>
    </row>
    <row r="567" spans="1:7" x14ac:dyDescent="0.25">
      <c r="A567" t="s">
        <v>319</v>
      </c>
      <c r="B567" t="s">
        <v>98</v>
      </c>
      <c r="C567" s="4">
        <v>1.533377010350459E-2</v>
      </c>
      <c r="D567" t="s">
        <v>321</v>
      </c>
      <c r="E567" t="s">
        <v>318</v>
      </c>
      <c r="F567" t="s">
        <v>319</v>
      </c>
      <c r="G567" t="s">
        <v>245</v>
      </c>
    </row>
    <row r="568" spans="1:7" x14ac:dyDescent="0.25">
      <c r="A568" t="s">
        <v>319</v>
      </c>
      <c r="B568" t="s">
        <v>99</v>
      </c>
      <c r="C568" s="4">
        <v>1.159997363716956E-2</v>
      </c>
      <c r="D568" t="s">
        <v>256</v>
      </c>
      <c r="E568" t="s">
        <v>318</v>
      </c>
      <c r="F568" t="s">
        <v>319</v>
      </c>
      <c r="G568" t="s">
        <v>245</v>
      </c>
    </row>
    <row r="569" spans="1:7" x14ac:dyDescent="0.25">
      <c r="A569" t="s">
        <v>319</v>
      </c>
      <c r="B569" t="s">
        <v>119</v>
      </c>
      <c r="C569" s="4">
        <v>7.1247624232786883E-2</v>
      </c>
      <c r="D569" t="s">
        <v>256</v>
      </c>
      <c r="E569" t="s">
        <v>318</v>
      </c>
      <c r="F569" t="s">
        <v>319</v>
      </c>
      <c r="G569" t="s">
        <v>245</v>
      </c>
    </row>
    <row r="570" spans="1:7" x14ac:dyDescent="0.25">
      <c r="A570" t="s">
        <v>319</v>
      </c>
      <c r="B570" t="s">
        <v>102</v>
      </c>
      <c r="C570" s="4">
        <v>1.778154624846771E-2</v>
      </c>
      <c r="D570" t="s">
        <v>256</v>
      </c>
      <c r="E570" t="s">
        <v>318</v>
      </c>
      <c r="F570" t="s">
        <v>319</v>
      </c>
      <c r="G570" t="s">
        <v>245</v>
      </c>
    </row>
    <row r="571" spans="1:7" x14ac:dyDescent="0.25">
      <c r="A571" t="s">
        <v>319</v>
      </c>
      <c r="B571" t="s">
        <v>148</v>
      </c>
      <c r="C571" s="4">
        <v>3.2284150984741043E-2</v>
      </c>
      <c r="D571" t="s">
        <v>256</v>
      </c>
      <c r="E571" t="s">
        <v>318</v>
      </c>
      <c r="F571" t="s">
        <v>319</v>
      </c>
      <c r="G571" t="s">
        <v>245</v>
      </c>
    </row>
    <row r="572" spans="1:7" x14ac:dyDescent="0.25">
      <c r="A572" t="s">
        <v>319</v>
      </c>
      <c r="B572" t="s">
        <v>150</v>
      </c>
      <c r="C572" s="4">
        <v>1.6301673310557919E-2</v>
      </c>
      <c r="D572" t="s">
        <v>256</v>
      </c>
      <c r="E572" t="s">
        <v>318</v>
      </c>
      <c r="F572" t="s">
        <v>319</v>
      </c>
      <c r="G572" t="s">
        <v>245</v>
      </c>
    </row>
    <row r="573" spans="1:7" x14ac:dyDescent="0.25">
      <c r="A573" t="s">
        <v>319</v>
      </c>
      <c r="B573" t="s">
        <v>175</v>
      </c>
      <c r="C573" s="4">
        <v>2.640022701482515E-3</v>
      </c>
      <c r="D573" t="s">
        <v>256</v>
      </c>
      <c r="E573" t="s">
        <v>318</v>
      </c>
      <c r="F573" t="s">
        <v>319</v>
      </c>
      <c r="G573" t="s">
        <v>245</v>
      </c>
    </row>
    <row r="574" spans="1:7" x14ac:dyDescent="0.25">
      <c r="A574" t="s">
        <v>319</v>
      </c>
      <c r="B574" t="s">
        <v>132</v>
      </c>
      <c r="C574" s="4">
        <v>1.241554732684909E-3</v>
      </c>
      <c r="D574" t="s">
        <v>256</v>
      </c>
      <c r="E574" t="s">
        <v>318</v>
      </c>
      <c r="F574" t="s">
        <v>319</v>
      </c>
      <c r="G574" t="s">
        <v>245</v>
      </c>
    </row>
    <row r="575" spans="1:7" x14ac:dyDescent="0.25">
      <c r="A575" t="s">
        <v>319</v>
      </c>
      <c r="B575" t="s">
        <v>133</v>
      </c>
      <c r="C575" s="4">
        <v>3.0948893786889999E-6</v>
      </c>
      <c r="D575" t="s">
        <v>256</v>
      </c>
      <c r="E575" t="s">
        <v>318</v>
      </c>
      <c r="F575" t="s">
        <v>319</v>
      </c>
      <c r="G575" t="s">
        <v>245</v>
      </c>
    </row>
    <row r="576" spans="1:7" x14ac:dyDescent="0.25">
      <c r="A576" t="s">
        <v>319</v>
      </c>
      <c r="B576" t="s">
        <v>106</v>
      </c>
      <c r="C576" s="4">
        <v>7.2494266776041306E-4</v>
      </c>
      <c r="D576" t="s">
        <v>256</v>
      </c>
      <c r="E576" t="s">
        <v>318</v>
      </c>
      <c r="F576" t="s">
        <v>319</v>
      </c>
      <c r="G576" t="s">
        <v>245</v>
      </c>
    </row>
    <row r="577" spans="1:8" x14ac:dyDescent="0.25">
      <c r="A577" t="s">
        <v>319</v>
      </c>
      <c r="B577" t="s">
        <v>146</v>
      </c>
      <c r="C577" s="4">
        <v>1.910573687217678E-2</v>
      </c>
      <c r="D577" t="s">
        <v>256</v>
      </c>
      <c r="E577" t="s">
        <v>318</v>
      </c>
      <c r="F577" t="s">
        <v>319</v>
      </c>
      <c r="G577" t="s">
        <v>245</v>
      </c>
    </row>
    <row r="578" spans="1:8" x14ac:dyDescent="0.25">
      <c r="A578" t="s">
        <v>319</v>
      </c>
      <c r="B578" t="s">
        <v>156</v>
      </c>
      <c r="C578" s="4">
        <v>1.284496322814218E-2</v>
      </c>
      <c r="D578" t="s">
        <v>256</v>
      </c>
      <c r="E578" t="s">
        <v>318</v>
      </c>
      <c r="F578" t="s">
        <v>319</v>
      </c>
      <c r="G578" t="s">
        <v>245</v>
      </c>
    </row>
    <row r="579" spans="1:8" x14ac:dyDescent="0.25">
      <c r="A579" t="s">
        <v>319</v>
      </c>
      <c r="B579" t="s">
        <v>151</v>
      </c>
      <c r="C579" s="4">
        <v>2.7597046528309011E-2</v>
      </c>
      <c r="D579" t="s">
        <v>256</v>
      </c>
      <c r="E579" t="s">
        <v>318</v>
      </c>
      <c r="F579" t="s">
        <v>319</v>
      </c>
      <c r="G579" t="s">
        <v>245</v>
      </c>
    </row>
    <row r="580" spans="1:8" x14ac:dyDescent="0.25">
      <c r="A580" t="s">
        <v>319</v>
      </c>
      <c r="B580" t="s">
        <v>107</v>
      </c>
      <c r="C580" s="4">
        <v>4.8354129622267109E-2</v>
      </c>
      <c r="D580" t="s">
        <v>312</v>
      </c>
      <c r="E580" t="s">
        <v>318</v>
      </c>
      <c r="F580" t="s">
        <v>319</v>
      </c>
      <c r="G580" t="s">
        <v>245</v>
      </c>
    </row>
    <row r="581" spans="1:8" x14ac:dyDescent="0.25">
      <c r="A581" t="s">
        <v>319</v>
      </c>
      <c r="B581" t="s">
        <v>179</v>
      </c>
      <c r="C581" s="4">
        <v>4.4957957451789068E-3</v>
      </c>
      <c r="D581" t="s">
        <v>256</v>
      </c>
      <c r="E581" t="s">
        <v>318</v>
      </c>
      <c r="F581" t="s">
        <v>319</v>
      </c>
      <c r="G581" t="s">
        <v>245</v>
      </c>
    </row>
    <row r="582" spans="1:8" x14ac:dyDescent="0.25">
      <c r="A582" t="s">
        <v>319</v>
      </c>
      <c r="B582" t="s">
        <v>137</v>
      </c>
      <c r="C582" s="4">
        <v>1.667019960793848E-3</v>
      </c>
      <c r="D582" t="s">
        <v>256</v>
      </c>
      <c r="E582" t="s">
        <v>318</v>
      </c>
      <c r="F582" t="s">
        <v>319</v>
      </c>
      <c r="G582" t="s">
        <v>245</v>
      </c>
    </row>
    <row r="583" spans="1:8" x14ac:dyDescent="0.25">
      <c r="A583" t="s">
        <v>319</v>
      </c>
      <c r="B583" t="s">
        <v>121</v>
      </c>
      <c r="C583" s="4">
        <v>1.569601283760114E-2</v>
      </c>
      <c r="D583" t="s">
        <v>256</v>
      </c>
      <c r="E583" t="s">
        <v>318</v>
      </c>
      <c r="F583" t="s">
        <v>319</v>
      </c>
      <c r="G583" t="s">
        <v>245</v>
      </c>
    </row>
    <row r="584" spans="1:8" x14ac:dyDescent="0.25">
      <c r="A584" t="s">
        <v>319</v>
      </c>
      <c r="B584" t="s">
        <v>138</v>
      </c>
      <c r="C584" s="4">
        <v>8.7442348013792616E-3</v>
      </c>
      <c r="D584" t="s">
        <v>256</v>
      </c>
      <c r="E584" t="s">
        <v>318</v>
      </c>
      <c r="F584" t="s">
        <v>319</v>
      </c>
      <c r="G584" t="s">
        <v>245</v>
      </c>
    </row>
    <row r="585" spans="1:8" x14ac:dyDescent="0.25">
      <c r="A585" t="s">
        <v>319</v>
      </c>
      <c r="B585" t="s">
        <v>111</v>
      </c>
      <c r="C585" s="4">
        <v>2.778366601323079E-3</v>
      </c>
      <c r="D585" t="s">
        <v>256</v>
      </c>
      <c r="E585" t="s">
        <v>318</v>
      </c>
      <c r="F585" t="s">
        <v>319</v>
      </c>
      <c r="G585" t="s">
        <v>245</v>
      </c>
    </row>
    <row r="586" spans="1:8" x14ac:dyDescent="0.25">
      <c r="A586" t="s">
        <v>319</v>
      </c>
      <c r="B586" t="s">
        <v>112</v>
      </c>
      <c r="C586" s="4">
        <v>4.623577162708112E-3</v>
      </c>
      <c r="D586" t="s">
        <v>256</v>
      </c>
      <c r="E586" t="s">
        <v>318</v>
      </c>
      <c r="F586" t="s">
        <v>319</v>
      </c>
      <c r="G586" t="s">
        <v>245</v>
      </c>
    </row>
    <row r="587" spans="1:8" x14ac:dyDescent="0.25">
      <c r="A587" t="s">
        <v>319</v>
      </c>
      <c r="B587" t="s">
        <v>113</v>
      </c>
      <c r="C587" s="4">
        <v>2.5169422333504859E-2</v>
      </c>
      <c r="D587" t="s">
        <v>256</v>
      </c>
      <c r="E587" t="s">
        <v>318</v>
      </c>
      <c r="F587" t="s">
        <v>319</v>
      </c>
      <c r="G587" t="s">
        <v>245</v>
      </c>
    </row>
    <row r="588" spans="1:8" x14ac:dyDescent="0.25">
      <c r="A588" t="s">
        <v>319</v>
      </c>
      <c r="B588" t="s">
        <v>180</v>
      </c>
      <c r="C588" s="4">
        <v>7.7407403664710092E-3</v>
      </c>
      <c r="D588" t="s">
        <v>256</v>
      </c>
      <c r="E588" t="s">
        <v>318</v>
      </c>
      <c r="F588" t="s">
        <v>319</v>
      </c>
      <c r="G588" t="s">
        <v>245</v>
      </c>
    </row>
    <row r="589" spans="1:8" x14ac:dyDescent="0.25">
      <c r="A589" t="s">
        <v>319</v>
      </c>
      <c r="B589" t="s">
        <v>115</v>
      </c>
      <c r="C589" s="4">
        <v>9.9646059541123096E-4</v>
      </c>
      <c r="D589" t="s">
        <v>256</v>
      </c>
      <c r="E589" t="s">
        <v>318</v>
      </c>
      <c r="F589" t="s">
        <v>319</v>
      </c>
      <c r="G589" t="s">
        <v>245</v>
      </c>
    </row>
    <row r="590" spans="1:8" x14ac:dyDescent="0.25">
      <c r="A590" t="s">
        <v>319</v>
      </c>
      <c r="B590" t="s">
        <v>143</v>
      </c>
      <c r="C590" s="4">
        <v>4.4145548989883203E-2</v>
      </c>
      <c r="D590" t="s">
        <v>256</v>
      </c>
      <c r="E590" t="s">
        <v>318</v>
      </c>
      <c r="F590" t="s">
        <v>319</v>
      </c>
      <c r="G590" t="s">
        <v>245</v>
      </c>
    </row>
    <row r="591" spans="1:8" x14ac:dyDescent="0.25">
      <c r="A591" t="s">
        <v>324</v>
      </c>
      <c r="B591" t="s">
        <v>116</v>
      </c>
      <c r="C591" s="2">
        <f>1.82758697059355E-10/0.800657463208691</f>
        <v>2.2826077999315299E-10</v>
      </c>
      <c r="D591" t="s">
        <v>288</v>
      </c>
      <c r="E591" t="s">
        <v>322</v>
      </c>
      <c r="F591" t="s">
        <v>324</v>
      </c>
      <c r="G591" t="s">
        <v>245</v>
      </c>
      <c r="H591" t="s">
        <v>609</v>
      </c>
    </row>
    <row r="592" spans="1:8" x14ac:dyDescent="0.25">
      <c r="A592" t="s">
        <v>324</v>
      </c>
      <c r="B592" t="s">
        <v>116</v>
      </c>
      <c r="C592" s="2">
        <f>1.82758697059355E-10/0.800657463208691</f>
        <v>2.2826077999315299E-10</v>
      </c>
      <c r="D592" t="s">
        <v>288</v>
      </c>
      <c r="E592" t="s">
        <v>323</v>
      </c>
      <c r="F592" t="s">
        <v>324</v>
      </c>
      <c r="G592" t="s">
        <v>245</v>
      </c>
    </row>
    <row r="593" spans="1:11" x14ac:dyDescent="0.25">
      <c r="A593" t="s">
        <v>324</v>
      </c>
      <c r="B593" t="s">
        <v>107</v>
      </c>
      <c r="C593" s="4">
        <f>0.0157037102658409/0.800657463208691</f>
        <v>1.961351887348577E-2</v>
      </c>
      <c r="D593" t="s">
        <v>312</v>
      </c>
      <c r="E593" t="s">
        <v>335</v>
      </c>
      <c r="F593" t="s">
        <v>324</v>
      </c>
      <c r="G593" t="s">
        <v>245</v>
      </c>
    </row>
    <row r="594" spans="1:11" x14ac:dyDescent="0.25">
      <c r="A594" t="s">
        <v>324</v>
      </c>
      <c r="B594" t="s">
        <v>138</v>
      </c>
      <c r="C594" s="4">
        <f>0.0068111458857769/0.800657463208691</f>
        <v>8.5069411062263182E-3</v>
      </c>
      <c r="D594" t="s">
        <v>313</v>
      </c>
      <c r="E594" t="s">
        <v>336</v>
      </c>
      <c r="F594" t="s">
        <v>324</v>
      </c>
      <c r="G594" t="s">
        <v>245</v>
      </c>
    </row>
    <row r="595" spans="1:11" x14ac:dyDescent="0.25">
      <c r="A595" t="s">
        <v>324</v>
      </c>
      <c r="B595" t="s">
        <v>137</v>
      </c>
      <c r="C595" s="4">
        <f>0.11796839608685%/0.800657463208691</f>
        <v>1.4733940730919232E-3</v>
      </c>
      <c r="D595" t="s">
        <v>320</v>
      </c>
      <c r="E595" t="s">
        <v>337</v>
      </c>
      <c r="F595" t="s">
        <v>324</v>
      </c>
      <c r="G595" t="s">
        <v>245</v>
      </c>
    </row>
    <row r="596" spans="1:11" x14ac:dyDescent="0.25">
      <c r="A596" t="s">
        <v>324</v>
      </c>
      <c r="B596" t="s">
        <v>124</v>
      </c>
      <c r="C596" s="4">
        <f>0.212937718373242 * 0.0574113920162127%</f>
        <v>1.2225050824564096E-4</v>
      </c>
      <c r="D596" t="s">
        <v>242</v>
      </c>
      <c r="E596" t="s">
        <v>327</v>
      </c>
      <c r="F596" t="s">
        <v>324</v>
      </c>
      <c r="G596" t="s">
        <v>245</v>
      </c>
      <c r="H596" t="s">
        <v>341</v>
      </c>
      <c r="K596" s="9"/>
    </row>
    <row r="597" spans="1:11" x14ac:dyDescent="0.25">
      <c r="A597" t="s">
        <v>324</v>
      </c>
      <c r="B597" t="s">
        <v>124</v>
      </c>
      <c r="C597" s="4">
        <f>0.755584923910716 * 0.0574113920162127%</f>
        <v>4.3379182268178364E-4</v>
      </c>
      <c r="D597" t="s">
        <v>242</v>
      </c>
      <c r="E597" t="s">
        <v>326</v>
      </c>
      <c r="F597" t="s">
        <v>324</v>
      </c>
      <c r="G597" t="s">
        <v>245</v>
      </c>
      <c r="K597" s="9"/>
    </row>
    <row r="598" spans="1:11" x14ac:dyDescent="0.25">
      <c r="A598" t="s">
        <v>324</v>
      </c>
      <c r="B598" t="s">
        <v>124</v>
      </c>
      <c r="C598" s="4">
        <f>0.00154025450133466 * 0.0574113920162127%</f>
        <v>8.8428154980860384E-7</v>
      </c>
      <c r="D598" t="s">
        <v>242</v>
      </c>
      <c r="E598" t="s">
        <v>289</v>
      </c>
      <c r="F598" t="s">
        <v>324</v>
      </c>
      <c r="G598" t="s">
        <v>245</v>
      </c>
      <c r="K598" s="9"/>
    </row>
    <row r="599" spans="1:11" x14ac:dyDescent="0.25">
      <c r="A599" t="s">
        <v>324</v>
      </c>
      <c r="B599" t="s">
        <v>124</v>
      </c>
      <c r="C599" s="4">
        <f>4.63438553364394E-10 * 0.0574113920162127%</f>
        <v>2.6606652462629734E-13</v>
      </c>
      <c r="D599" t="s">
        <v>256</v>
      </c>
      <c r="E599" t="s">
        <v>322</v>
      </c>
      <c r="F599" t="s">
        <v>324</v>
      </c>
      <c r="G599" t="s">
        <v>245</v>
      </c>
      <c r="K599" s="9"/>
    </row>
    <row r="600" spans="1:11" x14ac:dyDescent="0.25">
      <c r="A600" t="s">
        <v>324</v>
      </c>
      <c r="B600" t="s">
        <v>124</v>
      </c>
      <c r="C600" s="4">
        <f>1.80533525994585E-09 * 0.0574113920162127%</f>
        <v>1.0364681032944245E-12</v>
      </c>
      <c r="D600" t="s">
        <v>256</v>
      </c>
      <c r="E600" t="s">
        <v>323</v>
      </c>
      <c r="F600" t="s">
        <v>324</v>
      </c>
      <c r="G600" t="s">
        <v>245</v>
      </c>
      <c r="K600" s="9"/>
    </row>
    <row r="601" spans="1:11" x14ac:dyDescent="0.25">
      <c r="A601" t="s">
        <v>324</v>
      </c>
      <c r="B601" t="s">
        <v>124</v>
      </c>
      <c r="C601" s="4">
        <f>0.000343246436607167 * 0.0574113920162127%</f>
        <v>1.9706255730222168E-7</v>
      </c>
      <c r="D601" t="s">
        <v>256</v>
      </c>
      <c r="E601" t="s">
        <v>280</v>
      </c>
      <c r="F601" t="s">
        <v>324</v>
      </c>
      <c r="G601" t="s">
        <v>245</v>
      </c>
      <c r="K601" s="9"/>
    </row>
    <row r="602" spans="1:11" x14ac:dyDescent="0.25">
      <c r="A602" t="s">
        <v>324</v>
      </c>
      <c r="B602" t="s">
        <v>83</v>
      </c>
      <c r="C602" s="4">
        <f>0.212937718373242 * 1.65449051691339%</f>
        <v>3.52303435741703E-3</v>
      </c>
      <c r="D602" t="s">
        <v>242</v>
      </c>
      <c r="E602" t="s">
        <v>327</v>
      </c>
      <c r="F602" t="s">
        <v>324</v>
      </c>
      <c r="G602" t="s">
        <v>245</v>
      </c>
      <c r="K602" s="9"/>
    </row>
    <row r="603" spans="1:11" x14ac:dyDescent="0.25">
      <c r="A603" t="s">
        <v>324</v>
      </c>
      <c r="B603" t="s">
        <v>83</v>
      </c>
      <c r="C603" s="4">
        <f>0.755584923910716 * 1.65449051691339%</f>
        <v>1.2501080913330048E-2</v>
      </c>
      <c r="D603" t="s">
        <v>242</v>
      </c>
      <c r="E603" t="s">
        <v>326</v>
      </c>
      <c r="F603" t="s">
        <v>324</v>
      </c>
      <c r="G603" t="s">
        <v>245</v>
      </c>
      <c r="K603" s="9"/>
    </row>
    <row r="604" spans="1:11" x14ac:dyDescent="0.25">
      <c r="A604" t="s">
        <v>324</v>
      </c>
      <c r="B604" t="s">
        <v>83</v>
      </c>
      <c r="C604" s="4">
        <f>0.00154025450133466 * 1.65449051691339%</f>
        <v>2.5483364660913573E-5</v>
      </c>
      <c r="D604" t="s">
        <v>242</v>
      </c>
      <c r="E604" t="s">
        <v>289</v>
      </c>
      <c r="F604" t="s">
        <v>324</v>
      </c>
      <c r="G604" t="s">
        <v>245</v>
      </c>
      <c r="K604" s="9"/>
    </row>
    <row r="605" spans="1:11" x14ac:dyDescent="0.25">
      <c r="A605" t="s">
        <v>324</v>
      </c>
      <c r="B605" t="s">
        <v>83</v>
      </c>
      <c r="C605" s="4">
        <f>4.63438553364394E-10 * 1.65449051691339%</f>
        <v>7.6675469171344989E-12</v>
      </c>
      <c r="D605" t="s">
        <v>256</v>
      </c>
      <c r="E605" t="s">
        <v>322</v>
      </c>
      <c r="F605" t="s">
        <v>324</v>
      </c>
      <c r="G605" t="s">
        <v>245</v>
      </c>
      <c r="K605" s="9"/>
    </row>
    <row r="606" spans="1:11" x14ac:dyDescent="0.25">
      <c r="A606" t="s">
        <v>324</v>
      </c>
      <c r="B606" t="s">
        <v>83</v>
      </c>
      <c r="C606" s="4">
        <f>1.80533525994585E-09 * 1.65449051691339%</f>
        <v>2.9869100674297783E-11</v>
      </c>
      <c r="D606" t="s">
        <v>256</v>
      </c>
      <c r="E606" t="s">
        <v>323</v>
      </c>
      <c r="F606" t="s">
        <v>324</v>
      </c>
      <c r="G606" t="s">
        <v>245</v>
      </c>
      <c r="K606" s="9"/>
    </row>
    <row r="607" spans="1:11" x14ac:dyDescent="0.25">
      <c r="A607" t="s">
        <v>324</v>
      </c>
      <c r="B607" t="s">
        <v>83</v>
      </c>
      <c r="C607" s="4">
        <f>0.000343246436607167 * 1.65449051691339%</f>
        <v>5.6789797433087088E-6</v>
      </c>
      <c r="D607" t="s">
        <v>256</v>
      </c>
      <c r="E607" t="s">
        <v>280</v>
      </c>
      <c r="F607" t="s">
        <v>324</v>
      </c>
      <c r="G607" t="s">
        <v>245</v>
      </c>
      <c r="K607" s="9"/>
    </row>
    <row r="608" spans="1:11" x14ac:dyDescent="0.25">
      <c r="A608" t="s">
        <v>324</v>
      </c>
      <c r="B608" t="s">
        <v>181</v>
      </c>
      <c r="C608" s="4">
        <f>0.212937718373242 * 0.500873387204301%</f>
        <v>1.0665483626516121E-3</v>
      </c>
      <c r="D608" t="s">
        <v>242</v>
      </c>
      <c r="E608" t="s">
        <v>327</v>
      </c>
      <c r="F608" t="s">
        <v>324</v>
      </c>
      <c r="G608" t="s">
        <v>245</v>
      </c>
      <c r="K608" s="9"/>
    </row>
    <row r="609" spans="1:11" x14ac:dyDescent="0.25">
      <c r="A609" t="s">
        <v>324</v>
      </c>
      <c r="B609" t="s">
        <v>181</v>
      </c>
      <c r="C609" s="4">
        <f>0.755584923910716 * 0.500873387204301%</f>
        <v>3.7845238015966429E-3</v>
      </c>
      <c r="D609" t="s">
        <v>242</v>
      </c>
      <c r="E609" t="s">
        <v>326</v>
      </c>
      <c r="F609" t="s">
        <v>324</v>
      </c>
      <c r="G609" t="s">
        <v>245</v>
      </c>
      <c r="K609" s="9"/>
    </row>
    <row r="610" spans="1:11" x14ac:dyDescent="0.25">
      <c r="A610" t="s">
        <v>324</v>
      </c>
      <c r="B610" t="s">
        <v>181</v>
      </c>
      <c r="C610" s="4">
        <f>0.00154025450133466 * 0.500873387204301%</f>
        <v>7.7147248924016259E-6</v>
      </c>
      <c r="D610" t="s">
        <v>242</v>
      </c>
      <c r="E610" t="s">
        <v>289</v>
      </c>
      <c r="F610" t="s">
        <v>324</v>
      </c>
      <c r="G610" t="s">
        <v>245</v>
      </c>
      <c r="K610" s="9"/>
    </row>
    <row r="611" spans="1:11" x14ac:dyDescent="0.25">
      <c r="A611" t="s">
        <v>324</v>
      </c>
      <c r="B611" t="s">
        <v>181</v>
      </c>
      <c r="C611" s="4">
        <f>4.63438553364394E-10 * 0.500873387204301%</f>
        <v>2.321240379846852E-12</v>
      </c>
      <c r="D611" t="s">
        <v>256</v>
      </c>
      <c r="E611" t="s">
        <v>322</v>
      </c>
      <c r="F611" t="s">
        <v>324</v>
      </c>
      <c r="G611" t="s">
        <v>245</v>
      </c>
      <c r="K611" s="9"/>
    </row>
    <row r="612" spans="1:11" x14ac:dyDescent="0.25">
      <c r="A612" t="s">
        <v>324</v>
      </c>
      <c r="B612" t="s">
        <v>181</v>
      </c>
      <c r="C612" s="4">
        <f>1.80533525994585E-09 * 0.500873387204301%</f>
        <v>9.0424438668843499E-12</v>
      </c>
      <c r="D612" t="s">
        <v>256</v>
      </c>
      <c r="E612" t="s">
        <v>323</v>
      </c>
      <c r="F612" t="s">
        <v>324</v>
      </c>
      <c r="G612" t="s">
        <v>245</v>
      </c>
      <c r="K612" s="9"/>
    </row>
    <row r="613" spans="1:11" x14ac:dyDescent="0.25">
      <c r="A613" t="s">
        <v>324</v>
      </c>
      <c r="B613" t="s">
        <v>181</v>
      </c>
      <c r="C613" s="4">
        <f>0.000343246436607167 * 0.500873387204301%</f>
        <v>1.7192300534923809E-6</v>
      </c>
      <c r="D613" t="s">
        <v>256</v>
      </c>
      <c r="E613" t="s">
        <v>280</v>
      </c>
      <c r="F613" t="s">
        <v>324</v>
      </c>
      <c r="G613" t="s">
        <v>245</v>
      </c>
      <c r="K613" s="9"/>
    </row>
    <row r="614" spans="1:11" x14ac:dyDescent="0.25">
      <c r="A614" t="s">
        <v>324</v>
      </c>
      <c r="B614" t="s">
        <v>163</v>
      </c>
      <c r="C614" s="4">
        <f>0.212937718373242 * 1.53132585762101%</f>
        <v>3.2607703420776588E-3</v>
      </c>
      <c r="D614" t="s">
        <v>242</v>
      </c>
      <c r="E614" t="s">
        <v>327</v>
      </c>
      <c r="F614" t="s">
        <v>324</v>
      </c>
      <c r="G614" t="s">
        <v>245</v>
      </c>
    </row>
    <row r="615" spans="1:11" x14ac:dyDescent="0.25">
      <c r="A615" t="s">
        <v>324</v>
      </c>
      <c r="B615" t="s">
        <v>163</v>
      </c>
      <c r="C615" s="4">
        <f>0.755584923910716 * 1.53132585762101%</f>
        <v>1.1570467316130827E-2</v>
      </c>
      <c r="D615" t="s">
        <v>242</v>
      </c>
      <c r="E615" t="s">
        <v>326</v>
      </c>
      <c r="F615" t="s">
        <v>324</v>
      </c>
      <c r="G615" t="s">
        <v>245</v>
      </c>
    </row>
    <row r="616" spans="1:11" x14ac:dyDescent="0.25">
      <c r="A616" t="s">
        <v>324</v>
      </c>
      <c r="B616" t="s">
        <v>163</v>
      </c>
      <c r="C616" s="4">
        <f>0.00154025450133466 * 1.53132585762101%</f>
        <v>2.3586315452109195E-5</v>
      </c>
      <c r="D616" t="s">
        <v>242</v>
      </c>
      <c r="E616" t="s">
        <v>289</v>
      </c>
      <c r="F616" t="s">
        <v>324</v>
      </c>
      <c r="G616" t="s">
        <v>245</v>
      </c>
    </row>
    <row r="617" spans="1:11" x14ac:dyDescent="0.25">
      <c r="A617" t="s">
        <v>324</v>
      </c>
      <c r="B617" t="s">
        <v>163</v>
      </c>
      <c r="C617" s="4">
        <f>4.63438553364394E-10 * 1.53132585762101%</f>
        <v>7.0967544018537083E-12</v>
      </c>
      <c r="D617" t="s">
        <v>256</v>
      </c>
      <c r="E617" t="s">
        <v>322</v>
      </c>
      <c r="F617" t="s">
        <v>324</v>
      </c>
      <c r="G617" t="s">
        <v>245</v>
      </c>
    </row>
    <row r="618" spans="1:11" x14ac:dyDescent="0.25">
      <c r="A618" t="s">
        <v>324</v>
      </c>
      <c r="B618" t="s">
        <v>163</v>
      </c>
      <c r="C618" s="4">
        <f>1.80533525994585E-09 * 1.53132585762101%</f>
        <v>2.7645565652300277E-11</v>
      </c>
      <c r="D618" t="s">
        <v>256</v>
      </c>
      <c r="E618" t="s">
        <v>323</v>
      </c>
      <c r="F618" t="s">
        <v>324</v>
      </c>
      <c r="G618" t="s">
        <v>245</v>
      </c>
    </row>
    <row r="619" spans="1:11" x14ac:dyDescent="0.25">
      <c r="A619" t="s">
        <v>324</v>
      </c>
      <c r="B619" t="s">
        <v>163</v>
      </c>
      <c r="C619" s="4">
        <f>0.000343246436607167 * 1.53132585762101%</f>
        <v>5.2562214391282562E-6</v>
      </c>
      <c r="D619" t="s">
        <v>256</v>
      </c>
      <c r="E619" t="s">
        <v>280</v>
      </c>
      <c r="F619" t="s">
        <v>324</v>
      </c>
      <c r="G619" t="s">
        <v>245</v>
      </c>
    </row>
    <row r="620" spans="1:11" x14ac:dyDescent="0.25">
      <c r="A620" t="s">
        <v>324</v>
      </c>
      <c r="B620" t="s">
        <v>144</v>
      </c>
      <c r="C620" s="4">
        <f>0.212937718373242 * 0.00998056042064704%</f>
        <v>2.1252377640588647E-5</v>
      </c>
      <c r="D620" t="s">
        <v>242</v>
      </c>
      <c r="E620" t="s">
        <v>327</v>
      </c>
      <c r="F620" t="s">
        <v>324</v>
      </c>
      <c r="G620" t="s">
        <v>245</v>
      </c>
    </row>
    <row r="621" spans="1:11" x14ac:dyDescent="0.25">
      <c r="A621" t="s">
        <v>324</v>
      </c>
      <c r="B621" t="s">
        <v>144</v>
      </c>
      <c r="C621" s="4">
        <f>0.755584923910716 * 0.00998056042064704%</f>
        <v>7.5411609860208964E-5</v>
      </c>
      <c r="D621" t="s">
        <v>242</v>
      </c>
      <c r="E621" t="s">
        <v>326</v>
      </c>
      <c r="F621" t="s">
        <v>324</v>
      </c>
      <c r="G621" t="s">
        <v>245</v>
      </c>
    </row>
    <row r="622" spans="1:11" x14ac:dyDescent="0.25">
      <c r="A622" t="s">
        <v>324</v>
      </c>
      <c r="B622" t="s">
        <v>144</v>
      </c>
      <c r="C622" s="4">
        <f>0.00154025450133466 * 0.00998056042064704%</f>
        <v>1.5372603113744149E-7</v>
      </c>
      <c r="D622" t="s">
        <v>242</v>
      </c>
      <c r="E622" t="s">
        <v>289</v>
      </c>
      <c r="F622" t="s">
        <v>324</v>
      </c>
      <c r="G622" t="s">
        <v>245</v>
      </c>
    </row>
    <row r="623" spans="1:11" x14ac:dyDescent="0.25">
      <c r="A623" t="s">
        <v>324</v>
      </c>
      <c r="B623" t="s">
        <v>144</v>
      </c>
      <c r="C623" s="4">
        <f>4.63438553364394E-10 * 0.00998056042064704%</f>
        <v>4.6253764831105911E-14</v>
      </c>
      <c r="D623" t="s">
        <v>256</v>
      </c>
      <c r="E623" t="s">
        <v>322</v>
      </c>
      <c r="F623" t="s">
        <v>324</v>
      </c>
      <c r="G623" t="s">
        <v>245</v>
      </c>
    </row>
    <row r="624" spans="1:11" x14ac:dyDescent="0.25">
      <c r="A624" t="s">
        <v>324</v>
      </c>
      <c r="B624" t="s">
        <v>144</v>
      </c>
      <c r="C624" s="4">
        <f>1.80533525994585E-09 * 0.00998056042064704%</f>
        <v>1.8018257641414083E-13</v>
      </c>
      <c r="D624" t="s">
        <v>256</v>
      </c>
      <c r="E624" t="s">
        <v>323</v>
      </c>
      <c r="F624" t="s">
        <v>324</v>
      </c>
      <c r="G624" t="s">
        <v>245</v>
      </c>
    </row>
    <row r="625" spans="1:11" x14ac:dyDescent="0.25">
      <c r="A625" t="s">
        <v>324</v>
      </c>
      <c r="B625" t="s">
        <v>144</v>
      </c>
      <c r="C625" s="4">
        <f>0.000343246436607167 * 0.00998056042064704%</f>
        <v>3.425791799729624E-8</v>
      </c>
      <c r="D625" t="s">
        <v>256</v>
      </c>
      <c r="E625" t="s">
        <v>280</v>
      </c>
      <c r="F625" t="s">
        <v>324</v>
      </c>
      <c r="G625" t="s">
        <v>245</v>
      </c>
    </row>
    <row r="626" spans="1:11" x14ac:dyDescent="0.25">
      <c r="A626" t="s">
        <v>324</v>
      </c>
      <c r="B626" t="s">
        <v>85</v>
      </c>
      <c r="C626" s="4">
        <f>0.212937718373242 * 0.521131406958594%</f>
        <v>1.1096853277040044E-3</v>
      </c>
      <c r="D626" t="s">
        <v>242</v>
      </c>
      <c r="E626" t="s">
        <v>327</v>
      </c>
      <c r="F626" t="s">
        <v>324</v>
      </c>
      <c r="G626" t="s">
        <v>245</v>
      </c>
    </row>
    <row r="627" spans="1:11" x14ac:dyDescent="0.25">
      <c r="A627" t="s">
        <v>324</v>
      </c>
      <c r="B627" t="s">
        <v>85</v>
      </c>
      <c r="C627" s="4">
        <f>0.755584923910716 * 0.521131406958594%</f>
        <v>3.9375903447429359E-3</v>
      </c>
      <c r="D627" t="s">
        <v>242</v>
      </c>
      <c r="E627" t="s">
        <v>326</v>
      </c>
      <c r="F627" t="s">
        <v>324</v>
      </c>
      <c r="G627" t="s">
        <v>245</v>
      </c>
    </row>
    <row r="628" spans="1:11" x14ac:dyDescent="0.25">
      <c r="A628" t="s">
        <v>324</v>
      </c>
      <c r="B628" t="s">
        <v>85</v>
      </c>
      <c r="C628" s="4">
        <f>0.00154025450133466 * 0.521131406958594%</f>
        <v>8.0267499535483886E-6</v>
      </c>
      <c r="D628" t="s">
        <v>242</v>
      </c>
      <c r="E628" t="s">
        <v>289</v>
      </c>
      <c r="F628" t="s">
        <v>324</v>
      </c>
      <c r="G628" t="s">
        <v>245</v>
      </c>
    </row>
    <row r="629" spans="1:11" x14ac:dyDescent="0.25">
      <c r="A629" t="s">
        <v>324</v>
      </c>
      <c r="B629" t="s">
        <v>85</v>
      </c>
      <c r="C629" s="4">
        <f>4.63438553364394E-10 * 0.521131406958594%</f>
        <v>2.4151238535364206E-12</v>
      </c>
      <c r="D629" t="s">
        <v>256</v>
      </c>
      <c r="E629" t="s">
        <v>322</v>
      </c>
      <c r="F629" t="s">
        <v>324</v>
      </c>
      <c r="G629" t="s">
        <v>245</v>
      </c>
    </row>
    <row r="630" spans="1:11" x14ac:dyDescent="0.25">
      <c r="A630" t="s">
        <v>324</v>
      </c>
      <c r="B630" t="s">
        <v>85</v>
      </c>
      <c r="C630" s="4">
        <f>1.80533525994585E-09 * 0.521131406958594%</f>
        <v>9.4081690404753975E-12</v>
      </c>
      <c r="D630" t="s">
        <v>256</v>
      </c>
      <c r="E630" t="s">
        <v>323</v>
      </c>
      <c r="F630" t="s">
        <v>324</v>
      </c>
      <c r="G630" t="s">
        <v>245</v>
      </c>
    </row>
    <row r="631" spans="1:11" x14ac:dyDescent="0.25">
      <c r="A631" t="s">
        <v>324</v>
      </c>
      <c r="B631" t="s">
        <v>85</v>
      </c>
      <c r="C631" s="4">
        <f>0.000343246436607167 * 0.521131406958594%</f>
        <v>1.7887649844261676E-6</v>
      </c>
      <c r="D631" t="s">
        <v>256</v>
      </c>
      <c r="E631" t="s">
        <v>280</v>
      </c>
      <c r="F631" t="s">
        <v>324</v>
      </c>
      <c r="G631" t="s">
        <v>245</v>
      </c>
    </row>
    <row r="632" spans="1:11" x14ac:dyDescent="0.25">
      <c r="A632" t="s">
        <v>324</v>
      </c>
      <c r="B632" t="s">
        <v>147</v>
      </c>
      <c r="C632" s="4">
        <f>0.212937718373242 * 0.905255447846954%</f>
        <v>1.9276302960947772E-3</v>
      </c>
      <c r="D632" t="s">
        <v>242</v>
      </c>
      <c r="E632" t="s">
        <v>327</v>
      </c>
      <c r="F632" t="s">
        <v>324</v>
      </c>
      <c r="G632" t="s">
        <v>245</v>
      </c>
    </row>
    <row r="633" spans="1:11" x14ac:dyDescent="0.25">
      <c r="A633" t="s">
        <v>324</v>
      </c>
      <c r="B633" t="s">
        <v>147</v>
      </c>
      <c r="C633" s="4">
        <f>0.755584923910716 * 0.905255447846954%</f>
        <v>6.8399736868120179E-3</v>
      </c>
      <c r="D633" t="s">
        <v>242</v>
      </c>
      <c r="E633" t="s">
        <v>326</v>
      </c>
      <c r="F633" t="s">
        <v>324</v>
      </c>
      <c r="G633" t="s">
        <v>245</v>
      </c>
    </row>
    <row r="634" spans="1:11" x14ac:dyDescent="0.25">
      <c r="A634" t="s">
        <v>324</v>
      </c>
      <c r="B634" t="s">
        <v>147</v>
      </c>
      <c r="C634" s="4">
        <f>0.00154025450133466 * 0.905255447846954%</f>
        <v>1.3943237784039944E-5</v>
      </c>
      <c r="D634" t="s">
        <v>242</v>
      </c>
      <c r="E634" t="s">
        <v>289</v>
      </c>
      <c r="F634" t="s">
        <v>324</v>
      </c>
      <c r="G634" t="s">
        <v>245</v>
      </c>
    </row>
    <row r="635" spans="1:11" x14ac:dyDescent="0.25">
      <c r="A635" t="s">
        <v>324</v>
      </c>
      <c r="B635" t="s">
        <v>147</v>
      </c>
      <c r="C635" s="4">
        <f>4.63438553364394E-10 * 0.905255447846954%</f>
        <v>4.1953027517542894E-12</v>
      </c>
      <c r="D635" t="s">
        <v>256</v>
      </c>
      <c r="E635" t="s">
        <v>322</v>
      </c>
      <c r="F635" t="s">
        <v>324</v>
      </c>
      <c r="G635" t="s">
        <v>245</v>
      </c>
    </row>
    <row r="636" spans="1:11" x14ac:dyDescent="0.25">
      <c r="A636" t="s">
        <v>324</v>
      </c>
      <c r="B636" t="s">
        <v>147</v>
      </c>
      <c r="C636" s="4">
        <f>1.80533525994585E-09 * 0.905255447846954%</f>
        <v>1.6342895792561772E-11</v>
      </c>
      <c r="D636" t="s">
        <v>256</v>
      </c>
      <c r="E636" t="s">
        <v>323</v>
      </c>
      <c r="F636" t="s">
        <v>324</v>
      </c>
      <c r="G636" t="s">
        <v>245</v>
      </c>
    </row>
    <row r="637" spans="1:11" x14ac:dyDescent="0.25">
      <c r="A637" t="s">
        <v>324</v>
      </c>
      <c r="B637" t="s">
        <v>147</v>
      </c>
      <c r="C637" s="4">
        <f>0.000343246436607167 * 0.905255447846954%</f>
        <v>3.1072570669269202E-6</v>
      </c>
      <c r="D637" t="s">
        <v>256</v>
      </c>
      <c r="E637" t="s">
        <v>280</v>
      </c>
      <c r="F637" t="s">
        <v>324</v>
      </c>
      <c r="G637" t="s">
        <v>245</v>
      </c>
    </row>
    <row r="638" spans="1:11" x14ac:dyDescent="0.25">
      <c r="A638" t="s">
        <v>324</v>
      </c>
      <c r="B638" t="s">
        <v>116</v>
      </c>
      <c r="C638" s="4">
        <f>0.212937718373242 * 1.20269648841826%</f>
        <v>2.5609944613929456E-3</v>
      </c>
      <c r="D638" t="s">
        <v>242</v>
      </c>
      <c r="E638" t="s">
        <v>327</v>
      </c>
      <c r="F638" t="s">
        <v>324</v>
      </c>
      <c r="G638" t="s">
        <v>245</v>
      </c>
      <c r="K638" s="10"/>
    </row>
    <row r="639" spans="1:11" x14ac:dyDescent="0.25">
      <c r="A639" t="s">
        <v>324</v>
      </c>
      <c r="B639" t="s">
        <v>116</v>
      </c>
      <c r="C639" s="4">
        <f>0.755584923910716 * 1.20269648841826%</f>
        <v>9.0873933468919622E-3</v>
      </c>
      <c r="D639" t="s">
        <v>242</v>
      </c>
      <c r="E639" t="s">
        <v>326</v>
      </c>
      <c r="F639" t="s">
        <v>324</v>
      </c>
      <c r="G639" t="s">
        <v>245</v>
      </c>
      <c r="K639" s="10"/>
    </row>
    <row r="640" spans="1:11" x14ac:dyDescent="0.25">
      <c r="A640" t="s">
        <v>324</v>
      </c>
      <c r="B640" t="s">
        <v>116</v>
      </c>
      <c r="C640" s="4">
        <f>0.00154025450133466 * 1.20269648841826%</f>
        <v>1.8524586800256136E-5</v>
      </c>
      <c r="D640" t="s">
        <v>242</v>
      </c>
      <c r="E640" t="s">
        <v>289</v>
      </c>
      <c r="F640" t="s">
        <v>324</v>
      </c>
      <c r="G640" t="s">
        <v>245</v>
      </c>
      <c r="K640" s="10"/>
    </row>
    <row r="641" spans="1:11" x14ac:dyDescent="0.25">
      <c r="A641" t="s">
        <v>324</v>
      </c>
      <c r="B641" t="s">
        <v>116</v>
      </c>
      <c r="C641" s="4">
        <f>4.63438553364394E-10 * 1.20269648841826%</f>
        <v>5.5737592072899502E-12</v>
      </c>
      <c r="D641" t="s">
        <v>256</v>
      </c>
      <c r="E641" t="s">
        <v>322</v>
      </c>
      <c r="F641" t="s">
        <v>324</v>
      </c>
      <c r="G641" t="s">
        <v>245</v>
      </c>
      <c r="K641" s="10"/>
    </row>
    <row r="642" spans="1:11" x14ac:dyDescent="0.25">
      <c r="A642" t="s">
        <v>324</v>
      </c>
      <c r="B642" t="s">
        <v>116</v>
      </c>
      <c r="C642" s="4">
        <f>1.80533525994585E-09 * 1.20269648841826%</f>
        <v>2.1712703775545402E-11</v>
      </c>
      <c r="D642" t="s">
        <v>256</v>
      </c>
      <c r="E642" t="s">
        <v>323</v>
      </c>
      <c r="F642" t="s">
        <v>324</v>
      </c>
      <c r="G642" t="s">
        <v>245</v>
      </c>
      <c r="K642" s="10"/>
    </row>
    <row r="643" spans="1:11" x14ac:dyDescent="0.25">
      <c r="A643" t="s">
        <v>324</v>
      </c>
      <c r="B643" t="s">
        <v>116</v>
      </c>
      <c r="C643" s="4">
        <f>0.000343246436607167 * 1.20269648841826%</f>
        <v>4.1282128396952059E-6</v>
      </c>
      <c r="D643" t="s">
        <v>256</v>
      </c>
      <c r="E643" t="s">
        <v>280</v>
      </c>
      <c r="F643" t="s">
        <v>324</v>
      </c>
      <c r="G643" t="s">
        <v>245</v>
      </c>
      <c r="K643" s="10"/>
    </row>
    <row r="644" spans="1:11" x14ac:dyDescent="0.25">
      <c r="A644" t="s">
        <v>324</v>
      </c>
      <c r="B644" t="s">
        <v>145</v>
      </c>
      <c r="C644" s="4">
        <f>0.212937718373242 * 9.64765636322731%</f>
        <v>2.054349933634713E-2</v>
      </c>
      <c r="D644" t="s">
        <v>242</v>
      </c>
      <c r="E644" t="s">
        <v>327</v>
      </c>
      <c r="F644" t="s">
        <v>324</v>
      </c>
      <c r="G644" t="s">
        <v>245</v>
      </c>
    </row>
    <row r="645" spans="1:11" x14ac:dyDescent="0.25">
      <c r="A645" t="s">
        <v>324</v>
      </c>
      <c r="B645" t="s">
        <v>145</v>
      </c>
      <c r="C645" s="4">
        <f>0.755584923910716 * 9.64765636322731%</f>
        <v>7.2896236991258412E-2</v>
      </c>
      <c r="D645" t="s">
        <v>242</v>
      </c>
      <c r="E645" t="s">
        <v>326</v>
      </c>
      <c r="F645" t="s">
        <v>324</v>
      </c>
      <c r="G645" t="s">
        <v>245</v>
      </c>
    </row>
    <row r="646" spans="1:11" x14ac:dyDescent="0.25">
      <c r="A646" t="s">
        <v>324</v>
      </c>
      <c r="B646" t="s">
        <v>145</v>
      </c>
      <c r="C646" s="4">
        <f>0.00154025450133466 * 9.64765636322731%</f>
        <v>1.4859846140790838E-4</v>
      </c>
      <c r="D646" t="s">
        <v>242</v>
      </c>
      <c r="E646" t="s">
        <v>289</v>
      </c>
      <c r="F646" t="s">
        <v>324</v>
      </c>
      <c r="G646" t="s">
        <v>245</v>
      </c>
    </row>
    <row r="647" spans="1:11" x14ac:dyDescent="0.25">
      <c r="A647" t="s">
        <v>324</v>
      </c>
      <c r="B647" t="s">
        <v>145</v>
      </c>
      <c r="C647" s="4">
        <f>4.63438553364394E-10 * 9.64765636322731%</f>
        <v>4.471095908330855E-11</v>
      </c>
      <c r="D647" t="s">
        <v>256</v>
      </c>
      <c r="E647" t="s">
        <v>322</v>
      </c>
      <c r="F647" t="s">
        <v>324</v>
      </c>
      <c r="G647" t="s">
        <v>245</v>
      </c>
    </row>
    <row r="648" spans="1:11" x14ac:dyDescent="0.25">
      <c r="A648" t="s">
        <v>324</v>
      </c>
      <c r="B648" t="s">
        <v>145</v>
      </c>
      <c r="C648" s="4">
        <f>1.80533525994585E-09 * 9.64765636322731%</f>
        <v>1.7417254208375207E-10</v>
      </c>
      <c r="D648" t="s">
        <v>256</v>
      </c>
      <c r="E648" t="s">
        <v>323</v>
      </c>
      <c r="F648" t="s">
        <v>324</v>
      </c>
      <c r="G648" t="s">
        <v>245</v>
      </c>
    </row>
    <row r="649" spans="1:11" x14ac:dyDescent="0.25">
      <c r="A649" t="s">
        <v>324</v>
      </c>
      <c r="B649" t="s">
        <v>145</v>
      </c>
      <c r="C649" s="4">
        <f>0.000343246436607167 * 9.64765636322731%</f>
        <v>3.3115236682882342E-5</v>
      </c>
      <c r="D649" t="s">
        <v>256</v>
      </c>
      <c r="E649" t="s">
        <v>280</v>
      </c>
      <c r="F649" t="s">
        <v>324</v>
      </c>
      <c r="G649" t="s">
        <v>245</v>
      </c>
    </row>
    <row r="650" spans="1:11" x14ac:dyDescent="0.25">
      <c r="A650" t="s">
        <v>324</v>
      </c>
      <c r="B650" t="s">
        <v>86</v>
      </c>
      <c r="C650" s="4">
        <f>0.212937718373242 * 39.5633073000283%</f>
        <v>8.4245203877674549E-2</v>
      </c>
      <c r="D650" t="s">
        <v>242</v>
      </c>
      <c r="E650" t="s">
        <v>327</v>
      </c>
      <c r="F650" t="s">
        <v>324</v>
      </c>
      <c r="G650" t="s">
        <v>245</v>
      </c>
    </row>
    <row r="651" spans="1:11" x14ac:dyDescent="0.25">
      <c r="A651" t="s">
        <v>324</v>
      </c>
      <c r="B651" t="s">
        <v>86</v>
      </c>
      <c r="C651" s="4">
        <f>0.755584923910716 * 39.5633073000283%</f>
        <v>0.29893438535948158</v>
      </c>
      <c r="D651" t="s">
        <v>242</v>
      </c>
      <c r="E651" t="s">
        <v>326</v>
      </c>
      <c r="F651" t="s">
        <v>324</v>
      </c>
      <c r="G651" t="s">
        <v>245</v>
      </c>
    </row>
    <row r="652" spans="1:11" x14ac:dyDescent="0.25">
      <c r="A652" t="s">
        <v>324</v>
      </c>
      <c r="B652" t="s">
        <v>86</v>
      </c>
      <c r="C652" s="4">
        <f>0.00154025450133466 * 39.5633073000283%</f>
        <v>6.0937562156555001E-4</v>
      </c>
      <c r="D652" t="s">
        <v>242</v>
      </c>
      <c r="E652" t="s">
        <v>289</v>
      </c>
      <c r="F652" t="s">
        <v>324</v>
      </c>
      <c r="G652" t="s">
        <v>245</v>
      </c>
    </row>
    <row r="653" spans="1:11" x14ac:dyDescent="0.25">
      <c r="A653" t="s">
        <v>324</v>
      </c>
      <c r="B653" t="s">
        <v>86</v>
      </c>
      <c r="C653" s="4">
        <f>4.63438553364394E-10 * 39.5633073000283%</f>
        <v>1.8335161901436084E-10</v>
      </c>
      <c r="D653" t="s">
        <v>256</v>
      </c>
      <c r="E653" t="s">
        <v>322</v>
      </c>
      <c r="F653" t="s">
        <v>324</v>
      </c>
      <c r="G653" t="s">
        <v>245</v>
      </c>
    </row>
    <row r="654" spans="1:11" x14ac:dyDescent="0.25">
      <c r="A654" t="s">
        <v>324</v>
      </c>
      <c r="B654" t="s">
        <v>86</v>
      </c>
      <c r="C654" s="4">
        <f>1.80533525994585E-09 * 39.5633073000283%</f>
        <v>7.1425033668814135E-10</v>
      </c>
      <c r="D654" t="s">
        <v>256</v>
      </c>
      <c r="E654" t="s">
        <v>323</v>
      </c>
      <c r="F654" t="s">
        <v>324</v>
      </c>
      <c r="G654" t="s">
        <v>245</v>
      </c>
    </row>
    <row r="655" spans="1:11" x14ac:dyDescent="0.25">
      <c r="A655" t="s">
        <v>324</v>
      </c>
      <c r="B655" t="s">
        <v>86</v>
      </c>
      <c r="C655" s="4">
        <f>0.000343246436607167 * 39.5633073000283%</f>
        <v>1.357996425112903E-4</v>
      </c>
      <c r="D655" t="s">
        <v>256</v>
      </c>
      <c r="E655" t="s">
        <v>280</v>
      </c>
      <c r="F655" t="s">
        <v>324</v>
      </c>
      <c r="G655" t="s">
        <v>245</v>
      </c>
    </row>
    <row r="656" spans="1:11" x14ac:dyDescent="0.25">
      <c r="A656" t="s">
        <v>324</v>
      </c>
      <c r="B656" t="s">
        <v>159</v>
      </c>
      <c r="C656" s="4">
        <f>0.212937718373242 * 4.49865989918674%</f>
        <v>9.5793437467002335E-3</v>
      </c>
      <c r="D656" t="s">
        <v>242</v>
      </c>
      <c r="E656" t="s">
        <v>327</v>
      </c>
      <c r="F656" t="s">
        <v>324</v>
      </c>
      <c r="G656" t="s">
        <v>245</v>
      </c>
    </row>
    <row r="657" spans="1:7" x14ac:dyDescent="0.25">
      <c r="A657" t="s">
        <v>324</v>
      </c>
      <c r="B657" t="s">
        <v>159</v>
      </c>
      <c r="C657" s="4">
        <f>0.755584923910716 * 4.49865989918674%</f>
        <v>3.3991195976272023E-2</v>
      </c>
      <c r="D657" t="s">
        <v>242</v>
      </c>
      <c r="E657" t="s">
        <v>326</v>
      </c>
      <c r="F657" t="s">
        <v>324</v>
      </c>
      <c r="G657" t="s">
        <v>245</v>
      </c>
    </row>
    <row r="658" spans="1:7" x14ac:dyDescent="0.25">
      <c r="A658" t="s">
        <v>324</v>
      </c>
      <c r="B658" t="s">
        <v>159</v>
      </c>
      <c r="C658" s="4">
        <f>0.00154025450133466 * 4.49865989918674%</f>
        <v>6.9290811596961046E-5</v>
      </c>
      <c r="D658" t="s">
        <v>242</v>
      </c>
      <c r="E658" t="s">
        <v>289</v>
      </c>
      <c r="F658" t="s">
        <v>324</v>
      </c>
      <c r="G658" t="s">
        <v>245</v>
      </c>
    </row>
    <row r="659" spans="1:7" x14ac:dyDescent="0.25">
      <c r="A659" t="s">
        <v>324</v>
      </c>
      <c r="B659" t="s">
        <v>159</v>
      </c>
      <c r="C659" s="4">
        <f>4.63438553364394E-10 * 4.49865989918674%</f>
        <v>2.0848524357575133E-11</v>
      </c>
      <c r="D659" t="s">
        <v>256</v>
      </c>
      <c r="E659" t="s">
        <v>322</v>
      </c>
      <c r="F659" t="s">
        <v>324</v>
      </c>
      <c r="G659" t="s">
        <v>245</v>
      </c>
    </row>
    <row r="660" spans="1:7" x14ac:dyDescent="0.25">
      <c r="A660" t="s">
        <v>324</v>
      </c>
      <c r="B660" t="s">
        <v>159</v>
      </c>
      <c r="C660" s="4">
        <f>1.80533525994585E-09 * 4.49865989918674%</f>
        <v>8.1215893385062649E-11</v>
      </c>
      <c r="D660" t="s">
        <v>256</v>
      </c>
      <c r="E660" t="s">
        <v>323</v>
      </c>
      <c r="F660" t="s">
        <v>324</v>
      </c>
      <c r="G660" t="s">
        <v>245</v>
      </c>
    </row>
    <row r="661" spans="1:7" x14ac:dyDescent="0.25">
      <c r="A661" t="s">
        <v>324</v>
      </c>
      <c r="B661" t="s">
        <v>159</v>
      </c>
      <c r="C661" s="4">
        <f>0.000343246436607167 * 4.49865989918674%</f>
        <v>1.5441489799034058E-5</v>
      </c>
      <c r="D661" t="s">
        <v>256</v>
      </c>
      <c r="E661" t="s">
        <v>280</v>
      </c>
      <c r="F661" t="s">
        <v>324</v>
      </c>
      <c r="G661" t="s">
        <v>245</v>
      </c>
    </row>
    <row r="662" spans="1:7" x14ac:dyDescent="0.25">
      <c r="A662" t="s">
        <v>324</v>
      </c>
      <c r="B662" t="s">
        <v>166</v>
      </c>
      <c r="C662" s="4">
        <f>0.212937718373242 * 0.00238175260592974%</f>
        <v>5.0716496563620223E-6</v>
      </c>
      <c r="D662" t="s">
        <v>242</v>
      </c>
      <c r="E662" t="s">
        <v>327</v>
      </c>
      <c r="F662" t="s">
        <v>324</v>
      </c>
      <c r="G662" t="s">
        <v>245</v>
      </c>
    </row>
    <row r="663" spans="1:7" x14ac:dyDescent="0.25">
      <c r="A663" t="s">
        <v>324</v>
      </c>
      <c r="B663" t="s">
        <v>166</v>
      </c>
      <c r="C663" s="4">
        <f>0.755584923910716 * 0.00238175260592974%</f>
        <v>1.7996163615255721E-5</v>
      </c>
      <c r="D663" t="s">
        <v>242</v>
      </c>
      <c r="E663" t="s">
        <v>326</v>
      </c>
      <c r="F663" t="s">
        <v>324</v>
      </c>
      <c r="G663" t="s">
        <v>245</v>
      </c>
    </row>
    <row r="664" spans="1:7" x14ac:dyDescent="0.25">
      <c r="A664" t="s">
        <v>324</v>
      </c>
      <c r="B664" t="s">
        <v>166</v>
      </c>
      <c r="C664" s="4">
        <f>0.00154025450133466 * 0.00238175260592974%</f>
        <v>3.6685051723488388E-8</v>
      </c>
      <c r="D664" t="s">
        <v>242</v>
      </c>
      <c r="E664" t="s">
        <v>289</v>
      </c>
      <c r="F664" t="s">
        <v>324</v>
      </c>
      <c r="G664" t="s">
        <v>245</v>
      </c>
    </row>
    <row r="665" spans="1:7" x14ac:dyDescent="0.25">
      <c r="A665" t="s">
        <v>324</v>
      </c>
      <c r="B665" t="s">
        <v>166</v>
      </c>
      <c r="C665" s="4">
        <f>4.63438553364394E-10 * 0.00238175260592974%</f>
        <v>1.1037959821639543E-14</v>
      </c>
      <c r="D665" t="s">
        <v>256</v>
      </c>
      <c r="E665" t="s">
        <v>322</v>
      </c>
      <c r="F665" t="s">
        <v>324</v>
      </c>
      <c r="G665" t="s">
        <v>245</v>
      </c>
    </row>
    <row r="666" spans="1:7" x14ac:dyDescent="0.25">
      <c r="A666" t="s">
        <v>324</v>
      </c>
      <c r="B666" t="s">
        <v>166</v>
      </c>
      <c r="C666" s="4">
        <f>1.80533525994585E-09 * 0.00238175260592974%</f>
        <v>4.2998619599528724E-14</v>
      </c>
      <c r="D666" t="s">
        <v>256</v>
      </c>
      <c r="E666" t="s">
        <v>323</v>
      </c>
      <c r="F666" t="s">
        <v>324</v>
      </c>
      <c r="G666" t="s">
        <v>245</v>
      </c>
    </row>
    <row r="667" spans="1:7" x14ac:dyDescent="0.25">
      <c r="A667" t="s">
        <v>324</v>
      </c>
      <c r="B667" t="s">
        <v>166</v>
      </c>
      <c r="C667" s="4">
        <f>0.000343246436607167 * 0.00238175260592974%</f>
        <v>8.1752809486521735E-9</v>
      </c>
      <c r="D667" t="s">
        <v>256</v>
      </c>
      <c r="E667" t="s">
        <v>280</v>
      </c>
      <c r="F667" t="s">
        <v>324</v>
      </c>
      <c r="G667" t="s">
        <v>245</v>
      </c>
    </row>
    <row r="668" spans="1:7" x14ac:dyDescent="0.25">
      <c r="A668" t="s">
        <v>324</v>
      </c>
      <c r="B668" t="s">
        <v>128</v>
      </c>
      <c r="C668" s="4">
        <f>0.212937718373242 * 0.0164032548617751%</f>
        <v>3.4928716641611791E-5</v>
      </c>
      <c r="D668" t="s">
        <v>242</v>
      </c>
      <c r="E668" t="s">
        <v>327</v>
      </c>
      <c r="F668" t="s">
        <v>324</v>
      </c>
      <c r="G668" t="s">
        <v>245</v>
      </c>
    </row>
    <row r="669" spans="1:7" x14ac:dyDescent="0.25">
      <c r="A669" t="s">
        <v>324</v>
      </c>
      <c r="B669" t="s">
        <v>128</v>
      </c>
      <c r="C669" s="4">
        <f>0.755584923910716 * 0.0164032548617751%</f>
        <v>1.2394052076622423E-4</v>
      </c>
      <c r="D669" t="s">
        <v>242</v>
      </c>
      <c r="E669" t="s">
        <v>326</v>
      </c>
      <c r="F669" t="s">
        <v>324</v>
      </c>
      <c r="G669" t="s">
        <v>245</v>
      </c>
    </row>
    <row r="670" spans="1:7" x14ac:dyDescent="0.25">
      <c r="A670" t="s">
        <v>324</v>
      </c>
      <c r="B670" t="s">
        <v>128</v>
      </c>
      <c r="C670" s="4">
        <f>0.00154025450133466 * 0.0164032548617751%</f>
        <v>2.5265187137388748E-7</v>
      </c>
      <c r="D670" t="s">
        <v>242</v>
      </c>
      <c r="E670" t="s">
        <v>289</v>
      </c>
      <c r="F670" t="s">
        <v>324</v>
      </c>
      <c r="G670" t="s">
        <v>245</v>
      </c>
    </row>
    <row r="671" spans="1:7" x14ac:dyDescent="0.25">
      <c r="A671" t="s">
        <v>324</v>
      </c>
      <c r="B671" t="s">
        <v>128</v>
      </c>
      <c r="C671" s="4">
        <f>4.63438553364394E-10 * 0.0164032548617751%</f>
        <v>7.6019007036085157E-14</v>
      </c>
      <c r="D671" t="s">
        <v>256</v>
      </c>
      <c r="E671" t="s">
        <v>322</v>
      </c>
      <c r="F671" t="s">
        <v>324</v>
      </c>
      <c r="G671" t="s">
        <v>245</v>
      </c>
    </row>
    <row r="672" spans="1:7" x14ac:dyDescent="0.25">
      <c r="A672" t="s">
        <v>324</v>
      </c>
      <c r="B672" t="s">
        <v>128</v>
      </c>
      <c r="C672" s="4">
        <f>1.80533525994585E-09 * 0.0164032548617751%</f>
        <v>2.961337437984078E-13</v>
      </c>
      <c r="D672" t="s">
        <v>256</v>
      </c>
      <c r="E672" t="s">
        <v>323</v>
      </c>
      <c r="F672" t="s">
        <v>324</v>
      </c>
      <c r="G672" t="s">
        <v>245</v>
      </c>
    </row>
    <row r="673" spans="1:7" x14ac:dyDescent="0.25">
      <c r="A673" t="s">
        <v>324</v>
      </c>
      <c r="B673" t="s">
        <v>128</v>
      </c>
      <c r="C673" s="4">
        <f>0.000343246436607167 * 0.0164032548617751%</f>
        <v>5.6303587800634914E-8</v>
      </c>
      <c r="D673" t="s">
        <v>256</v>
      </c>
      <c r="E673" t="s">
        <v>280</v>
      </c>
      <c r="F673" t="s">
        <v>324</v>
      </c>
      <c r="G673" t="s">
        <v>245</v>
      </c>
    </row>
    <row r="674" spans="1:7" x14ac:dyDescent="0.25">
      <c r="A674" t="s">
        <v>324</v>
      </c>
      <c r="B674" t="s">
        <v>154</v>
      </c>
      <c r="C674" s="4">
        <f>0.212937718373242 * 0.040585753341747%</f>
        <v>8.642237715050788E-5</v>
      </c>
      <c r="D674" t="s">
        <v>242</v>
      </c>
      <c r="E674" t="s">
        <v>327</v>
      </c>
      <c r="F674" t="s">
        <v>324</v>
      </c>
      <c r="G674" t="s">
        <v>245</v>
      </c>
    </row>
    <row r="675" spans="1:7" x14ac:dyDescent="0.25">
      <c r="A675" t="s">
        <v>324</v>
      </c>
      <c r="B675" t="s">
        <v>154</v>
      </c>
      <c r="C675" s="4">
        <f>0.755584923910716 * 0.040585753341747%</f>
        <v>3.0665983350582993E-4</v>
      </c>
      <c r="D675" t="s">
        <v>242</v>
      </c>
      <c r="E675" t="s">
        <v>326</v>
      </c>
      <c r="F675" t="s">
        <v>324</v>
      </c>
      <c r="G675" t="s">
        <v>245</v>
      </c>
    </row>
    <row r="676" spans="1:7" x14ac:dyDescent="0.25">
      <c r="A676" t="s">
        <v>324</v>
      </c>
      <c r="B676" t="s">
        <v>154</v>
      </c>
      <c r="C676" s="4">
        <f>0.00154025450133466 * 0.040585753341747%</f>
        <v>6.251238927468404E-7</v>
      </c>
      <c r="D676" t="s">
        <v>242</v>
      </c>
      <c r="E676" t="s">
        <v>289</v>
      </c>
      <c r="F676" t="s">
        <v>324</v>
      </c>
      <c r="G676" t="s">
        <v>245</v>
      </c>
    </row>
    <row r="677" spans="1:7" x14ac:dyDescent="0.25">
      <c r="A677" t="s">
        <v>324</v>
      </c>
      <c r="B677" t="s">
        <v>154</v>
      </c>
      <c r="C677" s="4">
        <f>4.63438553364394E-10 * 0.040585753341747%</f>
        <v>1.8809002815903348E-13</v>
      </c>
      <c r="D677" t="s">
        <v>256</v>
      </c>
      <c r="E677" t="s">
        <v>322</v>
      </c>
      <c r="F677" t="s">
        <v>324</v>
      </c>
      <c r="G677" t="s">
        <v>245</v>
      </c>
    </row>
    <row r="678" spans="1:7" x14ac:dyDescent="0.25">
      <c r="A678" t="s">
        <v>324</v>
      </c>
      <c r="B678" t="s">
        <v>154</v>
      </c>
      <c r="C678" s="4">
        <f>1.80533525994585E-09 * 0.040585753341747%</f>
        <v>7.3270891559320968E-13</v>
      </c>
      <c r="D678" t="s">
        <v>256</v>
      </c>
      <c r="E678" t="s">
        <v>323</v>
      </c>
      <c r="F678" t="s">
        <v>324</v>
      </c>
      <c r="G678" t="s">
        <v>245</v>
      </c>
    </row>
    <row r="679" spans="1:7" x14ac:dyDescent="0.25">
      <c r="A679" t="s">
        <v>324</v>
      </c>
      <c r="B679" t="s">
        <v>154</v>
      </c>
      <c r="C679" s="4">
        <f>0.000343246436607167 * 0.040585753341747%</f>
        <v>1.3930915211572078E-7</v>
      </c>
      <c r="D679" t="s">
        <v>256</v>
      </c>
      <c r="E679" t="s">
        <v>280</v>
      </c>
      <c r="F679" t="s">
        <v>324</v>
      </c>
      <c r="G679" t="s">
        <v>245</v>
      </c>
    </row>
    <row r="680" spans="1:7" x14ac:dyDescent="0.25">
      <c r="A680" t="s">
        <v>324</v>
      </c>
      <c r="B680" t="s">
        <v>117</v>
      </c>
      <c r="C680" s="4">
        <f>0.212937718373242 * 2.66839948463926%</f>
        <v>5.6820289796741877E-3</v>
      </c>
      <c r="D680" t="s">
        <v>242</v>
      </c>
      <c r="E680" t="s">
        <v>327</v>
      </c>
      <c r="F680" t="s">
        <v>324</v>
      </c>
      <c r="G680" t="s">
        <v>245</v>
      </c>
    </row>
    <row r="681" spans="1:7" x14ac:dyDescent="0.25">
      <c r="A681" t="s">
        <v>324</v>
      </c>
      <c r="B681" t="s">
        <v>117</v>
      </c>
      <c r="C681" s="4">
        <f>0.755584923910716 * 2.66839948463926%</f>
        <v>2.0162024215645488E-2</v>
      </c>
      <c r="D681" t="s">
        <v>242</v>
      </c>
      <c r="E681" t="s">
        <v>326</v>
      </c>
      <c r="F681" t="s">
        <v>324</v>
      </c>
      <c r="G681" t="s">
        <v>245</v>
      </c>
    </row>
    <row r="682" spans="1:7" x14ac:dyDescent="0.25">
      <c r="A682" t="s">
        <v>324</v>
      </c>
      <c r="B682" t="s">
        <v>117</v>
      </c>
      <c r="C682" s="4">
        <f>0.00154025450133466 * 2.66839948463926%</f>
        <v>4.1100143175747065E-5</v>
      </c>
      <c r="D682" t="s">
        <v>242</v>
      </c>
      <c r="E682" t="s">
        <v>289</v>
      </c>
      <c r="F682" t="s">
        <v>324</v>
      </c>
      <c r="G682" t="s">
        <v>245</v>
      </c>
    </row>
    <row r="683" spans="1:7" x14ac:dyDescent="0.25">
      <c r="A683" t="s">
        <v>324</v>
      </c>
      <c r="B683" t="s">
        <v>117</v>
      </c>
      <c r="C683" s="4">
        <f>4.63438553364394E-10 * 2.66839948463926%</f>
        <v>1.236639196959513E-11</v>
      </c>
      <c r="D683" t="s">
        <v>256</v>
      </c>
      <c r="E683" t="s">
        <v>322</v>
      </c>
      <c r="F683" t="s">
        <v>324</v>
      </c>
      <c r="G683" t="s">
        <v>245</v>
      </c>
    </row>
    <row r="684" spans="1:7" x14ac:dyDescent="0.25">
      <c r="A684" t="s">
        <v>324</v>
      </c>
      <c r="B684" t="s">
        <v>117</v>
      </c>
      <c r="C684" s="4">
        <f>1.80533525994585E-09 * 2.66839948463926%</f>
        <v>4.8173556772405899E-11</v>
      </c>
      <c r="D684" t="s">
        <v>256</v>
      </c>
      <c r="E684" t="s">
        <v>323</v>
      </c>
      <c r="F684" t="s">
        <v>324</v>
      </c>
      <c r="G684" t="s">
        <v>245</v>
      </c>
    </row>
    <row r="685" spans="1:7" x14ac:dyDescent="0.25">
      <c r="A685" t="s">
        <v>324</v>
      </c>
      <c r="B685" t="s">
        <v>117</v>
      </c>
      <c r="C685" s="4">
        <f>0.000343246436607167 * 2.66839948463926%</f>
        <v>9.1591861454682681E-6</v>
      </c>
      <c r="D685" t="s">
        <v>256</v>
      </c>
      <c r="E685" t="s">
        <v>280</v>
      </c>
      <c r="F685" t="s">
        <v>324</v>
      </c>
      <c r="G685" t="s">
        <v>245</v>
      </c>
    </row>
    <row r="686" spans="1:7" x14ac:dyDescent="0.25">
      <c r="A686" t="s">
        <v>324</v>
      </c>
      <c r="B686" t="s">
        <v>97</v>
      </c>
      <c r="C686" s="4">
        <f>0.212937718373242 * 2.77896726436054%</f>
        <v>5.9174694870686335E-3</v>
      </c>
      <c r="D686" t="s">
        <v>242</v>
      </c>
      <c r="E686" t="s">
        <v>327</v>
      </c>
      <c r="F686" t="s">
        <v>324</v>
      </c>
      <c r="G686" t="s">
        <v>245</v>
      </c>
    </row>
    <row r="687" spans="1:7" x14ac:dyDescent="0.25">
      <c r="A687" t="s">
        <v>324</v>
      </c>
      <c r="B687" t="s">
        <v>97</v>
      </c>
      <c r="C687" s="4">
        <f>0.755584923910716 * 2.77896726436054%</f>
        <v>2.099745768992229E-2</v>
      </c>
      <c r="D687" t="s">
        <v>242</v>
      </c>
      <c r="E687" t="s">
        <v>326</v>
      </c>
      <c r="F687" t="s">
        <v>324</v>
      </c>
      <c r="G687" t="s">
        <v>245</v>
      </c>
    </row>
    <row r="688" spans="1:7" x14ac:dyDescent="0.25">
      <c r="A688" t="s">
        <v>324</v>
      </c>
      <c r="B688" t="s">
        <v>97</v>
      </c>
      <c r="C688" s="4">
        <f>0.00154025450133466 * 2.77896726436054%</f>
        <v>4.2803168379929875E-5</v>
      </c>
      <c r="D688" t="s">
        <v>242</v>
      </c>
      <c r="E688" t="s">
        <v>289</v>
      </c>
      <c r="F688" t="s">
        <v>324</v>
      </c>
      <c r="G688" t="s">
        <v>245</v>
      </c>
    </row>
    <row r="689" spans="1:7" x14ac:dyDescent="0.25">
      <c r="A689" t="s">
        <v>324</v>
      </c>
      <c r="B689" t="s">
        <v>97</v>
      </c>
      <c r="C689" s="4">
        <f>4.63438553364394E-10 * 2.77896726436054%</f>
        <v>1.2878805688422561E-11</v>
      </c>
      <c r="D689" t="s">
        <v>256</v>
      </c>
      <c r="E689" t="s">
        <v>322</v>
      </c>
      <c r="F689" t="s">
        <v>324</v>
      </c>
      <c r="G689" t="s">
        <v>245</v>
      </c>
    </row>
    <row r="690" spans="1:7" x14ac:dyDescent="0.25">
      <c r="A690" t="s">
        <v>324</v>
      </c>
      <c r="B690" t="s">
        <v>97</v>
      </c>
      <c r="C690" s="4">
        <f>1.80533525994585E-09 * 2.77896726436054%</f>
        <v>5.0169675885853431E-11</v>
      </c>
      <c r="D690" t="s">
        <v>256</v>
      </c>
      <c r="E690" t="s">
        <v>323</v>
      </c>
      <c r="F690" t="s">
        <v>324</v>
      </c>
      <c r="G690" t="s">
        <v>245</v>
      </c>
    </row>
    <row r="691" spans="1:7" x14ac:dyDescent="0.25">
      <c r="A691" t="s">
        <v>324</v>
      </c>
      <c r="B691" t="s">
        <v>97</v>
      </c>
      <c r="C691" s="4">
        <f>0.000343246436607167 * 2.77896726436054%</f>
        <v>9.5387061093972227E-6</v>
      </c>
      <c r="D691" t="s">
        <v>256</v>
      </c>
      <c r="E691" t="s">
        <v>280</v>
      </c>
      <c r="F691" t="s">
        <v>324</v>
      </c>
      <c r="G691" t="s">
        <v>245</v>
      </c>
    </row>
    <row r="692" spans="1:7" x14ac:dyDescent="0.25">
      <c r="A692" t="s">
        <v>324</v>
      </c>
      <c r="B692" t="s">
        <v>98</v>
      </c>
      <c r="C692" s="4">
        <f>0.212937718373242 * 1.11350543043285%</f>
        <v>2.3710730575258582E-3</v>
      </c>
      <c r="D692" t="s">
        <v>242</v>
      </c>
      <c r="E692" t="s">
        <v>327</v>
      </c>
      <c r="F692" t="s">
        <v>324</v>
      </c>
      <c r="G692" t="s">
        <v>245</v>
      </c>
    </row>
    <row r="693" spans="1:7" x14ac:dyDescent="0.25">
      <c r="A693" t="s">
        <v>324</v>
      </c>
      <c r="B693" t="s">
        <v>98</v>
      </c>
      <c r="C693" s="4">
        <f>0.755584923910716 * 1.11350543043285%</f>
        <v>8.4134791592777401E-3</v>
      </c>
      <c r="D693" t="s">
        <v>242</v>
      </c>
      <c r="E693" t="s">
        <v>326</v>
      </c>
      <c r="F693" t="s">
        <v>324</v>
      </c>
      <c r="G693" t="s">
        <v>245</v>
      </c>
    </row>
    <row r="694" spans="1:7" x14ac:dyDescent="0.25">
      <c r="A694" t="s">
        <v>324</v>
      </c>
      <c r="B694" t="s">
        <v>98</v>
      </c>
      <c r="C694" s="4">
        <f>0.00154025450133466 * 1.11350543043285%</f>
        <v>1.7150817514847854E-5</v>
      </c>
      <c r="D694" t="s">
        <v>242</v>
      </c>
      <c r="E694" t="s">
        <v>289</v>
      </c>
      <c r="F694" t="s">
        <v>324</v>
      </c>
      <c r="G694" t="s">
        <v>245</v>
      </c>
    </row>
    <row r="695" spans="1:7" x14ac:dyDescent="0.25">
      <c r="A695" t="s">
        <v>324</v>
      </c>
      <c r="B695" t="s">
        <v>98</v>
      </c>
      <c r="C695" s="4">
        <f>4.63438553364394E-10 * 1.11350543043285%</f>
        <v>5.1604134584319684E-12</v>
      </c>
      <c r="D695" t="s">
        <v>256</v>
      </c>
      <c r="E695" t="s">
        <v>322</v>
      </c>
      <c r="F695" t="s">
        <v>324</v>
      </c>
      <c r="G695" t="s">
        <v>245</v>
      </c>
    </row>
    <row r="696" spans="1:7" x14ac:dyDescent="0.25">
      <c r="A696" t="s">
        <v>324</v>
      </c>
      <c r="B696" t="s">
        <v>98</v>
      </c>
      <c r="C696" s="4">
        <f>1.80533525994585E-09 * 1.11350543043285%</f>
        <v>2.0102506157016047E-11</v>
      </c>
      <c r="D696" t="s">
        <v>256</v>
      </c>
      <c r="E696" t="s">
        <v>323</v>
      </c>
      <c r="F696" t="s">
        <v>324</v>
      </c>
      <c r="G696" t="s">
        <v>245</v>
      </c>
    </row>
    <row r="697" spans="1:7" x14ac:dyDescent="0.25">
      <c r="A697" t="s">
        <v>324</v>
      </c>
      <c r="B697" t="s">
        <v>98</v>
      </c>
      <c r="C697" s="4">
        <f>0.000343246436607167 * 1.11350543043285%</f>
        <v>3.8220677113880543E-6</v>
      </c>
      <c r="D697" t="s">
        <v>256</v>
      </c>
      <c r="E697" t="s">
        <v>280</v>
      </c>
      <c r="F697" t="s">
        <v>324</v>
      </c>
      <c r="G697" t="s">
        <v>245</v>
      </c>
    </row>
    <row r="698" spans="1:7" x14ac:dyDescent="0.25">
      <c r="A698" t="s">
        <v>324</v>
      </c>
      <c r="B698" t="s">
        <v>99</v>
      </c>
      <c r="C698" s="4">
        <f>0.212937718373242 * 1.00276541653552%</f>
        <v>2.1352657986066725E-3</v>
      </c>
      <c r="D698" t="s">
        <v>242</v>
      </c>
      <c r="E698" t="s">
        <v>327</v>
      </c>
      <c r="F698" t="s">
        <v>324</v>
      </c>
      <c r="G698" t="s">
        <v>245</v>
      </c>
    </row>
    <row r="699" spans="1:7" x14ac:dyDescent="0.25">
      <c r="A699" t="s">
        <v>324</v>
      </c>
      <c r="B699" t="s">
        <v>99</v>
      </c>
      <c r="C699" s="4">
        <f>0.755584923910716 * 1.00276541653552%</f>
        <v>7.5767443095328835E-3</v>
      </c>
      <c r="D699" t="s">
        <v>242</v>
      </c>
      <c r="E699" t="s">
        <v>326</v>
      </c>
      <c r="F699" t="s">
        <v>324</v>
      </c>
      <c r="G699" t="s">
        <v>245</v>
      </c>
    </row>
    <row r="700" spans="1:7" x14ac:dyDescent="0.25">
      <c r="A700" t="s">
        <v>324</v>
      </c>
      <c r="B700" t="s">
        <v>99</v>
      </c>
      <c r="C700" s="4">
        <f>0.00154025450133466 * 1.00276541653552%</f>
        <v>1.5445139466015602E-5</v>
      </c>
      <c r="D700" t="s">
        <v>242</v>
      </c>
      <c r="E700" t="s">
        <v>289</v>
      </c>
      <c r="F700" t="s">
        <v>324</v>
      </c>
      <c r="G700" t="s">
        <v>245</v>
      </c>
    </row>
    <row r="701" spans="1:7" x14ac:dyDescent="0.25">
      <c r="A701" t="s">
        <v>324</v>
      </c>
      <c r="B701" t="s">
        <v>99</v>
      </c>
      <c r="C701" s="4">
        <f>4.63438553364394E-10 * 1.00276541653552%</f>
        <v>4.6472015400306536E-12</v>
      </c>
      <c r="D701" t="s">
        <v>256</v>
      </c>
      <c r="E701" t="s">
        <v>322</v>
      </c>
      <c r="F701" t="s">
        <v>324</v>
      </c>
      <c r="G701" t="s">
        <v>245</v>
      </c>
    </row>
    <row r="702" spans="1:7" x14ac:dyDescent="0.25">
      <c r="A702" t="s">
        <v>324</v>
      </c>
      <c r="B702" t="s">
        <v>99</v>
      </c>
      <c r="C702" s="4">
        <f>1.80533525994585E-09 * 1.00276541653552%</f>
        <v>1.8103277639258615E-11</v>
      </c>
      <c r="D702" t="s">
        <v>256</v>
      </c>
      <c r="E702" t="s">
        <v>323</v>
      </c>
      <c r="F702" t="s">
        <v>324</v>
      </c>
      <c r="G702" t="s">
        <v>245</v>
      </c>
    </row>
    <row r="703" spans="1:7" x14ac:dyDescent="0.25">
      <c r="A703" t="s">
        <v>324</v>
      </c>
      <c r="B703" t="s">
        <v>99</v>
      </c>
      <c r="C703" s="4">
        <f>0.000343246436607167 * 1.00276541653552%</f>
        <v>3.4419565597871878E-6</v>
      </c>
      <c r="D703" t="s">
        <v>256</v>
      </c>
      <c r="E703" t="s">
        <v>280</v>
      </c>
      <c r="F703" t="s">
        <v>324</v>
      </c>
      <c r="G703" t="s">
        <v>245</v>
      </c>
    </row>
    <row r="704" spans="1:7" x14ac:dyDescent="0.25">
      <c r="A704" t="s">
        <v>324</v>
      </c>
      <c r="B704" t="s">
        <v>182</v>
      </c>
      <c r="C704" s="4">
        <f>0.212937718373242 * 0.0462571787102057%</f>
        <v>9.8498980929345067E-5</v>
      </c>
      <c r="D704" t="s">
        <v>242</v>
      </c>
      <c r="E704" t="s">
        <v>327</v>
      </c>
      <c r="F704" t="s">
        <v>324</v>
      </c>
      <c r="G704" t="s">
        <v>245</v>
      </c>
    </row>
    <row r="705" spans="1:7" x14ac:dyDescent="0.25">
      <c r="A705" t="s">
        <v>324</v>
      </c>
      <c r="B705" t="s">
        <v>182</v>
      </c>
      <c r="C705" s="4">
        <f>0.755584923910716 * 0.0462571787102057%</f>
        <v>3.4951226856075166E-4</v>
      </c>
      <c r="D705" t="s">
        <v>242</v>
      </c>
      <c r="E705" t="s">
        <v>326</v>
      </c>
      <c r="F705" t="s">
        <v>324</v>
      </c>
      <c r="G705" t="s">
        <v>245</v>
      </c>
    </row>
    <row r="706" spans="1:7" x14ac:dyDescent="0.25">
      <c r="A706" t="s">
        <v>324</v>
      </c>
      <c r="B706" t="s">
        <v>182</v>
      </c>
      <c r="C706" s="4">
        <f>0.00154025450133466 * 0.0462571787102057%</f>
        <v>7.1247827727436142E-7</v>
      </c>
      <c r="D706" t="s">
        <v>242</v>
      </c>
      <c r="E706" t="s">
        <v>289</v>
      </c>
      <c r="F706" t="s">
        <v>324</v>
      </c>
      <c r="G706" t="s">
        <v>245</v>
      </c>
    </row>
    <row r="707" spans="1:7" x14ac:dyDescent="0.25">
      <c r="A707" t="s">
        <v>324</v>
      </c>
      <c r="B707" t="s">
        <v>182</v>
      </c>
      <c r="C707" s="4">
        <f>4.63438553364394E-10 * 0.0462571787102057%</f>
        <v>2.1437359984175976E-13</v>
      </c>
      <c r="D707" t="s">
        <v>256</v>
      </c>
      <c r="E707" t="s">
        <v>322</v>
      </c>
      <c r="F707" t="s">
        <v>324</v>
      </c>
      <c r="G707" t="s">
        <v>245</v>
      </c>
    </row>
    <row r="708" spans="1:7" x14ac:dyDescent="0.25">
      <c r="A708" t="s">
        <v>324</v>
      </c>
      <c r="B708" t="s">
        <v>182</v>
      </c>
      <c r="C708" s="4">
        <f>1.80533525994585E-09 * 0.0462571787102057%</f>
        <v>8.3509715751150851E-13</v>
      </c>
      <c r="D708" t="s">
        <v>256</v>
      </c>
      <c r="E708" t="s">
        <v>323</v>
      </c>
      <c r="F708" t="s">
        <v>324</v>
      </c>
      <c r="G708" t="s">
        <v>245</v>
      </c>
    </row>
    <row r="709" spans="1:7" x14ac:dyDescent="0.25">
      <c r="A709" t="s">
        <v>324</v>
      </c>
      <c r="B709" t="s">
        <v>182</v>
      </c>
      <c r="C709" s="4">
        <f>0.000343246436607167 * 0.0462571787102057%</f>
        <v>1.5877611759779016E-7</v>
      </c>
      <c r="D709" t="s">
        <v>256</v>
      </c>
      <c r="E709" t="s">
        <v>280</v>
      </c>
      <c r="F709" t="s">
        <v>324</v>
      </c>
      <c r="G709" t="s">
        <v>245</v>
      </c>
    </row>
    <row r="710" spans="1:7" x14ac:dyDescent="0.25">
      <c r="A710" t="s">
        <v>324</v>
      </c>
      <c r="B710" t="s">
        <v>119</v>
      </c>
      <c r="C710" s="4">
        <f>0.212937718373242 * 6.29452432861457%</f>
        <v>1.3403416487800494E-2</v>
      </c>
      <c r="D710" t="s">
        <v>242</v>
      </c>
      <c r="E710" t="s">
        <v>327</v>
      </c>
      <c r="F710" t="s">
        <v>324</v>
      </c>
      <c r="G710" t="s">
        <v>245</v>
      </c>
    </row>
    <row r="711" spans="1:7" x14ac:dyDescent="0.25">
      <c r="A711" t="s">
        <v>324</v>
      </c>
      <c r="B711" t="s">
        <v>119</v>
      </c>
      <c r="C711" s="4">
        <f>0.755584923910716 * 6.29452432861457%</f>
        <v>4.7560476858903904E-2</v>
      </c>
      <c r="D711" t="s">
        <v>242</v>
      </c>
      <c r="E711" t="s">
        <v>326</v>
      </c>
      <c r="F711" t="s">
        <v>324</v>
      </c>
      <c r="G711" t="s">
        <v>245</v>
      </c>
    </row>
    <row r="712" spans="1:7" x14ac:dyDescent="0.25">
      <c r="A712" t="s">
        <v>324</v>
      </c>
      <c r="B712" t="s">
        <v>119</v>
      </c>
      <c r="C712" s="4">
        <f>0.00154025450133466 * 6.29452432861457%</f>
        <v>9.6951694309091205E-5</v>
      </c>
      <c r="D712" t="s">
        <v>242</v>
      </c>
      <c r="E712" t="s">
        <v>289</v>
      </c>
      <c r="F712" t="s">
        <v>324</v>
      </c>
      <c r="G712" t="s">
        <v>245</v>
      </c>
    </row>
    <row r="713" spans="1:7" x14ac:dyDescent="0.25">
      <c r="A713" t="s">
        <v>324</v>
      </c>
      <c r="B713" t="s">
        <v>119</v>
      </c>
      <c r="C713" s="4">
        <f>4.63438553364394E-10 * 6.29452432861457%</f>
        <v>2.9171252489701198E-11</v>
      </c>
      <c r="D713" t="s">
        <v>256</v>
      </c>
      <c r="E713" t="s">
        <v>322</v>
      </c>
      <c r="F713" t="s">
        <v>324</v>
      </c>
      <c r="G713" t="s">
        <v>245</v>
      </c>
    </row>
    <row r="714" spans="1:7" x14ac:dyDescent="0.25">
      <c r="A714" t="s">
        <v>324</v>
      </c>
      <c r="B714" t="s">
        <v>119</v>
      </c>
      <c r="C714" s="4">
        <f>1.80533525994585E-09 * 6.29452432861457%</f>
        <v>1.1363726715034862E-10</v>
      </c>
      <c r="D714" t="s">
        <v>256</v>
      </c>
      <c r="E714" t="s">
        <v>323</v>
      </c>
      <c r="F714" t="s">
        <v>324</v>
      </c>
      <c r="G714" t="s">
        <v>245</v>
      </c>
    </row>
    <row r="715" spans="1:7" x14ac:dyDescent="0.25">
      <c r="A715" t="s">
        <v>324</v>
      </c>
      <c r="B715" t="s">
        <v>119</v>
      </c>
      <c r="C715" s="4">
        <f>0.000343246436607167 * 6.29452432861457%</f>
        <v>2.1605730459340713E-5</v>
      </c>
      <c r="D715" t="s">
        <v>256</v>
      </c>
      <c r="E715" t="s">
        <v>280</v>
      </c>
      <c r="F715" t="s">
        <v>324</v>
      </c>
      <c r="G715" t="s">
        <v>245</v>
      </c>
    </row>
    <row r="716" spans="1:7" x14ac:dyDescent="0.25">
      <c r="A716" t="s">
        <v>324</v>
      </c>
      <c r="B716" t="s">
        <v>102</v>
      </c>
      <c r="C716" s="4">
        <f>0.212937718373242 * 1.81709680252091%</f>
        <v>3.8692844719211607E-3</v>
      </c>
      <c r="D716" t="s">
        <v>242</v>
      </c>
      <c r="E716" t="s">
        <v>327</v>
      </c>
      <c r="F716" t="s">
        <v>324</v>
      </c>
      <c r="G716" t="s">
        <v>245</v>
      </c>
    </row>
    <row r="717" spans="1:7" x14ac:dyDescent="0.25">
      <c r="A717" t="s">
        <v>324</v>
      </c>
      <c r="B717" t="s">
        <v>102</v>
      </c>
      <c r="C717" s="4">
        <f>0.755584923910716 * 1.81709680252091%</f>
        <v>1.3729709492711671E-2</v>
      </c>
      <c r="D717" t="s">
        <v>242</v>
      </c>
      <c r="E717" t="s">
        <v>326</v>
      </c>
      <c r="F717" t="s">
        <v>324</v>
      </c>
      <c r="G717" t="s">
        <v>245</v>
      </c>
    </row>
    <row r="718" spans="1:7" x14ac:dyDescent="0.25">
      <c r="A718" t="s">
        <v>324</v>
      </c>
      <c r="B718" t="s">
        <v>102</v>
      </c>
      <c r="C718" s="4">
        <f>0.00154025450133466 * 1.81709680252091%</f>
        <v>2.7987915294436497E-5</v>
      </c>
      <c r="D718" t="s">
        <v>242</v>
      </c>
      <c r="E718" t="s">
        <v>289</v>
      </c>
      <c r="F718" t="s">
        <v>324</v>
      </c>
      <c r="G718" t="s">
        <v>245</v>
      </c>
    </row>
    <row r="719" spans="1:7" x14ac:dyDescent="0.25">
      <c r="A719" t="s">
        <v>324</v>
      </c>
      <c r="B719" t="s">
        <v>102</v>
      </c>
      <c r="C719" s="4">
        <f>4.63438553364394E-10 * 1.81709680252091%</f>
        <v>8.4211271348335656E-12</v>
      </c>
      <c r="D719" t="s">
        <v>256</v>
      </c>
      <c r="E719" t="s">
        <v>322</v>
      </c>
      <c r="F719" t="s">
        <v>324</v>
      </c>
      <c r="G719" t="s">
        <v>245</v>
      </c>
    </row>
    <row r="720" spans="1:7" x14ac:dyDescent="0.25">
      <c r="A720" t="s">
        <v>324</v>
      </c>
      <c r="B720" t="s">
        <v>102</v>
      </c>
      <c r="C720" s="4">
        <f>1.80533525994585E-09 * 1.81709680252091%</f>
        <v>3.2804689283258603E-11</v>
      </c>
      <c r="D720" t="s">
        <v>256</v>
      </c>
      <c r="E720" t="s">
        <v>323</v>
      </c>
      <c r="F720" t="s">
        <v>324</v>
      </c>
      <c r="G720" t="s">
        <v>245</v>
      </c>
    </row>
    <row r="721" spans="1:7" x14ac:dyDescent="0.25">
      <c r="A721" t="s">
        <v>324</v>
      </c>
      <c r="B721" t="s">
        <v>102</v>
      </c>
      <c r="C721" s="4">
        <f>0.000343246436607167 * 1.81709680252091%</f>
        <v>6.2371200243557943E-6</v>
      </c>
      <c r="D721" t="s">
        <v>256</v>
      </c>
      <c r="E721" t="s">
        <v>280</v>
      </c>
      <c r="F721" t="s">
        <v>324</v>
      </c>
      <c r="G721" t="s">
        <v>245</v>
      </c>
    </row>
    <row r="722" spans="1:7" x14ac:dyDescent="0.25">
      <c r="A722" t="s">
        <v>324</v>
      </c>
      <c r="B722" t="s">
        <v>148</v>
      </c>
      <c r="C722" s="4">
        <f>0.212937718373242 * 2.67817418421139%</f>
        <v>5.7028430019209209E-3</v>
      </c>
      <c r="D722" t="s">
        <v>242</v>
      </c>
      <c r="E722" t="s">
        <v>327</v>
      </c>
      <c r="F722" t="s">
        <v>324</v>
      </c>
      <c r="G722" t="s">
        <v>245</v>
      </c>
    </row>
    <row r="723" spans="1:7" x14ac:dyDescent="0.25">
      <c r="A723" t="s">
        <v>324</v>
      </c>
      <c r="B723" t="s">
        <v>148</v>
      </c>
      <c r="C723" s="4">
        <f>0.755584923910716 * 2.67817418421139%</f>
        <v>2.0235880371970071E-2</v>
      </c>
      <c r="D723" t="s">
        <v>242</v>
      </c>
      <c r="E723" t="s">
        <v>326</v>
      </c>
      <c r="F723" t="s">
        <v>324</v>
      </c>
      <c r="G723" t="s">
        <v>245</v>
      </c>
    </row>
    <row r="724" spans="1:7" x14ac:dyDescent="0.25">
      <c r="A724" t="s">
        <v>324</v>
      </c>
      <c r="B724" t="s">
        <v>148</v>
      </c>
      <c r="C724" s="4">
        <f>0.00154025450133466 * 2.67817418421139%</f>
        <v>4.1250698425898746E-5</v>
      </c>
      <c r="D724" t="s">
        <v>242</v>
      </c>
      <c r="E724" t="s">
        <v>289</v>
      </c>
      <c r="F724" t="s">
        <v>324</v>
      </c>
      <c r="G724" t="s">
        <v>245</v>
      </c>
    </row>
    <row r="725" spans="1:7" x14ac:dyDescent="0.25">
      <c r="A725" t="s">
        <v>324</v>
      </c>
      <c r="B725" t="s">
        <v>148</v>
      </c>
      <c r="C725" s="4">
        <f>4.63438553364394E-10 * 2.67817418421139%</f>
        <v>1.2411691695887927E-11</v>
      </c>
      <c r="D725" t="s">
        <v>256</v>
      </c>
      <c r="E725" t="s">
        <v>322</v>
      </c>
      <c r="F725" t="s">
        <v>324</v>
      </c>
      <c r="G725" t="s">
        <v>245</v>
      </c>
    </row>
    <row r="726" spans="1:7" x14ac:dyDescent="0.25">
      <c r="A726" t="s">
        <v>324</v>
      </c>
      <c r="B726" t="s">
        <v>148</v>
      </c>
      <c r="C726" s="4">
        <f>1.80533525994585E-09 * 2.67817418421139%</f>
        <v>4.8350022870335342E-11</v>
      </c>
      <c r="D726" t="s">
        <v>256</v>
      </c>
      <c r="E726" t="s">
        <v>323</v>
      </c>
      <c r="F726" t="s">
        <v>324</v>
      </c>
      <c r="G726" t="s">
        <v>245</v>
      </c>
    </row>
    <row r="727" spans="1:7" x14ac:dyDescent="0.25">
      <c r="A727" t="s">
        <v>324</v>
      </c>
      <c r="B727" t="s">
        <v>148</v>
      </c>
      <c r="C727" s="4">
        <f>0.000343246436607167 * 2.67817418421139%</f>
        <v>9.1927374534386601E-6</v>
      </c>
      <c r="D727" t="s">
        <v>256</v>
      </c>
      <c r="E727" t="s">
        <v>280</v>
      </c>
      <c r="F727" t="s">
        <v>324</v>
      </c>
      <c r="G727" t="s">
        <v>245</v>
      </c>
    </row>
    <row r="728" spans="1:7" x14ac:dyDescent="0.25">
      <c r="A728" t="s">
        <v>324</v>
      </c>
      <c r="B728" t="s">
        <v>171</v>
      </c>
      <c r="C728" s="4">
        <f>0.212937718373242 * 0.206315218674948%</f>
        <v>4.3932291930319912E-4</v>
      </c>
      <c r="D728" t="s">
        <v>242</v>
      </c>
      <c r="E728" t="s">
        <v>327</v>
      </c>
      <c r="F728" t="s">
        <v>324</v>
      </c>
      <c r="G728" t="s">
        <v>245</v>
      </c>
    </row>
    <row r="729" spans="1:7" x14ac:dyDescent="0.25">
      <c r="A729" t="s">
        <v>324</v>
      </c>
      <c r="B729" t="s">
        <v>171</v>
      </c>
      <c r="C729" s="4">
        <f>0.755584923910716 * 0.206315218674948%</f>
        <v>1.5588866880413331E-3</v>
      </c>
      <c r="D729" t="s">
        <v>242</v>
      </c>
      <c r="E729" t="s">
        <v>326</v>
      </c>
      <c r="F729" t="s">
        <v>324</v>
      </c>
      <c r="G729" t="s">
        <v>245</v>
      </c>
    </row>
    <row r="730" spans="1:7" x14ac:dyDescent="0.25">
      <c r="A730" t="s">
        <v>324</v>
      </c>
      <c r="B730" t="s">
        <v>171</v>
      </c>
      <c r="C730" s="4">
        <f>0.00154025450133466 * 0.206315218674948%</f>
        <v>3.1777794425793337E-6</v>
      </c>
      <c r="D730" t="s">
        <v>242</v>
      </c>
      <c r="E730" t="s">
        <v>289</v>
      </c>
      <c r="F730" t="s">
        <v>324</v>
      </c>
      <c r="G730" t="s">
        <v>245</v>
      </c>
    </row>
    <row r="731" spans="1:7" x14ac:dyDescent="0.25">
      <c r="A731" t="s">
        <v>324</v>
      </c>
      <c r="B731" t="s">
        <v>171</v>
      </c>
      <c r="C731" s="4">
        <f>4.63438553364394E-10 * 0.206315218674948%</f>
        <v>9.56144264797765E-13</v>
      </c>
      <c r="D731" t="s">
        <v>256</v>
      </c>
      <c r="E731" t="s">
        <v>322</v>
      </c>
      <c r="F731" t="s">
        <v>324</v>
      </c>
      <c r="G731" t="s">
        <v>245</v>
      </c>
    </row>
    <row r="732" spans="1:7" x14ac:dyDescent="0.25">
      <c r="A732" t="s">
        <v>324</v>
      </c>
      <c r="B732" t="s">
        <v>171</v>
      </c>
      <c r="C732" s="4">
        <f>1.80533525994585E-09 * 0.206315218674948%</f>
        <v>3.724681389373221E-12</v>
      </c>
      <c r="D732" t="s">
        <v>256</v>
      </c>
      <c r="E732" t="s">
        <v>323</v>
      </c>
      <c r="F732" t="s">
        <v>324</v>
      </c>
      <c r="G732" t="s">
        <v>245</v>
      </c>
    </row>
    <row r="733" spans="1:7" x14ac:dyDescent="0.25">
      <c r="A733" t="s">
        <v>324</v>
      </c>
      <c r="B733" t="s">
        <v>171</v>
      </c>
      <c r="C733" s="4">
        <f>0.000343246436607167 * 0.206315218674948%</f>
        <v>7.081696362800433E-7</v>
      </c>
      <c r="D733" t="s">
        <v>256</v>
      </c>
      <c r="E733" t="s">
        <v>280</v>
      </c>
      <c r="F733" t="s">
        <v>324</v>
      </c>
      <c r="G733" t="s">
        <v>245</v>
      </c>
    </row>
    <row r="734" spans="1:7" x14ac:dyDescent="0.25">
      <c r="A734" t="s">
        <v>324</v>
      </c>
      <c r="B734" t="s">
        <v>150</v>
      </c>
      <c r="C734" s="4">
        <f>0.212937718373242 * 1.95900546114384%</f>
        <v>4.1714615317669009E-3</v>
      </c>
      <c r="D734" t="s">
        <v>242</v>
      </c>
      <c r="E734" t="s">
        <v>327</v>
      </c>
      <c r="F734" t="s">
        <v>324</v>
      </c>
      <c r="G734" t="s">
        <v>245</v>
      </c>
    </row>
    <row r="735" spans="1:7" x14ac:dyDescent="0.25">
      <c r="A735" t="s">
        <v>324</v>
      </c>
      <c r="B735" t="s">
        <v>150</v>
      </c>
      <c r="C735" s="4">
        <f>0.755584923910716 * 1.95900546114384%</f>
        <v>1.4801949922990457E-2</v>
      </c>
      <c r="D735" t="s">
        <v>242</v>
      </c>
      <c r="E735" t="s">
        <v>326</v>
      </c>
      <c r="F735" t="s">
        <v>324</v>
      </c>
      <c r="G735" t="s">
        <v>245</v>
      </c>
    </row>
    <row r="736" spans="1:7" x14ac:dyDescent="0.25">
      <c r="A736" t="s">
        <v>324</v>
      </c>
      <c r="B736" t="s">
        <v>150</v>
      </c>
      <c r="C736" s="4">
        <f>0.00154025450133466 * 1.95900546114384%</f>
        <v>3.0173669796659814E-5</v>
      </c>
      <c r="D736" t="s">
        <v>242</v>
      </c>
      <c r="E736" t="s">
        <v>289</v>
      </c>
      <c r="F736" t="s">
        <v>324</v>
      </c>
      <c r="G736" t="s">
        <v>245</v>
      </c>
    </row>
    <row r="737" spans="1:7" x14ac:dyDescent="0.25">
      <c r="A737" t="s">
        <v>324</v>
      </c>
      <c r="B737" t="s">
        <v>150</v>
      </c>
      <c r="C737" s="4">
        <f>4.63438553364394E-10 * 1.95900546114384%</f>
        <v>9.0787865694544883E-12</v>
      </c>
      <c r="D737" t="s">
        <v>256</v>
      </c>
      <c r="E737" t="s">
        <v>322</v>
      </c>
      <c r="F737" t="s">
        <v>324</v>
      </c>
      <c r="G737" t="s">
        <v>245</v>
      </c>
    </row>
    <row r="738" spans="1:7" x14ac:dyDescent="0.25">
      <c r="A738" t="s">
        <v>324</v>
      </c>
      <c r="B738" t="s">
        <v>150</v>
      </c>
      <c r="C738" s="4">
        <f>1.80533525994585E-09 * 1.95900546114384%</f>
        <v>3.5366616334294544E-11</v>
      </c>
      <c r="D738" t="s">
        <v>256</v>
      </c>
      <c r="E738" t="s">
        <v>323</v>
      </c>
      <c r="F738" t="s">
        <v>324</v>
      </c>
      <c r="G738" t="s">
        <v>245</v>
      </c>
    </row>
    <row r="739" spans="1:7" x14ac:dyDescent="0.25">
      <c r="A739" t="s">
        <v>324</v>
      </c>
      <c r="B739" t="s">
        <v>150</v>
      </c>
      <c r="C739" s="4">
        <f>0.000343246436607167 * 1.95900546114384%</f>
        <v>6.724216438316031E-6</v>
      </c>
      <c r="D739" t="s">
        <v>256</v>
      </c>
      <c r="E739" t="s">
        <v>280</v>
      </c>
      <c r="F739" t="s">
        <v>324</v>
      </c>
      <c r="G739" t="s">
        <v>245</v>
      </c>
    </row>
    <row r="740" spans="1:7" x14ac:dyDescent="0.25">
      <c r="A740" t="s">
        <v>324</v>
      </c>
      <c r="B740" t="s">
        <v>173</v>
      </c>
      <c r="C740" s="4">
        <f>0.212937718373242 * 0.0490449118739643%</f>
        <v>1.0443511632258683E-4</v>
      </c>
      <c r="D740" t="s">
        <v>242</v>
      </c>
      <c r="E740" t="s">
        <v>327</v>
      </c>
      <c r="F740" t="s">
        <v>324</v>
      </c>
      <c r="G740" t="s">
        <v>245</v>
      </c>
    </row>
    <row r="741" spans="1:7" x14ac:dyDescent="0.25">
      <c r="A741" t="s">
        <v>324</v>
      </c>
      <c r="B741" t="s">
        <v>173</v>
      </c>
      <c r="C741" s="4">
        <f>0.755584923910716 * 0.0490449118739643%</f>
        <v>3.7057596006497088E-4</v>
      </c>
      <c r="D741" t="s">
        <v>242</v>
      </c>
      <c r="E741" t="s">
        <v>326</v>
      </c>
      <c r="F741" t="s">
        <v>324</v>
      </c>
      <c r="G741" t="s">
        <v>245</v>
      </c>
    </row>
    <row r="742" spans="1:7" x14ac:dyDescent="0.25">
      <c r="A742" t="s">
        <v>324</v>
      </c>
      <c r="B742" t="s">
        <v>173</v>
      </c>
      <c r="C742" s="4">
        <f>0.00154025450133466 * 0.0490449118739643%</f>
        <v>7.554164628143523E-7</v>
      </c>
      <c r="D742" t="s">
        <v>242</v>
      </c>
      <c r="E742" t="s">
        <v>289</v>
      </c>
      <c r="F742" t="s">
        <v>324</v>
      </c>
      <c r="G742" t="s">
        <v>245</v>
      </c>
    </row>
    <row r="743" spans="1:7" x14ac:dyDescent="0.25">
      <c r="A743" t="s">
        <v>324</v>
      </c>
      <c r="B743" t="s">
        <v>173</v>
      </c>
      <c r="C743" s="4">
        <f>4.63438553364394E-10 * 0.0490449118739643%</f>
        <v>2.2729303008754206E-13</v>
      </c>
      <c r="D743" t="s">
        <v>256</v>
      </c>
      <c r="E743" t="s">
        <v>322</v>
      </c>
      <c r="F743" t="s">
        <v>324</v>
      </c>
      <c r="G743" t="s">
        <v>245</v>
      </c>
    </row>
    <row r="744" spans="1:7" x14ac:dyDescent="0.25">
      <c r="A744" t="s">
        <v>324</v>
      </c>
      <c r="B744" t="s">
        <v>173</v>
      </c>
      <c r="C744" s="4">
        <f>1.80533525994585E-09 * 0.0490449118739643%</f>
        <v>8.854250872700464E-13</v>
      </c>
      <c r="D744" t="s">
        <v>256</v>
      </c>
      <c r="E744" t="s">
        <v>323</v>
      </c>
      <c r="F744" t="s">
        <v>324</v>
      </c>
      <c r="G744" t="s">
        <v>245</v>
      </c>
    </row>
    <row r="745" spans="1:7" x14ac:dyDescent="0.25">
      <c r="A745" t="s">
        <v>324</v>
      </c>
      <c r="B745" t="s">
        <v>173</v>
      </c>
      <c r="C745" s="4">
        <f>0.000343246436607167 * 0.0490449118739643%</f>
        <v>1.683449123445078E-7</v>
      </c>
      <c r="D745" t="s">
        <v>256</v>
      </c>
      <c r="E745" t="s">
        <v>280</v>
      </c>
      <c r="F745" t="s">
        <v>324</v>
      </c>
      <c r="G745" t="s">
        <v>245</v>
      </c>
    </row>
    <row r="746" spans="1:7" x14ac:dyDescent="0.25">
      <c r="A746" t="s">
        <v>324</v>
      </c>
      <c r="B746" t="s">
        <v>174</v>
      </c>
      <c r="C746" s="4">
        <f>0.212937718373242 * 0.626686351994116%</f>
        <v>1.3344516192927748E-3</v>
      </c>
      <c r="D746" t="s">
        <v>242</v>
      </c>
      <c r="E746" t="s">
        <v>327</v>
      </c>
      <c r="F746" t="s">
        <v>324</v>
      </c>
      <c r="G746" t="s">
        <v>245</v>
      </c>
    </row>
    <row r="747" spans="1:7" x14ac:dyDescent="0.25">
      <c r="A747" t="s">
        <v>324</v>
      </c>
      <c r="B747" t="s">
        <v>174</v>
      </c>
      <c r="C747" s="4">
        <f>0.755584923910716 * 0.626686351994116%</f>
        <v>4.7351475958735834E-3</v>
      </c>
      <c r="D747" t="s">
        <v>242</v>
      </c>
      <c r="E747" t="s">
        <v>326</v>
      </c>
      <c r="F747" t="s">
        <v>324</v>
      </c>
      <c r="G747" t="s">
        <v>245</v>
      </c>
    </row>
    <row r="748" spans="1:7" x14ac:dyDescent="0.25">
      <c r="A748" t="s">
        <v>324</v>
      </c>
      <c r="B748" t="s">
        <v>174</v>
      </c>
      <c r="C748" s="4">
        <f>0.00154025450133466 * 0.626686351994116%</f>
        <v>9.6525647458393436E-6</v>
      </c>
      <c r="D748" t="s">
        <v>242</v>
      </c>
      <c r="E748" t="s">
        <v>289</v>
      </c>
      <c r="F748" t="s">
        <v>324</v>
      </c>
      <c r="G748" t="s">
        <v>245</v>
      </c>
    </row>
    <row r="749" spans="1:7" x14ac:dyDescent="0.25">
      <c r="A749" t="s">
        <v>324</v>
      </c>
      <c r="B749" t="s">
        <v>174</v>
      </c>
      <c r="C749" s="4">
        <f>4.63438553364394E-10 * 0.626686351994116%</f>
        <v>2.9043061638136254E-12</v>
      </c>
      <c r="D749" t="s">
        <v>256</v>
      </c>
      <c r="E749" t="s">
        <v>322</v>
      </c>
      <c r="F749" t="s">
        <v>324</v>
      </c>
      <c r="G749" t="s">
        <v>245</v>
      </c>
    </row>
    <row r="750" spans="1:7" x14ac:dyDescent="0.25">
      <c r="A750" t="s">
        <v>324</v>
      </c>
      <c r="B750" t="s">
        <v>174</v>
      </c>
      <c r="C750" s="4">
        <f>1.80533525994585E-09 * 0.626686351994116%</f>
        <v>1.131378968181814E-11</v>
      </c>
      <c r="D750" t="s">
        <v>256</v>
      </c>
      <c r="E750" t="s">
        <v>323</v>
      </c>
      <c r="F750" t="s">
        <v>324</v>
      </c>
      <c r="G750" t="s">
        <v>245</v>
      </c>
    </row>
    <row r="751" spans="1:7" x14ac:dyDescent="0.25">
      <c r="A751" t="s">
        <v>324</v>
      </c>
      <c r="B751" t="s">
        <v>174</v>
      </c>
      <c r="C751" s="4">
        <f>0.000343246436607167 * 0.626686351994116%</f>
        <v>2.151078571923251E-6</v>
      </c>
      <c r="D751" t="s">
        <v>256</v>
      </c>
      <c r="E751" t="s">
        <v>280</v>
      </c>
      <c r="F751" t="s">
        <v>324</v>
      </c>
      <c r="G751" t="s">
        <v>245</v>
      </c>
    </row>
    <row r="752" spans="1:7" x14ac:dyDescent="0.25">
      <c r="A752" t="s">
        <v>324</v>
      </c>
      <c r="B752" t="s">
        <v>175</v>
      </c>
      <c r="C752" s="4">
        <f>0.212937718373242 * 0.048985860156462%</f>
        <v>1.0430937294267721E-4</v>
      </c>
      <c r="D752" t="s">
        <v>242</v>
      </c>
      <c r="E752" t="s">
        <v>327</v>
      </c>
      <c r="F752" t="s">
        <v>324</v>
      </c>
      <c r="G752" t="s">
        <v>245</v>
      </c>
    </row>
    <row r="753" spans="1:7" x14ac:dyDescent="0.25">
      <c r="A753" t="s">
        <v>324</v>
      </c>
      <c r="B753" t="s">
        <v>175</v>
      </c>
      <c r="C753" s="4">
        <f>0.755584923910716 * 0.048985860156462%</f>
        <v>3.701297741902131E-4</v>
      </c>
      <c r="D753" t="s">
        <v>242</v>
      </c>
      <c r="E753" t="s">
        <v>326</v>
      </c>
      <c r="F753" t="s">
        <v>324</v>
      </c>
      <c r="G753" t="s">
        <v>245</v>
      </c>
    </row>
    <row r="754" spans="1:7" x14ac:dyDescent="0.25">
      <c r="A754" t="s">
        <v>324</v>
      </c>
      <c r="B754" t="s">
        <v>175</v>
      </c>
      <c r="C754" s="4">
        <f>0.00154025450133466 * 0.048985860156462%</f>
        <v>7.5450691607740762E-7</v>
      </c>
      <c r="D754" t="s">
        <v>242</v>
      </c>
      <c r="E754" t="s">
        <v>289</v>
      </c>
      <c r="F754" t="s">
        <v>324</v>
      </c>
      <c r="G754" t="s">
        <v>245</v>
      </c>
    </row>
    <row r="755" spans="1:7" x14ac:dyDescent="0.25">
      <c r="A755" t="s">
        <v>324</v>
      </c>
      <c r="B755" t="s">
        <v>175</v>
      </c>
      <c r="C755" s="4">
        <f>4.63438553364394E-10 * 0.048985860156462%</f>
        <v>2.2701936166221254E-13</v>
      </c>
      <c r="D755" t="s">
        <v>256</v>
      </c>
      <c r="E755" t="s">
        <v>322</v>
      </c>
      <c r="F755" t="s">
        <v>324</v>
      </c>
      <c r="G755" t="s">
        <v>245</v>
      </c>
    </row>
    <row r="756" spans="1:7" x14ac:dyDescent="0.25">
      <c r="A756" t="s">
        <v>324</v>
      </c>
      <c r="B756" t="s">
        <v>175</v>
      </c>
      <c r="C756" s="4">
        <f>1.80533525994585E-09 * 0.048985860156462%</f>
        <v>8.8435900579237375E-13</v>
      </c>
      <c r="D756" t="s">
        <v>256</v>
      </c>
      <c r="E756" t="s">
        <v>323</v>
      </c>
      <c r="F756" t="s">
        <v>324</v>
      </c>
      <c r="G756" t="s">
        <v>245</v>
      </c>
    </row>
    <row r="757" spans="1:7" x14ac:dyDescent="0.25">
      <c r="A757" t="s">
        <v>324</v>
      </c>
      <c r="B757" t="s">
        <v>175</v>
      </c>
      <c r="C757" s="4">
        <f>0.000343246436607167 * 0.048985860156462%</f>
        <v>1.681422194284258E-7</v>
      </c>
      <c r="D757" t="s">
        <v>256</v>
      </c>
      <c r="E757" t="s">
        <v>280</v>
      </c>
      <c r="F757" t="s">
        <v>324</v>
      </c>
      <c r="G757" t="s">
        <v>245</v>
      </c>
    </row>
    <row r="758" spans="1:7" x14ac:dyDescent="0.25">
      <c r="A758" t="s">
        <v>324</v>
      </c>
      <c r="B758" t="s">
        <v>176</v>
      </c>
      <c r="C758" s="4">
        <f>0.212937718373242 * 0.00317156932752421%</f>
        <v>6.7534673626556278E-6</v>
      </c>
      <c r="D758" t="s">
        <v>242</v>
      </c>
      <c r="E758" t="s">
        <v>327</v>
      </c>
      <c r="F758" t="s">
        <v>324</v>
      </c>
      <c r="G758" t="s">
        <v>245</v>
      </c>
    </row>
    <row r="759" spans="1:7" x14ac:dyDescent="0.25">
      <c r="A759" t="s">
        <v>324</v>
      </c>
      <c r="B759" t="s">
        <v>176</v>
      </c>
      <c r="C759" s="4">
        <f>0.755584923910716 * 0.00317156932752421%</f>
        <v>2.3963899690149411E-5</v>
      </c>
      <c r="D759" t="s">
        <v>242</v>
      </c>
      <c r="E759" t="s">
        <v>326</v>
      </c>
      <c r="F759" t="s">
        <v>324</v>
      </c>
      <c r="G759" t="s">
        <v>245</v>
      </c>
    </row>
    <row r="760" spans="1:7" x14ac:dyDescent="0.25">
      <c r="A760" t="s">
        <v>324</v>
      </c>
      <c r="B760" t="s">
        <v>176</v>
      </c>
      <c r="C760" s="4">
        <f>0.00154025450133466 * 0.00317156932752421%</f>
        <v>4.8850239330141055E-8</v>
      </c>
      <c r="D760" t="s">
        <v>242</v>
      </c>
      <c r="E760" t="s">
        <v>289</v>
      </c>
      <c r="F760" t="s">
        <v>324</v>
      </c>
      <c r="G760" t="s">
        <v>245</v>
      </c>
    </row>
    <row r="761" spans="1:7" x14ac:dyDescent="0.25">
      <c r="A761" t="s">
        <v>324</v>
      </c>
      <c r="B761" t="s">
        <v>176</v>
      </c>
      <c r="C761" s="4">
        <f>4.63438553364394E-10 * 0.00317156932752421%</f>
        <v>1.4698275010427038E-14</v>
      </c>
      <c r="D761" t="s">
        <v>256</v>
      </c>
      <c r="E761" t="s">
        <v>322</v>
      </c>
      <c r="F761" t="s">
        <v>324</v>
      </c>
      <c r="G761" t="s">
        <v>245</v>
      </c>
    </row>
    <row r="762" spans="1:7" x14ac:dyDescent="0.25">
      <c r="A762" t="s">
        <v>324</v>
      </c>
      <c r="B762" t="s">
        <v>176</v>
      </c>
      <c r="C762" s="4">
        <f>1.80533525994585E-09 * 0.00317156932752421%</f>
        <v>5.7257459363422044E-14</v>
      </c>
      <c r="D762" t="s">
        <v>256</v>
      </c>
      <c r="E762" t="s">
        <v>323</v>
      </c>
      <c r="F762" t="s">
        <v>324</v>
      </c>
      <c r="G762" t="s">
        <v>245</v>
      </c>
    </row>
    <row r="763" spans="1:7" x14ac:dyDescent="0.25">
      <c r="A763" t="s">
        <v>324</v>
      </c>
      <c r="B763" t="s">
        <v>176</v>
      </c>
      <c r="C763" s="4">
        <f>0.000343246436607167 * 0.00317156932752421%</f>
        <v>1.088629870125274E-8</v>
      </c>
      <c r="D763" t="s">
        <v>256</v>
      </c>
      <c r="E763" t="s">
        <v>280</v>
      </c>
      <c r="F763" t="s">
        <v>324</v>
      </c>
      <c r="G763" t="s">
        <v>245</v>
      </c>
    </row>
    <row r="764" spans="1:7" x14ac:dyDescent="0.25">
      <c r="A764" t="s">
        <v>324</v>
      </c>
      <c r="B764" t="s">
        <v>132</v>
      </c>
      <c r="C764" s="4">
        <f>0.212937718373242 * 0.0868609756323006%</f>
        <v>1.849597796681586E-4</v>
      </c>
      <c r="D764" t="s">
        <v>242</v>
      </c>
      <c r="E764" t="s">
        <v>327</v>
      </c>
      <c r="F764" t="s">
        <v>324</v>
      </c>
      <c r="G764" t="s">
        <v>245</v>
      </c>
    </row>
    <row r="765" spans="1:7" x14ac:dyDescent="0.25">
      <c r="A765" t="s">
        <v>324</v>
      </c>
      <c r="B765" t="s">
        <v>132</v>
      </c>
      <c r="C765" s="4">
        <f>0.755584923910716 * 0.0868609756323006%</f>
        <v>6.5630843663942403E-4</v>
      </c>
      <c r="D765" t="s">
        <v>242</v>
      </c>
      <c r="E765" t="s">
        <v>326</v>
      </c>
      <c r="F765" t="s">
        <v>324</v>
      </c>
      <c r="G765" t="s">
        <v>245</v>
      </c>
    </row>
    <row r="766" spans="1:7" x14ac:dyDescent="0.25">
      <c r="A766" t="s">
        <v>324</v>
      </c>
      <c r="B766" t="s">
        <v>132</v>
      </c>
      <c r="C766" s="4">
        <f>0.00154025450133466 * 0.0868609756323006%</f>
        <v>1.3378800870797122E-6</v>
      </c>
      <c r="D766" t="s">
        <v>242</v>
      </c>
      <c r="E766" t="s">
        <v>289</v>
      </c>
      <c r="F766" t="s">
        <v>324</v>
      </c>
      <c r="G766" t="s">
        <v>245</v>
      </c>
    </row>
    <row r="767" spans="1:7" x14ac:dyDescent="0.25">
      <c r="A767" t="s">
        <v>324</v>
      </c>
      <c r="B767" t="s">
        <v>132</v>
      </c>
      <c r="C767" s="4">
        <f>4.63438553364394E-10 * 0.0868609756323006%</f>
        <v>4.0254724890853267E-13</v>
      </c>
      <c r="D767" t="s">
        <v>256</v>
      </c>
      <c r="E767" t="s">
        <v>322</v>
      </c>
      <c r="F767" t="s">
        <v>324</v>
      </c>
      <c r="G767" t="s">
        <v>245</v>
      </c>
    </row>
    <row r="768" spans="1:7" x14ac:dyDescent="0.25">
      <c r="A768" t="s">
        <v>324</v>
      </c>
      <c r="B768" t="s">
        <v>132</v>
      </c>
      <c r="C768" s="4">
        <f>1.80533525994585E-09 * 0.0868609756323006%</f>
        <v>1.5681318202228954E-12</v>
      </c>
      <c r="D768" t="s">
        <v>256</v>
      </c>
      <c r="E768" t="s">
        <v>323</v>
      </c>
      <c r="F768" t="s">
        <v>324</v>
      </c>
      <c r="G768" t="s">
        <v>245</v>
      </c>
    </row>
    <row r="769" spans="1:7" x14ac:dyDescent="0.25">
      <c r="A769" t="s">
        <v>324</v>
      </c>
      <c r="B769" t="s">
        <v>132</v>
      </c>
      <c r="C769" s="4">
        <f>0.000343246436607167 * 0.0868609756323006%</f>
        <v>2.9814720366009142E-7</v>
      </c>
      <c r="D769" t="s">
        <v>256</v>
      </c>
      <c r="E769" t="s">
        <v>280</v>
      </c>
      <c r="F769" t="s">
        <v>324</v>
      </c>
      <c r="G769" t="s">
        <v>245</v>
      </c>
    </row>
    <row r="770" spans="1:7" x14ac:dyDescent="0.25">
      <c r="A770" t="s">
        <v>324</v>
      </c>
      <c r="B770" t="s">
        <v>133</v>
      </c>
      <c r="C770" s="4">
        <f>0.212937718373242 * 0.000216522964175431%</f>
        <v>4.6105905966927499E-7</v>
      </c>
      <c r="D770" t="s">
        <v>242</v>
      </c>
      <c r="E770" t="s">
        <v>327</v>
      </c>
      <c r="F770" t="s">
        <v>324</v>
      </c>
      <c r="G770" t="s">
        <v>245</v>
      </c>
    </row>
    <row r="771" spans="1:7" x14ac:dyDescent="0.25">
      <c r="A771" t="s">
        <v>324</v>
      </c>
      <c r="B771" t="s">
        <v>133</v>
      </c>
      <c r="C771" s="4">
        <f>0.755584923910716 * 0.000216522964175431%</f>
        <v>1.6360148741141572E-6</v>
      </c>
      <c r="D771" t="s">
        <v>242</v>
      </c>
      <c r="E771" t="s">
        <v>326</v>
      </c>
      <c r="F771" t="s">
        <v>324</v>
      </c>
      <c r="G771" t="s">
        <v>245</v>
      </c>
    </row>
    <row r="772" spans="1:7" x14ac:dyDescent="0.25">
      <c r="A772" t="s">
        <v>324</v>
      </c>
      <c r="B772" t="s">
        <v>133</v>
      </c>
      <c r="C772" s="4">
        <f>0.00154025450133466 * 0.000216522964175431%</f>
        <v>3.3350047021353097E-9</v>
      </c>
      <c r="D772" t="s">
        <v>242</v>
      </c>
      <c r="E772" t="s">
        <v>289</v>
      </c>
      <c r="F772" t="s">
        <v>324</v>
      </c>
      <c r="G772" t="s">
        <v>245</v>
      </c>
    </row>
    <row r="773" spans="1:7" x14ac:dyDescent="0.25">
      <c r="A773" t="s">
        <v>324</v>
      </c>
      <c r="B773" t="s">
        <v>133</v>
      </c>
      <c r="C773" s="4">
        <f>4.63438553364394E-10 * 0.000216522964175431%</f>
        <v>1.0034508928763225E-15</v>
      </c>
      <c r="D773" t="s">
        <v>256</v>
      </c>
      <c r="E773" t="s">
        <v>322</v>
      </c>
      <c r="F773" t="s">
        <v>324</v>
      </c>
      <c r="G773" t="s">
        <v>245</v>
      </c>
    </row>
    <row r="774" spans="1:7" x14ac:dyDescent="0.25">
      <c r="A774" t="s">
        <v>324</v>
      </c>
      <c r="B774" t="s">
        <v>133</v>
      </c>
      <c r="C774" s="4">
        <f>1.80533525994585E-09 * 0.000216522964175431%</f>
        <v>3.9089654181389771E-15</v>
      </c>
      <c r="D774" t="s">
        <v>256</v>
      </c>
      <c r="E774" t="s">
        <v>323</v>
      </c>
      <c r="F774" t="s">
        <v>324</v>
      </c>
      <c r="G774" t="s">
        <v>245</v>
      </c>
    </row>
    <row r="775" spans="1:7" x14ac:dyDescent="0.25">
      <c r="A775" t="s">
        <v>324</v>
      </c>
      <c r="B775" t="s">
        <v>133</v>
      </c>
      <c r="C775" s="4">
        <f>0.000343246436607167 * 0.000216522964175431%</f>
        <v>7.4320735896837972E-10</v>
      </c>
      <c r="D775" t="s">
        <v>256</v>
      </c>
      <c r="E775" t="s">
        <v>280</v>
      </c>
      <c r="F775" t="s">
        <v>324</v>
      </c>
      <c r="G775" t="s">
        <v>245</v>
      </c>
    </row>
    <row r="776" spans="1:7" x14ac:dyDescent="0.25">
      <c r="A776" t="s">
        <v>324</v>
      </c>
      <c r="B776" t="s">
        <v>146</v>
      </c>
      <c r="C776" s="4">
        <f>0.212937718373242 * 1.33487145560622%</f>
        <v>2.8424448207835691E-3</v>
      </c>
      <c r="D776" t="s">
        <v>242</v>
      </c>
      <c r="E776" t="s">
        <v>327</v>
      </c>
      <c r="F776" t="s">
        <v>324</v>
      </c>
      <c r="G776" t="s">
        <v>245</v>
      </c>
    </row>
    <row r="777" spans="1:7" x14ac:dyDescent="0.25">
      <c r="A777" t="s">
        <v>324</v>
      </c>
      <c r="B777" t="s">
        <v>146</v>
      </c>
      <c r="C777" s="4">
        <f>0.755584923910716 * 1.33487145560622%</f>
        <v>1.0086087472148125E-2</v>
      </c>
      <c r="D777" t="s">
        <v>242</v>
      </c>
      <c r="E777" t="s">
        <v>326</v>
      </c>
      <c r="F777" t="s">
        <v>324</v>
      </c>
      <c r="G777" t="s">
        <v>245</v>
      </c>
    </row>
    <row r="778" spans="1:7" x14ac:dyDescent="0.25">
      <c r="A778" t="s">
        <v>324</v>
      </c>
      <c r="B778" t="s">
        <v>146</v>
      </c>
      <c r="C778" s="4">
        <f>0.00154025450133466 * 1.33487145560622%</f>
        <v>2.0560417682006301E-5</v>
      </c>
      <c r="D778" t="s">
        <v>242</v>
      </c>
      <c r="E778" t="s">
        <v>289</v>
      </c>
      <c r="F778" t="s">
        <v>324</v>
      </c>
      <c r="G778" t="s">
        <v>245</v>
      </c>
    </row>
    <row r="779" spans="1:7" x14ac:dyDescent="0.25">
      <c r="A779" t="s">
        <v>324</v>
      </c>
      <c r="B779" t="s">
        <v>146</v>
      </c>
      <c r="C779" s="4">
        <f>4.63438553364394E-10 * 1.33487145560622%</f>
        <v>6.1863089631356947E-12</v>
      </c>
      <c r="D779" t="s">
        <v>256</v>
      </c>
      <c r="E779" t="s">
        <v>322</v>
      </c>
      <c r="F779" t="s">
        <v>324</v>
      </c>
      <c r="G779" t="s">
        <v>245</v>
      </c>
    </row>
    <row r="780" spans="1:7" x14ac:dyDescent="0.25">
      <c r="A780" t="s">
        <v>324</v>
      </c>
      <c r="B780" t="s">
        <v>146</v>
      </c>
      <c r="C780" s="4">
        <f>1.80533525994585E-09 * 1.33487145560622%</f>
        <v>2.4098905063011505E-11</v>
      </c>
      <c r="D780" t="s">
        <v>256</v>
      </c>
      <c r="E780" t="s">
        <v>323</v>
      </c>
      <c r="F780" t="s">
        <v>324</v>
      </c>
      <c r="G780" t="s">
        <v>245</v>
      </c>
    </row>
    <row r="781" spans="1:7" x14ac:dyDescent="0.25">
      <c r="A781" t="s">
        <v>324</v>
      </c>
      <c r="B781" t="s">
        <v>146</v>
      </c>
      <c r="C781" s="4">
        <f>0.000343246436607167 * 1.33487145560622%</f>
        <v>4.5818987046545715E-6</v>
      </c>
      <c r="D781" t="s">
        <v>256</v>
      </c>
      <c r="E781" t="s">
        <v>280</v>
      </c>
      <c r="F781" t="s">
        <v>324</v>
      </c>
      <c r="G781" t="s">
        <v>245</v>
      </c>
    </row>
    <row r="782" spans="1:7" x14ac:dyDescent="0.25">
      <c r="A782" t="s">
        <v>324</v>
      </c>
      <c r="B782" t="s">
        <v>156</v>
      </c>
      <c r="C782" s="4">
        <f>0.212937718373242 * 0.843688291211511%</f>
        <v>1.7965305974879853E-3</v>
      </c>
      <c r="D782" t="s">
        <v>242</v>
      </c>
      <c r="E782" t="s">
        <v>327</v>
      </c>
      <c r="F782" t="s">
        <v>324</v>
      </c>
      <c r="G782" t="s">
        <v>245</v>
      </c>
    </row>
    <row r="783" spans="1:7" x14ac:dyDescent="0.25">
      <c r="A783" t="s">
        <v>324</v>
      </c>
      <c r="B783" t="s">
        <v>156</v>
      </c>
      <c r="C783" s="4">
        <f>0.755584923910716 * 0.843688291211511%</f>
        <v>6.374781533194116E-3</v>
      </c>
      <c r="D783" t="s">
        <v>242</v>
      </c>
      <c r="E783" t="s">
        <v>326</v>
      </c>
      <c r="F783" t="s">
        <v>324</v>
      </c>
      <c r="G783" t="s">
        <v>245</v>
      </c>
    </row>
    <row r="784" spans="1:7" x14ac:dyDescent="0.25">
      <c r="A784" t="s">
        <v>324</v>
      </c>
      <c r="B784" t="s">
        <v>156</v>
      </c>
      <c r="C784" s="4">
        <f>0.00154025450133466 * 0.843688291211511%</f>
        <v>1.2994946882618774E-5</v>
      </c>
      <c r="D784" t="s">
        <v>242</v>
      </c>
      <c r="E784" t="s">
        <v>289</v>
      </c>
      <c r="F784" t="s">
        <v>324</v>
      </c>
      <c r="G784" t="s">
        <v>245</v>
      </c>
    </row>
    <row r="785" spans="1:7" x14ac:dyDescent="0.25">
      <c r="A785" t="s">
        <v>324</v>
      </c>
      <c r="B785" t="s">
        <v>156</v>
      </c>
      <c r="C785" s="4">
        <f>4.63438553364394E-10 * 0.843688291211511%</f>
        <v>3.9099768116954021E-12</v>
      </c>
      <c r="D785" t="s">
        <v>256</v>
      </c>
      <c r="E785" t="s">
        <v>322</v>
      </c>
      <c r="F785" t="s">
        <v>324</v>
      </c>
      <c r="G785" t="s">
        <v>245</v>
      </c>
    </row>
    <row r="786" spans="1:7" x14ac:dyDescent="0.25">
      <c r="A786" t="s">
        <v>324</v>
      </c>
      <c r="B786" t="s">
        <v>156</v>
      </c>
      <c r="C786" s="4">
        <f>1.80533525994585E-09 * 0.843688291211511%</f>
        <v>1.5231402205276033E-11</v>
      </c>
      <c r="D786" t="s">
        <v>256</v>
      </c>
      <c r="E786" t="s">
        <v>323</v>
      </c>
      <c r="F786" t="s">
        <v>324</v>
      </c>
      <c r="G786" t="s">
        <v>245</v>
      </c>
    </row>
    <row r="787" spans="1:7" x14ac:dyDescent="0.25">
      <c r="A787" t="s">
        <v>324</v>
      </c>
      <c r="B787" t="s">
        <v>156</v>
      </c>
      <c r="C787" s="4">
        <f>0.000343246436607167 * 0.843688291211511%</f>
        <v>2.8959299956554097E-6</v>
      </c>
      <c r="D787" t="s">
        <v>256</v>
      </c>
      <c r="E787" t="s">
        <v>280</v>
      </c>
      <c r="F787" t="s">
        <v>324</v>
      </c>
      <c r="G787" t="s">
        <v>245</v>
      </c>
    </row>
    <row r="788" spans="1:7" x14ac:dyDescent="0.25">
      <c r="A788" t="s">
        <v>324</v>
      </c>
      <c r="B788" t="s">
        <v>151</v>
      </c>
      <c r="C788" s="4">
        <f>0.212937718373242 * 2.236883979967%</f>
        <v>4.7631697095982979E-3</v>
      </c>
      <c r="D788" t="s">
        <v>242</v>
      </c>
      <c r="E788" t="s">
        <v>327</v>
      </c>
      <c r="F788" t="s">
        <v>324</v>
      </c>
      <c r="G788" t="s">
        <v>245</v>
      </c>
    </row>
    <row r="789" spans="1:7" x14ac:dyDescent="0.25">
      <c r="A789" t="s">
        <v>324</v>
      </c>
      <c r="B789" t="s">
        <v>151</v>
      </c>
      <c r="C789" s="4">
        <f>0.755584923910716 * 2.236883979967%</f>
        <v>1.6901558118004652E-2</v>
      </c>
      <c r="D789" t="s">
        <v>242</v>
      </c>
      <c r="E789" t="s">
        <v>326</v>
      </c>
      <c r="F789" t="s">
        <v>324</v>
      </c>
      <c r="G789" t="s">
        <v>245</v>
      </c>
    </row>
    <row r="790" spans="1:7" x14ac:dyDescent="0.25">
      <c r="A790" t="s">
        <v>324</v>
      </c>
      <c r="B790" t="s">
        <v>151</v>
      </c>
      <c r="C790" s="4">
        <f>0.00154025450133466 * 2.236883979967%</f>
        <v>3.4453706191075612E-5</v>
      </c>
      <c r="D790" t="s">
        <v>242</v>
      </c>
      <c r="E790" t="s">
        <v>289</v>
      </c>
      <c r="F790" t="s">
        <v>324</v>
      </c>
      <c r="G790" t="s">
        <v>245</v>
      </c>
    </row>
    <row r="791" spans="1:7" x14ac:dyDescent="0.25">
      <c r="A791" t="s">
        <v>324</v>
      </c>
      <c r="B791" t="s">
        <v>151</v>
      </c>
      <c r="C791" s="4">
        <f>4.63438553364394E-10 * 2.236883979967%</f>
        <v>1.0366582757198947E-11</v>
      </c>
      <c r="D791" t="s">
        <v>256</v>
      </c>
      <c r="E791" t="s">
        <v>322</v>
      </c>
      <c r="F791" t="s">
        <v>324</v>
      </c>
      <c r="G791" t="s">
        <v>245</v>
      </c>
    </row>
    <row r="792" spans="1:7" x14ac:dyDescent="0.25">
      <c r="A792" t="s">
        <v>324</v>
      </c>
      <c r="B792" t="s">
        <v>151</v>
      </c>
      <c r="C792" s="4">
        <f>1.80533525994585E-09 * 2.236883979967%</f>
        <v>4.0383255214424316E-11</v>
      </c>
      <c r="D792" t="s">
        <v>256</v>
      </c>
      <c r="E792" t="s">
        <v>323</v>
      </c>
      <c r="F792" t="s">
        <v>324</v>
      </c>
      <c r="G792" t="s">
        <v>245</v>
      </c>
    </row>
    <row r="793" spans="1:7" x14ac:dyDescent="0.25">
      <c r="A793" t="s">
        <v>324</v>
      </c>
      <c r="B793" t="s">
        <v>151</v>
      </c>
      <c r="C793" s="4">
        <f>0.000343246436607167 * 2.236883979967%</f>
        <v>7.6780245522733038E-6</v>
      </c>
      <c r="D793" t="s">
        <v>256</v>
      </c>
      <c r="E793" t="s">
        <v>280</v>
      </c>
      <c r="F793" t="s">
        <v>324</v>
      </c>
      <c r="G793" t="s">
        <v>245</v>
      </c>
    </row>
    <row r="794" spans="1:7" x14ac:dyDescent="0.25">
      <c r="A794" t="s">
        <v>324</v>
      </c>
      <c r="B794" t="s">
        <v>107</v>
      </c>
      <c r="C794" s="4">
        <f>0.212937718373242 * 4.2221978014209%</f>
        <v>8.9906516635508502E-3</v>
      </c>
      <c r="D794" t="s">
        <v>242</v>
      </c>
      <c r="E794" t="s">
        <v>327</v>
      </c>
      <c r="F794" t="s">
        <v>324</v>
      </c>
      <c r="G794" t="s">
        <v>245</v>
      </c>
    </row>
    <row r="795" spans="1:7" x14ac:dyDescent="0.25">
      <c r="A795" t="s">
        <v>324</v>
      </c>
      <c r="B795" t="s">
        <v>107</v>
      </c>
      <c r="C795" s="4">
        <f>0.755584923910716 * 4.2221978014209%</f>
        <v>3.1902290045226024E-2</v>
      </c>
      <c r="D795" t="s">
        <v>242</v>
      </c>
      <c r="E795" t="s">
        <v>326</v>
      </c>
      <c r="F795" t="s">
        <v>324</v>
      </c>
      <c r="G795" t="s">
        <v>245</v>
      </c>
    </row>
    <row r="796" spans="1:7" x14ac:dyDescent="0.25">
      <c r="A796" t="s">
        <v>324</v>
      </c>
      <c r="B796" t="s">
        <v>107</v>
      </c>
      <c r="C796" s="4">
        <f>0.00154025450133466 * 4.2221978014209%</f>
        <v>6.5032591691638458E-5</v>
      </c>
      <c r="D796" t="s">
        <v>242</v>
      </c>
      <c r="E796" t="s">
        <v>289</v>
      </c>
      <c r="F796" t="s">
        <v>324</v>
      </c>
      <c r="G796" t="s">
        <v>245</v>
      </c>
    </row>
    <row r="797" spans="1:7" x14ac:dyDescent="0.25">
      <c r="A797" t="s">
        <v>324</v>
      </c>
      <c r="B797" t="s">
        <v>107</v>
      </c>
      <c r="C797" s="4">
        <f>4.63438553364394E-10 * 4.2221978014209%</f>
        <v>1.9567292411088267E-11</v>
      </c>
      <c r="D797" t="s">
        <v>256</v>
      </c>
      <c r="E797" t="s">
        <v>322</v>
      </c>
      <c r="F797" t="s">
        <v>324</v>
      </c>
      <c r="G797" t="s">
        <v>245</v>
      </c>
    </row>
    <row r="798" spans="1:7" x14ac:dyDescent="0.25">
      <c r="A798" t="s">
        <v>324</v>
      </c>
      <c r="B798" t="s">
        <v>107</v>
      </c>
      <c r="C798" s="4">
        <f>1.80533525994585E-09 * 4.2221978014209%</f>
        <v>7.6224825653709952E-11</v>
      </c>
      <c r="D798" t="s">
        <v>256</v>
      </c>
      <c r="E798" t="s">
        <v>323</v>
      </c>
      <c r="F798" t="s">
        <v>324</v>
      </c>
      <c r="G798" t="s">
        <v>245</v>
      </c>
    </row>
    <row r="799" spans="1:7" x14ac:dyDescent="0.25">
      <c r="A799" t="s">
        <v>324</v>
      </c>
      <c r="B799" t="s">
        <v>107</v>
      </c>
      <c r="C799" s="4">
        <f>0.000343246436607167 * 4.2221978014209%</f>
        <v>1.4492543499883387E-5</v>
      </c>
      <c r="D799" t="s">
        <v>256</v>
      </c>
      <c r="E799" t="s">
        <v>280</v>
      </c>
      <c r="F799" t="s">
        <v>324</v>
      </c>
      <c r="G799" t="s">
        <v>245</v>
      </c>
    </row>
    <row r="800" spans="1:7" x14ac:dyDescent="0.25">
      <c r="A800" t="s">
        <v>324</v>
      </c>
      <c r="B800" t="s">
        <v>179</v>
      </c>
      <c r="C800" s="4">
        <f>0.212937718373242 * 0.261260381322693%</f>
        <v>5.5632189500177411E-4</v>
      </c>
      <c r="D800" t="s">
        <v>242</v>
      </c>
      <c r="E800" t="s">
        <v>327</v>
      </c>
      <c r="F800" t="s">
        <v>324</v>
      </c>
      <c r="G800" t="s">
        <v>245</v>
      </c>
    </row>
    <row r="801" spans="1:7" x14ac:dyDescent="0.25">
      <c r="A801" t="s">
        <v>324</v>
      </c>
      <c r="B801" t="s">
        <v>179</v>
      </c>
      <c r="C801" s="4">
        <f>0.755584923910716 * 0.261260381322693%</f>
        <v>1.9740440534259164E-3</v>
      </c>
      <c r="D801" t="s">
        <v>242</v>
      </c>
      <c r="E801" t="s">
        <v>326</v>
      </c>
      <c r="F801" t="s">
        <v>324</v>
      </c>
      <c r="G801" t="s">
        <v>245</v>
      </c>
    </row>
    <row r="802" spans="1:7" x14ac:dyDescent="0.25">
      <c r="A802" t="s">
        <v>324</v>
      </c>
      <c r="B802" t="s">
        <v>179</v>
      </c>
      <c r="C802" s="4">
        <f>0.00154025450133466 * 0.261260381322693%</f>
        <v>4.0240747835268764E-6</v>
      </c>
      <c r="D802" t="s">
        <v>242</v>
      </c>
      <c r="E802" t="s">
        <v>289</v>
      </c>
      <c r="F802" t="s">
        <v>324</v>
      </c>
      <c r="G802" t="s">
        <v>245</v>
      </c>
    </row>
    <row r="803" spans="1:7" x14ac:dyDescent="0.25">
      <c r="A803" t="s">
        <v>324</v>
      </c>
      <c r="B803" t="s">
        <v>179</v>
      </c>
      <c r="C803" s="4">
        <f>4.63438553364394E-10 * 0.261260381322693%</f>
        <v>1.2107813317161877E-12</v>
      </c>
      <c r="D803" t="s">
        <v>256</v>
      </c>
      <c r="E803" t="s">
        <v>322</v>
      </c>
      <c r="F803" t="s">
        <v>324</v>
      </c>
      <c r="G803" t="s">
        <v>245</v>
      </c>
    </row>
    <row r="804" spans="1:7" x14ac:dyDescent="0.25">
      <c r="A804" t="s">
        <v>324</v>
      </c>
      <c r="B804" t="s">
        <v>179</v>
      </c>
      <c r="C804" s="4">
        <f>1.80533525994585E-09 * 0.261260381322693%</f>
        <v>4.7166257842875587E-12</v>
      </c>
      <c r="D804" t="s">
        <v>256</v>
      </c>
      <c r="E804" t="s">
        <v>323</v>
      </c>
      <c r="F804" t="s">
        <v>324</v>
      </c>
      <c r="G804" t="s">
        <v>245</v>
      </c>
    </row>
    <row r="805" spans="1:7" x14ac:dyDescent="0.25">
      <c r="A805" t="s">
        <v>324</v>
      </c>
      <c r="B805" t="s">
        <v>179</v>
      </c>
      <c r="C805" s="4">
        <f>0.000343246436607167 * 0.261260381322693%</f>
        <v>8.9676694915644021E-7</v>
      </c>
      <c r="D805" t="s">
        <v>256</v>
      </c>
      <c r="E805" t="s">
        <v>280</v>
      </c>
      <c r="F805" t="s">
        <v>324</v>
      </c>
      <c r="G805" t="s">
        <v>245</v>
      </c>
    </row>
    <row r="806" spans="1:7" x14ac:dyDescent="0.25">
      <c r="A806" t="s">
        <v>324</v>
      </c>
      <c r="B806" t="s">
        <v>137</v>
      </c>
      <c r="C806" s="4">
        <f>0.212937718373242 * 0.131636120265745%</f>
        <v>2.8030295104893423E-4</v>
      </c>
      <c r="D806" t="s">
        <v>242</v>
      </c>
      <c r="E806" t="s">
        <v>327</v>
      </c>
      <c r="F806" t="s">
        <v>324</v>
      </c>
      <c r="G806" t="s">
        <v>245</v>
      </c>
    </row>
    <row r="807" spans="1:7" x14ac:dyDescent="0.25">
      <c r="A807" t="s">
        <v>324</v>
      </c>
      <c r="B807" t="s">
        <v>137</v>
      </c>
      <c r="C807" s="4">
        <f>0.755584923910716 * 0.131636120265745%</f>
        <v>9.9462267914894793E-4</v>
      </c>
      <c r="D807" t="s">
        <v>242</v>
      </c>
      <c r="E807" t="s">
        <v>326</v>
      </c>
      <c r="F807" t="s">
        <v>324</v>
      </c>
      <c r="G807" t="s">
        <v>245</v>
      </c>
    </row>
    <row r="808" spans="1:7" x14ac:dyDescent="0.25">
      <c r="A808" t="s">
        <v>324</v>
      </c>
      <c r="B808" t="s">
        <v>137</v>
      </c>
      <c r="C808" s="4">
        <f>0.00154025450133466 * 0.131636120265745%</f>
        <v>2.0275312677754439E-6</v>
      </c>
      <c r="D808" t="s">
        <v>242</v>
      </c>
      <c r="E808" t="s">
        <v>289</v>
      </c>
      <c r="F808" t="s">
        <v>324</v>
      </c>
      <c r="G808" t="s">
        <v>245</v>
      </c>
    </row>
    <row r="809" spans="1:7" x14ac:dyDescent="0.25">
      <c r="A809" t="s">
        <v>324</v>
      </c>
      <c r="B809" t="s">
        <v>137</v>
      </c>
      <c r="C809" s="4">
        <f>4.63438553364394E-10 * 0.131636120265745%</f>
        <v>6.1005253146458254E-13</v>
      </c>
      <c r="D809" t="s">
        <v>256</v>
      </c>
      <c r="E809" t="s">
        <v>322</v>
      </c>
      <c r="F809" t="s">
        <v>324</v>
      </c>
      <c r="G809" t="s">
        <v>245</v>
      </c>
    </row>
    <row r="810" spans="1:7" x14ac:dyDescent="0.25">
      <c r="A810" t="s">
        <v>324</v>
      </c>
      <c r="B810" t="s">
        <v>137</v>
      </c>
      <c r="C810" s="4">
        <f>1.80533525994585E-09 * 0.131636120265745%</f>
        <v>2.3764732939822192E-12</v>
      </c>
      <c r="D810" t="s">
        <v>256</v>
      </c>
      <c r="E810" t="s">
        <v>323</v>
      </c>
      <c r="F810" t="s">
        <v>324</v>
      </c>
      <c r="G810" t="s">
        <v>245</v>
      </c>
    </row>
    <row r="811" spans="1:7" x14ac:dyDescent="0.25">
      <c r="A811" t="s">
        <v>324</v>
      </c>
      <c r="B811" t="s">
        <v>137</v>
      </c>
      <c r="C811" s="4">
        <f>0.000343246436607167 * 0.131636120265745%</f>
        <v>4.5183629210009457E-7</v>
      </c>
      <c r="D811" t="s">
        <v>256</v>
      </c>
      <c r="E811" t="s">
        <v>280</v>
      </c>
      <c r="F811" t="s">
        <v>324</v>
      </c>
      <c r="G811" t="s">
        <v>245</v>
      </c>
    </row>
    <row r="812" spans="1:7" x14ac:dyDescent="0.25">
      <c r="A812" t="s">
        <v>324</v>
      </c>
      <c r="B812" t="s">
        <v>121</v>
      </c>
      <c r="C812" s="4">
        <f>0.212937718373242 * 1.62958135424304%</f>
        <v>3.4699933547609071E-3</v>
      </c>
      <c r="D812" t="s">
        <v>242</v>
      </c>
      <c r="E812" t="s">
        <v>327</v>
      </c>
      <c r="F812" t="s">
        <v>324</v>
      </c>
      <c r="G812" t="s">
        <v>245</v>
      </c>
    </row>
    <row r="813" spans="1:7" x14ac:dyDescent="0.25">
      <c r="A813" t="s">
        <v>324</v>
      </c>
      <c r="B813" t="s">
        <v>121</v>
      </c>
      <c r="C813" s="4">
        <f>0.755584923910716 * 1.62958135424304%</f>
        <v>1.2312871035520487E-2</v>
      </c>
      <c r="D813" t="s">
        <v>242</v>
      </c>
      <c r="E813" t="s">
        <v>326</v>
      </c>
      <c r="F813" t="s">
        <v>324</v>
      </c>
      <c r="G813" t="s">
        <v>245</v>
      </c>
    </row>
    <row r="814" spans="1:7" x14ac:dyDescent="0.25">
      <c r="A814" t="s">
        <v>324</v>
      </c>
      <c r="B814" t="s">
        <v>121</v>
      </c>
      <c r="C814" s="4">
        <f>0.00154025450133466 * 1.62958135424304%</f>
        <v>2.5099700161638731E-5</v>
      </c>
      <c r="D814" t="s">
        <v>242</v>
      </c>
      <c r="E814" t="s">
        <v>289</v>
      </c>
      <c r="F814" t="s">
        <v>324</v>
      </c>
      <c r="G814" t="s">
        <v>245</v>
      </c>
    </row>
    <row r="815" spans="1:7" x14ac:dyDescent="0.25">
      <c r="A815" t="s">
        <v>324</v>
      </c>
      <c r="B815" t="s">
        <v>121</v>
      </c>
      <c r="C815" s="4">
        <f>4.63438553364394E-10 * 1.62958135424304%</f>
        <v>7.5521082539998444E-12</v>
      </c>
      <c r="D815" t="s">
        <v>256</v>
      </c>
      <c r="E815" t="s">
        <v>322</v>
      </c>
      <c r="F815" t="s">
        <v>324</v>
      </c>
      <c r="G815" t="s">
        <v>245</v>
      </c>
    </row>
    <row r="816" spans="1:7" x14ac:dyDescent="0.25">
      <c r="A816" t="s">
        <v>324</v>
      </c>
      <c r="B816" t="s">
        <v>121</v>
      </c>
      <c r="C816" s="4">
        <f>1.80533525994585E-09 * 1.62958135424304%</f>
        <v>2.9419406777652682E-11</v>
      </c>
      <c r="D816" t="s">
        <v>256</v>
      </c>
      <c r="E816" t="s">
        <v>323</v>
      </c>
      <c r="F816" t="s">
        <v>324</v>
      </c>
      <c r="G816" t="s">
        <v>245</v>
      </c>
    </row>
    <row r="817" spans="1:7" x14ac:dyDescent="0.25">
      <c r="A817" t="s">
        <v>324</v>
      </c>
      <c r="B817" t="s">
        <v>121</v>
      </c>
      <c r="C817" s="4">
        <f>0.000343246436607167 * 1.62958135424304%</f>
        <v>5.5934799300540489E-6</v>
      </c>
      <c r="D817" t="s">
        <v>256</v>
      </c>
      <c r="E817" t="s">
        <v>280</v>
      </c>
      <c r="F817" t="s">
        <v>324</v>
      </c>
      <c r="G817" t="s">
        <v>245</v>
      </c>
    </row>
    <row r="818" spans="1:7" x14ac:dyDescent="0.25">
      <c r="A818" t="s">
        <v>324</v>
      </c>
      <c r="B818" t="s">
        <v>138</v>
      </c>
      <c r="C818" s="4">
        <f>0.212937718373242 * 0.897519672854141%</f>
        <v>1.9111579133265937E-3</v>
      </c>
      <c r="D818" t="s">
        <v>242</v>
      </c>
      <c r="E818" t="s">
        <v>327</v>
      </c>
      <c r="F818" t="s">
        <v>324</v>
      </c>
      <c r="G818" t="s">
        <v>245</v>
      </c>
    </row>
    <row r="819" spans="1:7" x14ac:dyDescent="0.25">
      <c r="A819" t="s">
        <v>324</v>
      </c>
      <c r="B819" t="s">
        <v>138</v>
      </c>
      <c r="C819" s="4">
        <f>0.755584923910716 * 0.897519672854141%</f>
        <v>6.781523337218669E-3</v>
      </c>
      <c r="D819" t="s">
        <v>242</v>
      </c>
      <c r="E819" t="s">
        <v>326</v>
      </c>
      <c r="F819" t="s">
        <v>324</v>
      </c>
      <c r="G819" t="s">
        <v>245</v>
      </c>
    </row>
    <row r="820" spans="1:7" x14ac:dyDescent="0.25">
      <c r="A820" t="s">
        <v>324</v>
      </c>
      <c r="B820" t="s">
        <v>138</v>
      </c>
      <c r="C820" s="4">
        <f>0.00154025450133466 * 0.897519672854141%</f>
        <v>1.3824087161500023E-5</v>
      </c>
      <c r="D820" t="s">
        <v>242</v>
      </c>
      <c r="E820" t="s">
        <v>289</v>
      </c>
      <c r="F820" t="s">
        <v>324</v>
      </c>
      <c r="G820" t="s">
        <v>245</v>
      </c>
    </row>
    <row r="821" spans="1:7" x14ac:dyDescent="0.25">
      <c r="A821" t="s">
        <v>324</v>
      </c>
      <c r="B821" t="s">
        <v>138</v>
      </c>
      <c r="C821" s="4">
        <f>4.63438553364394E-10 * 0.897519672854141%</f>
        <v>4.1594521880360729E-12</v>
      </c>
      <c r="D821" t="s">
        <v>256</v>
      </c>
      <c r="E821" t="s">
        <v>322</v>
      </c>
      <c r="F821" t="s">
        <v>324</v>
      </c>
      <c r="G821" t="s">
        <v>245</v>
      </c>
    </row>
    <row r="822" spans="1:7" x14ac:dyDescent="0.25">
      <c r="A822" t="s">
        <v>324</v>
      </c>
      <c r="B822" t="s">
        <v>138</v>
      </c>
      <c r="C822" s="4">
        <f>1.80533525994585E-09 * 0.897519672854141%</f>
        <v>1.620323911898645E-11</v>
      </c>
      <c r="D822" t="s">
        <v>256</v>
      </c>
      <c r="E822" t="s">
        <v>323</v>
      </c>
      <c r="F822" t="s">
        <v>324</v>
      </c>
      <c r="G822" t="s">
        <v>245</v>
      </c>
    </row>
    <row r="823" spans="1:7" x14ac:dyDescent="0.25">
      <c r="A823" t="s">
        <v>324</v>
      </c>
      <c r="B823" t="s">
        <v>138</v>
      </c>
      <c r="C823" s="4">
        <f>0.000343246436607167 * 0.897519672854141%</f>
        <v>3.0807042949201417E-6</v>
      </c>
      <c r="D823" t="s">
        <v>256</v>
      </c>
      <c r="E823" t="s">
        <v>280</v>
      </c>
      <c r="F823" t="s">
        <v>324</v>
      </c>
      <c r="G823" t="s">
        <v>245</v>
      </c>
    </row>
    <row r="824" spans="1:7" x14ac:dyDescent="0.25">
      <c r="A824" t="s">
        <v>324</v>
      </c>
      <c r="B824" t="s">
        <v>112</v>
      </c>
      <c r="C824" s="4">
        <f>0.212937718373242 * 0.483814002148055%</f>
        <v>1.0302224973443362E-3</v>
      </c>
      <c r="D824" t="s">
        <v>242</v>
      </c>
      <c r="E824" t="s">
        <v>327</v>
      </c>
      <c r="F824" t="s">
        <v>324</v>
      </c>
      <c r="G824" t="s">
        <v>245</v>
      </c>
    </row>
    <row r="825" spans="1:7" x14ac:dyDescent="0.25">
      <c r="A825" t="s">
        <v>324</v>
      </c>
      <c r="B825" t="s">
        <v>112</v>
      </c>
      <c r="C825" s="4">
        <f>0.755584923910716 * 0.483814002148055%</f>
        <v>3.6556256599997706E-3</v>
      </c>
      <c r="D825" t="s">
        <v>242</v>
      </c>
      <c r="E825" t="s">
        <v>326</v>
      </c>
      <c r="F825" t="s">
        <v>324</v>
      </c>
      <c r="G825" t="s">
        <v>245</v>
      </c>
    </row>
    <row r="826" spans="1:7" x14ac:dyDescent="0.25">
      <c r="A826" t="s">
        <v>324</v>
      </c>
      <c r="B826" t="s">
        <v>112</v>
      </c>
      <c r="C826" s="4">
        <f>0.00154025450133466 * 0.483814002148055%</f>
        <v>7.4519669461727847E-6</v>
      </c>
      <c r="D826" t="s">
        <v>242</v>
      </c>
      <c r="E826" t="s">
        <v>289</v>
      </c>
      <c r="F826" t="s">
        <v>324</v>
      </c>
      <c r="G826" t="s">
        <v>245</v>
      </c>
    </row>
    <row r="827" spans="1:7" x14ac:dyDescent="0.25">
      <c r="A827" t="s">
        <v>324</v>
      </c>
      <c r="B827" t="s">
        <v>112</v>
      </c>
      <c r="C827" s="4">
        <f>4.63438553364394E-10 * 0.483814002148055%</f>
        <v>2.2421806125293237E-12</v>
      </c>
      <c r="D827" t="s">
        <v>256</v>
      </c>
      <c r="E827" t="s">
        <v>322</v>
      </c>
      <c r="F827" t="s">
        <v>324</v>
      </c>
      <c r="G827" t="s">
        <v>245</v>
      </c>
    </row>
    <row r="828" spans="1:7" x14ac:dyDescent="0.25">
      <c r="A828" t="s">
        <v>324</v>
      </c>
      <c r="B828" t="s">
        <v>112</v>
      </c>
      <c r="C828" s="4">
        <f>1.80533525994585E-09 * 0.483814002148055%</f>
        <v>8.734464773334008E-12</v>
      </c>
      <c r="D828" t="s">
        <v>256</v>
      </c>
      <c r="E828" t="s">
        <v>323</v>
      </c>
      <c r="F828" t="s">
        <v>324</v>
      </c>
      <c r="G828" t="s">
        <v>245</v>
      </c>
    </row>
    <row r="829" spans="1:7" x14ac:dyDescent="0.25">
      <c r="A829" t="s">
        <v>324</v>
      </c>
      <c r="B829" t="s">
        <v>112</v>
      </c>
      <c r="C829" s="4">
        <f>0.000343246436607167 * 0.483814002148055%</f>
        <v>1.660674322179721E-6</v>
      </c>
      <c r="D829" t="s">
        <v>256</v>
      </c>
      <c r="E829" t="s">
        <v>280</v>
      </c>
      <c r="F829" t="s">
        <v>324</v>
      </c>
      <c r="G829" t="s">
        <v>245</v>
      </c>
    </row>
    <row r="830" spans="1:7" x14ac:dyDescent="0.25">
      <c r="A830" t="s">
        <v>324</v>
      </c>
      <c r="B830" t="s">
        <v>113</v>
      </c>
      <c r="C830" s="4">
        <f>0.212937718373242 * 4.15084364277218%</f>
        <v>8.8387117461598448E-3</v>
      </c>
      <c r="D830" t="s">
        <v>242</v>
      </c>
      <c r="E830" t="s">
        <v>327</v>
      </c>
      <c r="F830" t="s">
        <v>324</v>
      </c>
      <c r="G830" t="s">
        <v>245</v>
      </c>
    </row>
    <row r="831" spans="1:7" x14ac:dyDescent="0.25">
      <c r="A831" t="s">
        <v>324</v>
      </c>
      <c r="B831" t="s">
        <v>113</v>
      </c>
      <c r="C831" s="4">
        <f>0.755584923910716 * 4.15084364277218%</f>
        <v>3.136314877989297E-2</v>
      </c>
      <c r="D831" t="s">
        <v>242</v>
      </c>
      <c r="E831" t="s">
        <v>326</v>
      </c>
      <c r="F831" t="s">
        <v>324</v>
      </c>
      <c r="G831" t="s">
        <v>245</v>
      </c>
    </row>
    <row r="832" spans="1:7" x14ac:dyDescent="0.25">
      <c r="A832" t="s">
        <v>324</v>
      </c>
      <c r="B832" t="s">
        <v>113</v>
      </c>
      <c r="C832" s="4">
        <f>0.00154025450133466 * 4.15084364277218%</f>
        <v>6.3933556051162091E-5</v>
      </c>
      <c r="D832" t="s">
        <v>242</v>
      </c>
      <c r="E832" t="s">
        <v>289</v>
      </c>
      <c r="F832" t="s">
        <v>324</v>
      </c>
      <c r="G832" t="s">
        <v>245</v>
      </c>
    </row>
    <row r="833" spans="1:7" x14ac:dyDescent="0.25">
      <c r="A833" t="s">
        <v>324</v>
      </c>
      <c r="B833" t="s">
        <v>113</v>
      </c>
      <c r="C833" s="4">
        <f>4.63438553364394E-10 * 4.15084364277218%</f>
        <v>1.9236609730481306E-11</v>
      </c>
      <c r="D833" t="s">
        <v>256</v>
      </c>
      <c r="E833" t="s">
        <v>322</v>
      </c>
      <c r="F833" t="s">
        <v>324</v>
      </c>
      <c r="G833" t="s">
        <v>245</v>
      </c>
    </row>
    <row r="834" spans="1:7" x14ac:dyDescent="0.25">
      <c r="A834" t="s">
        <v>324</v>
      </c>
      <c r="B834" t="s">
        <v>113</v>
      </c>
      <c r="C834" s="4">
        <f>1.80533525994585E-09 * 4.15084364277218%</f>
        <v>7.4936643868186937E-11</v>
      </c>
      <c r="D834" t="s">
        <v>256</v>
      </c>
      <c r="E834" t="s">
        <v>323</v>
      </c>
      <c r="F834" t="s">
        <v>324</v>
      </c>
      <c r="G834" t="s">
        <v>245</v>
      </c>
    </row>
    <row r="835" spans="1:7" x14ac:dyDescent="0.25">
      <c r="A835" t="s">
        <v>324</v>
      </c>
      <c r="B835" t="s">
        <v>113</v>
      </c>
      <c r="C835" s="4">
        <f>0.000343246436607167 * 4.15084364277218%</f>
        <v>1.4247622892950633E-5</v>
      </c>
      <c r="D835" t="s">
        <v>256</v>
      </c>
      <c r="E835" t="s">
        <v>280</v>
      </c>
      <c r="F835" t="s">
        <v>324</v>
      </c>
      <c r="G835" t="s">
        <v>245</v>
      </c>
    </row>
    <row r="836" spans="1:7" x14ac:dyDescent="0.25">
      <c r="A836" t="s">
        <v>324</v>
      </c>
      <c r="B836" t="s">
        <v>122</v>
      </c>
      <c r="C836" s="4">
        <f>0.212937718373242 * 0.0995931820560104%</f>
        <v>2.1207144952537757E-4</v>
      </c>
      <c r="D836" t="s">
        <v>242</v>
      </c>
      <c r="E836" t="s">
        <v>327</v>
      </c>
      <c r="F836" t="s">
        <v>324</v>
      </c>
      <c r="G836" t="s">
        <v>245</v>
      </c>
    </row>
    <row r="837" spans="1:7" x14ac:dyDescent="0.25">
      <c r="A837" t="s">
        <v>324</v>
      </c>
      <c r="B837" t="s">
        <v>122</v>
      </c>
      <c r="C837" s="4">
        <f>0.755584923910716 * 0.0995931820560104%</f>
        <v>7.5251106885816687E-4</v>
      </c>
      <c r="D837" t="s">
        <v>242</v>
      </c>
      <c r="E837" t="s">
        <v>326</v>
      </c>
      <c r="F837" t="s">
        <v>324</v>
      </c>
      <c r="G837" t="s">
        <v>245</v>
      </c>
    </row>
    <row r="838" spans="1:7" x14ac:dyDescent="0.25">
      <c r="A838" t="s">
        <v>324</v>
      </c>
      <c r="B838" t="s">
        <v>122</v>
      </c>
      <c r="C838" s="4">
        <f>0.00154025450133466 * 0.0995931820560104%</f>
        <v>1.5339884696401227E-6</v>
      </c>
      <c r="D838" t="s">
        <v>242</v>
      </c>
      <c r="E838" t="s">
        <v>289</v>
      </c>
      <c r="F838" t="s">
        <v>324</v>
      </c>
      <c r="G838" t="s">
        <v>245</v>
      </c>
    </row>
    <row r="839" spans="1:7" x14ac:dyDescent="0.25">
      <c r="A839" t="s">
        <v>324</v>
      </c>
      <c r="B839" t="s">
        <v>122</v>
      </c>
      <c r="C839" s="4">
        <f>4.63438553364394E-10 * 0.0995931820560104%</f>
        <v>4.6155320216994175E-13</v>
      </c>
      <c r="D839" t="s">
        <v>256</v>
      </c>
      <c r="E839" t="s">
        <v>322</v>
      </c>
      <c r="F839" t="s">
        <v>324</v>
      </c>
      <c r="G839" t="s">
        <v>245</v>
      </c>
    </row>
    <row r="840" spans="1:7" x14ac:dyDescent="0.25">
      <c r="A840" t="s">
        <v>324</v>
      </c>
      <c r="B840" t="s">
        <v>122</v>
      </c>
      <c r="C840" s="4">
        <f>1.80533525994585E-09 * 0.0995931820560104%</f>
        <v>1.7979908321592187E-12</v>
      </c>
      <c r="D840" t="s">
        <v>256</v>
      </c>
      <c r="E840" t="s">
        <v>323</v>
      </c>
      <c r="F840" t="s">
        <v>324</v>
      </c>
      <c r="G840" t="s">
        <v>245</v>
      </c>
    </row>
    <row r="841" spans="1:7" x14ac:dyDescent="0.25">
      <c r="A841" t="s">
        <v>324</v>
      </c>
      <c r="B841" t="s">
        <v>122</v>
      </c>
      <c r="C841" s="4">
        <f>0.000343246436607167 * 0.0995931820560104%</f>
        <v>3.4185004851094411E-7</v>
      </c>
      <c r="D841" t="s">
        <v>256</v>
      </c>
      <c r="E841" t="s">
        <v>280</v>
      </c>
      <c r="F841" t="s">
        <v>324</v>
      </c>
      <c r="G841" t="s">
        <v>245</v>
      </c>
    </row>
    <row r="842" spans="1:7" x14ac:dyDescent="0.25">
      <c r="A842" t="s">
        <v>324</v>
      </c>
      <c r="B842" t="s">
        <v>180</v>
      </c>
      <c r="C842" s="4">
        <f>0.212937718373242 * 0.533679896927852%</f>
        <v>1.1364057959348376E-3</v>
      </c>
      <c r="D842" t="s">
        <v>242</v>
      </c>
      <c r="E842" t="s">
        <v>327</v>
      </c>
      <c r="F842" t="s">
        <v>324</v>
      </c>
      <c r="G842" t="s">
        <v>245</v>
      </c>
    </row>
    <row r="843" spans="1:7" x14ac:dyDescent="0.25">
      <c r="A843" t="s">
        <v>324</v>
      </c>
      <c r="B843" t="s">
        <v>180</v>
      </c>
      <c r="C843" s="4">
        <f>0.755584923910716 * 0.533679896927852%</f>
        <v>4.0324048431290976E-3</v>
      </c>
      <c r="D843" t="s">
        <v>242</v>
      </c>
      <c r="E843" t="s">
        <v>326</v>
      </c>
      <c r="F843" t="s">
        <v>324</v>
      </c>
      <c r="G843" t="s">
        <v>245</v>
      </c>
    </row>
    <row r="844" spans="1:7" x14ac:dyDescent="0.25">
      <c r="A844" t="s">
        <v>324</v>
      </c>
      <c r="B844" t="s">
        <v>180</v>
      </c>
      <c r="C844" s="4">
        <f>0.00154025450133466 * 0.533679896927852%</f>
        <v>8.2200286351494131E-6</v>
      </c>
      <c r="D844" t="s">
        <v>242</v>
      </c>
      <c r="E844" t="s">
        <v>289</v>
      </c>
      <c r="F844" t="s">
        <v>324</v>
      </c>
      <c r="G844" t="s">
        <v>245</v>
      </c>
    </row>
    <row r="845" spans="1:7" x14ac:dyDescent="0.25">
      <c r="A845" t="s">
        <v>324</v>
      </c>
      <c r="B845" t="s">
        <v>180</v>
      </c>
      <c r="C845" s="4">
        <f>4.63438553364394E-10 * 0.533679896927852%</f>
        <v>2.4732783939190262E-12</v>
      </c>
      <c r="D845" t="s">
        <v>256</v>
      </c>
      <c r="E845" t="s">
        <v>322</v>
      </c>
      <c r="F845" t="s">
        <v>324</v>
      </c>
      <c r="G845" t="s">
        <v>245</v>
      </c>
    </row>
    <row r="846" spans="1:7" x14ac:dyDescent="0.25">
      <c r="A846" t="s">
        <v>324</v>
      </c>
      <c r="B846" t="s">
        <v>180</v>
      </c>
      <c r="C846" s="4">
        <f>1.80533525994585E-09 * 0.533679896927852%</f>
        <v>9.6347113544811805E-12</v>
      </c>
      <c r="D846" t="s">
        <v>256</v>
      </c>
      <c r="E846" t="s">
        <v>323</v>
      </c>
      <c r="F846" t="s">
        <v>324</v>
      </c>
      <c r="G846" t="s">
        <v>245</v>
      </c>
    </row>
    <row r="847" spans="1:7" x14ac:dyDescent="0.25">
      <c r="A847" t="s">
        <v>324</v>
      </c>
      <c r="B847" t="s">
        <v>180</v>
      </c>
      <c r="C847" s="4">
        <f>0.000343246436607167 * 0.533679896927852%</f>
        <v>1.8318372290936535E-6</v>
      </c>
      <c r="D847" t="s">
        <v>256</v>
      </c>
      <c r="E847" t="s">
        <v>280</v>
      </c>
      <c r="F847" t="s">
        <v>324</v>
      </c>
      <c r="G847" t="s">
        <v>245</v>
      </c>
    </row>
    <row r="848" spans="1:7" x14ac:dyDescent="0.25">
      <c r="A848" t="s">
        <v>324</v>
      </c>
      <c r="B848" t="s">
        <v>115</v>
      </c>
      <c r="C848" s="4">
        <f>0.212937718373242 * 0.069713833162544%</f>
        <v>1.484470457268497E-4</v>
      </c>
      <c r="D848" t="s">
        <v>242</v>
      </c>
      <c r="E848" t="s">
        <v>327</v>
      </c>
      <c r="F848" t="s">
        <v>324</v>
      </c>
      <c r="G848" t="s">
        <v>245</v>
      </c>
    </row>
    <row r="849" spans="1:7" x14ac:dyDescent="0.25">
      <c r="A849" t="s">
        <v>324</v>
      </c>
      <c r="B849" t="s">
        <v>115</v>
      </c>
      <c r="C849" s="4">
        <f>0.755584923910716 * 0.069713833162544%</f>
        <v>5.267472132564515E-4</v>
      </c>
      <c r="D849" t="s">
        <v>242</v>
      </c>
      <c r="E849" t="s">
        <v>326</v>
      </c>
      <c r="F849" t="s">
        <v>324</v>
      </c>
      <c r="G849" t="s">
        <v>245</v>
      </c>
    </row>
    <row r="850" spans="1:7" x14ac:dyDescent="0.25">
      <c r="A850" t="s">
        <v>324</v>
      </c>
      <c r="B850" t="s">
        <v>115</v>
      </c>
      <c r="C850" s="4">
        <f>0.00154025450133466 * 0.069713833162544%</f>
        <v>1.0737704533390189E-6</v>
      </c>
      <c r="D850" t="s">
        <v>242</v>
      </c>
      <c r="E850" t="s">
        <v>289</v>
      </c>
      <c r="F850" t="s">
        <v>324</v>
      </c>
      <c r="G850" t="s">
        <v>245</v>
      </c>
    </row>
    <row r="851" spans="1:7" x14ac:dyDescent="0.25">
      <c r="A851" t="s">
        <v>324</v>
      </c>
      <c r="B851" t="s">
        <v>115</v>
      </c>
      <c r="C851" s="4">
        <f>4.63438553364394E-10 * 0.069713833162544%</f>
        <v>3.2308077990336104E-13</v>
      </c>
      <c r="D851" t="s">
        <v>256</v>
      </c>
      <c r="E851" t="s">
        <v>322</v>
      </c>
      <c r="F851" t="s">
        <v>324</v>
      </c>
      <c r="G851" t="s">
        <v>245</v>
      </c>
    </row>
    <row r="852" spans="1:7" x14ac:dyDescent="0.25">
      <c r="A852" t="s">
        <v>324</v>
      </c>
      <c r="B852" t="s">
        <v>115</v>
      </c>
      <c r="C852" s="4">
        <f>1.80533525994585E-09 * 0.069713833162544%</f>
        <v>1.2585684111432298E-12</v>
      </c>
      <c r="D852" t="s">
        <v>256</v>
      </c>
      <c r="E852" t="s">
        <v>323</v>
      </c>
      <c r="F852" t="s">
        <v>324</v>
      </c>
      <c r="G852" t="s">
        <v>245</v>
      </c>
    </row>
    <row r="853" spans="1:7" x14ac:dyDescent="0.25">
      <c r="A853" t="s">
        <v>324</v>
      </c>
      <c r="B853" t="s">
        <v>115</v>
      </c>
      <c r="C853" s="4">
        <f>0.000343246436607167 * 0.069713833162544%</f>
        <v>2.3929024815269772E-7</v>
      </c>
      <c r="D853" t="s">
        <v>256</v>
      </c>
      <c r="E853" t="s">
        <v>280</v>
      </c>
      <c r="F853" t="s">
        <v>324</v>
      </c>
      <c r="G853" t="s">
        <v>245</v>
      </c>
    </row>
    <row r="854" spans="1:7" x14ac:dyDescent="0.25">
      <c r="A854" t="s">
        <v>324</v>
      </c>
      <c r="B854" t="s">
        <v>143</v>
      </c>
      <c r="C854" s="4">
        <f>0.212937718373242 * 1.57249802732407%</f>
        <v>3.3484414208481143E-3</v>
      </c>
      <c r="D854" t="s">
        <v>242</v>
      </c>
      <c r="E854" t="s">
        <v>327</v>
      </c>
      <c r="F854" t="s">
        <v>324</v>
      </c>
      <c r="G854" t="s">
        <v>245</v>
      </c>
    </row>
    <row r="855" spans="1:7" x14ac:dyDescent="0.25">
      <c r="A855" t="s">
        <v>324</v>
      </c>
      <c r="B855" t="s">
        <v>143</v>
      </c>
      <c r="C855" s="4">
        <f>0.755584923910716 * 1.57249802732407%</f>
        <v>1.1881558023254085E-2</v>
      </c>
      <c r="D855" t="s">
        <v>242</v>
      </c>
      <c r="E855" t="s">
        <v>326</v>
      </c>
      <c r="F855" t="s">
        <v>324</v>
      </c>
      <c r="G855" t="s">
        <v>245</v>
      </c>
    </row>
    <row r="856" spans="1:7" x14ac:dyDescent="0.25">
      <c r="A856" t="s">
        <v>324</v>
      </c>
      <c r="B856" t="s">
        <v>143</v>
      </c>
      <c r="C856" s="4">
        <f>0.00154025450133466 * 1.57249802732407%</f>
        <v>2.422047164925772E-5</v>
      </c>
      <c r="D856" t="s">
        <v>242</v>
      </c>
      <c r="E856" t="s">
        <v>289</v>
      </c>
      <c r="F856" t="s">
        <v>324</v>
      </c>
      <c r="G856" t="s">
        <v>245</v>
      </c>
    </row>
    <row r="857" spans="1:7" x14ac:dyDescent="0.25">
      <c r="A857" t="s">
        <v>324</v>
      </c>
      <c r="B857" t="s">
        <v>143</v>
      </c>
      <c r="C857" s="4">
        <f>4.63438553364394E-10 * 1.57249802732407%</f>
        <v>7.2875621095143038E-12</v>
      </c>
      <c r="D857" t="s">
        <v>256</v>
      </c>
      <c r="E857" t="s">
        <v>322</v>
      </c>
      <c r="F857" t="s">
        <v>324</v>
      </c>
      <c r="G857" t="s">
        <v>245</v>
      </c>
    </row>
    <row r="858" spans="1:7" x14ac:dyDescent="0.25">
      <c r="A858" t="s">
        <v>324</v>
      </c>
      <c r="B858" t="s">
        <v>143</v>
      </c>
      <c r="C858" s="4">
        <f>1.80533525994585E-09 * 1.57249802732407%</f>
        <v>2.8388861349234362E-11</v>
      </c>
      <c r="D858" t="s">
        <v>256</v>
      </c>
      <c r="E858" t="s">
        <v>323</v>
      </c>
      <c r="F858" t="s">
        <v>324</v>
      </c>
      <c r="G858" t="s">
        <v>245</v>
      </c>
    </row>
    <row r="859" spans="1:7" x14ac:dyDescent="0.25">
      <c r="A859" t="s">
        <v>324</v>
      </c>
      <c r="B859" t="s">
        <v>143</v>
      </c>
      <c r="C859" s="4">
        <f>0.000343246436607167 * 1.57249802732407%</f>
        <v>5.3975434445078657E-6</v>
      </c>
      <c r="D859" t="s">
        <v>256</v>
      </c>
      <c r="E859" t="s">
        <v>280</v>
      </c>
      <c r="F859" t="s">
        <v>324</v>
      </c>
      <c r="G859" t="s">
        <v>245</v>
      </c>
    </row>
    <row r="860" spans="1:7" x14ac:dyDescent="0.25">
      <c r="A860" t="s">
        <v>324</v>
      </c>
      <c r="B860" t="s">
        <v>158</v>
      </c>
      <c r="C860" s="4">
        <f>0.212937718373242 * 0.0000820162743088753%</f>
        <v>1.7464358320805851E-7</v>
      </c>
      <c r="D860" t="s">
        <v>242</v>
      </c>
      <c r="E860" t="s">
        <v>327</v>
      </c>
      <c r="F860" t="s">
        <v>324</v>
      </c>
      <c r="G860" t="s">
        <v>245</v>
      </c>
    </row>
    <row r="861" spans="1:7" x14ac:dyDescent="0.25">
      <c r="A861" t="s">
        <v>324</v>
      </c>
      <c r="B861" t="s">
        <v>158</v>
      </c>
      <c r="C861" s="4">
        <f>0.755584923910716 * 0.0000820162743088753%</f>
        <v>6.1970260383111952E-7</v>
      </c>
      <c r="D861" t="s">
        <v>242</v>
      </c>
      <c r="E861" t="s">
        <v>326</v>
      </c>
      <c r="F861" t="s">
        <v>324</v>
      </c>
      <c r="G861" t="s">
        <v>245</v>
      </c>
    </row>
    <row r="862" spans="1:7" x14ac:dyDescent="0.25">
      <c r="A862" t="s">
        <v>324</v>
      </c>
      <c r="B862" t="s">
        <v>158</v>
      </c>
      <c r="C862" s="4">
        <f>0.00154025450133466 * 0.0000820162743088753%</f>
        <v>1.2632593568694341E-9</v>
      </c>
      <c r="D862" t="s">
        <v>242</v>
      </c>
      <c r="E862" t="s">
        <v>289</v>
      </c>
      <c r="F862" t="s">
        <v>324</v>
      </c>
      <c r="G862" t="s">
        <v>245</v>
      </c>
    </row>
    <row r="863" spans="1:7" x14ac:dyDescent="0.25">
      <c r="A863" t="s">
        <v>324</v>
      </c>
      <c r="B863" t="s">
        <v>158</v>
      </c>
      <c r="C863" s="4">
        <f>4.63438553364394E-10 * 0.0000820162743088753%</f>
        <v>3.8009503518042482E-16</v>
      </c>
      <c r="D863" t="s">
        <v>256</v>
      </c>
      <c r="E863" t="s">
        <v>322</v>
      </c>
      <c r="F863" t="s">
        <v>324</v>
      </c>
      <c r="G863" t="s">
        <v>245</v>
      </c>
    </row>
    <row r="864" spans="1:7" x14ac:dyDescent="0.25">
      <c r="A864" t="s">
        <v>324</v>
      </c>
      <c r="B864" t="s">
        <v>158</v>
      </c>
      <c r="C864" s="4">
        <f>1.80533525994585E-09 * 0.0000820162743088753%</f>
        <v>1.4806687189920352E-15</v>
      </c>
      <c r="D864" t="s">
        <v>256</v>
      </c>
      <c r="E864" t="s">
        <v>323</v>
      </c>
      <c r="F864" t="s">
        <v>324</v>
      </c>
      <c r="G864" t="s">
        <v>245</v>
      </c>
    </row>
    <row r="865" spans="1:8" x14ac:dyDescent="0.25">
      <c r="A865" t="s">
        <v>324</v>
      </c>
      <c r="B865" t="s">
        <v>158</v>
      </c>
      <c r="C865" s="4">
        <f>0.000343246436607167 * 0.0000820162743088753%</f>
        <v>2.8151793900317385E-10</v>
      </c>
      <c r="D865" t="s">
        <v>256</v>
      </c>
      <c r="E865" t="s">
        <v>280</v>
      </c>
      <c r="F865" t="s">
        <v>324</v>
      </c>
      <c r="G865" t="s">
        <v>245</v>
      </c>
    </row>
    <row r="866" spans="1:8" x14ac:dyDescent="0.25">
      <c r="A866" t="s">
        <v>304</v>
      </c>
      <c r="B866" t="s">
        <v>86</v>
      </c>
      <c r="C866" s="4">
        <v>0.93832366895097519</v>
      </c>
      <c r="D866" t="s">
        <v>242</v>
      </c>
      <c r="E866" t="s">
        <v>302</v>
      </c>
      <c r="F866" t="s">
        <v>304</v>
      </c>
      <c r="G866" t="s">
        <v>245</v>
      </c>
      <c r="H866" t="s">
        <v>303</v>
      </c>
    </row>
    <row r="867" spans="1:8" x14ac:dyDescent="0.25">
      <c r="A867" t="s">
        <v>304</v>
      </c>
      <c r="B867" t="s">
        <v>119</v>
      </c>
      <c r="C867" s="4">
        <v>7.9072219293621505E-3</v>
      </c>
      <c r="D867" t="s">
        <v>242</v>
      </c>
      <c r="E867" t="s">
        <v>302</v>
      </c>
      <c r="F867" t="s">
        <v>304</v>
      </c>
      <c r="G867" t="s">
        <v>245</v>
      </c>
      <c r="H867" t="s">
        <v>610</v>
      </c>
    </row>
    <row r="868" spans="1:8" x14ac:dyDescent="0.25">
      <c r="A868" t="s">
        <v>304</v>
      </c>
      <c r="B868" t="s">
        <v>148</v>
      </c>
      <c r="C868" s="4">
        <v>6.8529256721138639E-3</v>
      </c>
      <c r="D868" t="s">
        <v>242</v>
      </c>
      <c r="E868" t="s">
        <v>302</v>
      </c>
      <c r="F868" t="s">
        <v>304</v>
      </c>
      <c r="G868" t="s">
        <v>245</v>
      </c>
    </row>
    <row r="869" spans="1:8" x14ac:dyDescent="0.25">
      <c r="A869" t="s">
        <v>304</v>
      </c>
      <c r="B869" t="s">
        <v>107</v>
      </c>
      <c r="C869" s="4">
        <v>3.4264628360569323E-2</v>
      </c>
      <c r="D869" t="s">
        <v>242</v>
      </c>
      <c r="E869" t="s">
        <v>302</v>
      </c>
      <c r="F869" t="s">
        <v>304</v>
      </c>
      <c r="G869" t="s">
        <v>245</v>
      </c>
    </row>
    <row r="870" spans="1:8" x14ac:dyDescent="0.25">
      <c r="A870" t="s">
        <v>304</v>
      </c>
      <c r="B870" t="s">
        <v>122</v>
      </c>
      <c r="C870" s="4">
        <v>1.2651555086979439E-2</v>
      </c>
      <c r="D870" t="s">
        <v>242</v>
      </c>
      <c r="E870" t="s">
        <v>302</v>
      </c>
      <c r="F870" t="s">
        <v>304</v>
      </c>
      <c r="G870" t="s">
        <v>245</v>
      </c>
    </row>
    <row r="871" spans="1:8" x14ac:dyDescent="0.25">
      <c r="A871" t="s">
        <v>597</v>
      </c>
      <c r="B871" t="s">
        <v>86</v>
      </c>
      <c r="C871" s="4">
        <v>0.91463414634146345</v>
      </c>
      <c r="D871" t="s">
        <v>242</v>
      </c>
      <c r="E871" t="s">
        <v>315</v>
      </c>
      <c r="F871" t="s">
        <v>597</v>
      </c>
      <c r="G871" t="s">
        <v>245</v>
      </c>
      <c r="H871" t="s">
        <v>503</v>
      </c>
    </row>
    <row r="872" spans="1:8" x14ac:dyDescent="0.25">
      <c r="A872" t="s">
        <v>597</v>
      </c>
      <c r="B872" t="s">
        <v>107</v>
      </c>
      <c r="C872" s="4">
        <v>5.4878048780487812E-2</v>
      </c>
      <c r="D872" t="s">
        <v>242</v>
      </c>
      <c r="E872" t="s">
        <v>315</v>
      </c>
      <c r="F872" t="s">
        <v>597</v>
      </c>
      <c r="G872" t="s">
        <v>245</v>
      </c>
    </row>
    <row r="873" spans="1:8" x14ac:dyDescent="0.25">
      <c r="A873" t="s">
        <v>597</v>
      </c>
      <c r="B873" t="s">
        <v>113</v>
      </c>
      <c r="C873" s="4">
        <v>3.048780487804878E-2</v>
      </c>
      <c r="D873" t="s">
        <v>242</v>
      </c>
      <c r="E873" t="s">
        <v>315</v>
      </c>
      <c r="F873" t="s">
        <v>597</v>
      </c>
      <c r="G873" t="s">
        <v>245</v>
      </c>
    </row>
    <row r="874" spans="1:8" x14ac:dyDescent="0.25">
      <c r="A874" t="s">
        <v>612</v>
      </c>
      <c r="B874" t="s">
        <v>183</v>
      </c>
      <c r="C874" s="4">
        <f>(0.0328453630665826/(0.0328453630665826+0.350336698877979+0.0822572721273277+0.0181224344560457+0.178561789731549)) * 0.0037512926731404%</f>
        <v>1.8608697467613896E-6</v>
      </c>
      <c r="D874" t="s">
        <v>242</v>
      </c>
      <c r="E874" t="s">
        <v>366</v>
      </c>
      <c r="F874" t="s">
        <v>359</v>
      </c>
      <c r="G874" s="4" t="s">
        <v>245</v>
      </c>
      <c r="H874" t="s">
        <v>367</v>
      </c>
    </row>
    <row r="875" spans="1:8" x14ac:dyDescent="0.25">
      <c r="A875" t="s">
        <v>612</v>
      </c>
      <c r="B875" t="s">
        <v>183</v>
      </c>
      <c r="C875" s="4">
        <f>(0.350336698877979/(0.0328453630665826+0.350336698877979+0.0822572721273277+0.0181224344560457+0.178561789731549)) * 0.0037512926731404%</f>
        <v>1.9848493158706201E-5</v>
      </c>
      <c r="D875" t="s">
        <v>256</v>
      </c>
      <c r="E875" t="s">
        <v>364</v>
      </c>
      <c r="F875" t="s">
        <v>359</v>
      </c>
      <c r="G875" s="4" t="s">
        <v>245</v>
      </c>
      <c r="H875" t="s">
        <v>611</v>
      </c>
    </row>
    <row r="876" spans="1:8" x14ac:dyDescent="0.25">
      <c r="A876" t="s">
        <v>612</v>
      </c>
      <c r="B876" t="s">
        <v>183</v>
      </c>
      <c r="C876" s="4">
        <f>(0.0822572721273277/(0.0328453630665826+0.350336698877979+0.0822572721273277+0.0181224344560457+0.178561789731549)) * 0.0037512926731404%</f>
        <v>4.6603250767107199E-6</v>
      </c>
      <c r="D876" t="s">
        <v>256</v>
      </c>
      <c r="E876" t="s">
        <v>361</v>
      </c>
      <c r="F876" t="s">
        <v>359</v>
      </c>
      <c r="G876" s="4" t="s">
        <v>245</v>
      </c>
    </row>
    <row r="877" spans="1:8" x14ac:dyDescent="0.25">
      <c r="A877" t="s">
        <v>612</v>
      </c>
      <c r="B877" t="s">
        <v>183</v>
      </c>
      <c r="C877" s="4">
        <f>(0.0181224344560457/(0.0328453630665826+0.350336698877979+0.0822572721273277+0.0181224344560457+0.178561789731549)) * 0.0037512926731404%</f>
        <v>1.026735187812019E-6</v>
      </c>
      <c r="D877" t="s">
        <v>256</v>
      </c>
      <c r="E877" t="s">
        <v>280</v>
      </c>
      <c r="F877" t="s">
        <v>359</v>
      </c>
      <c r="G877" s="4" t="s">
        <v>245</v>
      </c>
    </row>
    <row r="878" spans="1:8" x14ac:dyDescent="0.25">
      <c r="A878" t="s">
        <v>612</v>
      </c>
      <c r="B878" t="s">
        <v>183</v>
      </c>
      <c r="C878" s="4">
        <f>(0.178561789731549/(0.0328453630665826+0.350336698877979+0.0822572721273277+0.0181224344560457+0.178561789731549)) * 0.0037512926731404%</f>
        <v>1.0116503561413675E-5</v>
      </c>
      <c r="D878" t="s">
        <v>256</v>
      </c>
      <c r="E878" t="s">
        <v>362</v>
      </c>
      <c r="F878" t="s">
        <v>359</v>
      </c>
      <c r="G878" s="4" t="s">
        <v>245</v>
      </c>
    </row>
    <row r="879" spans="1:8" x14ac:dyDescent="0.25">
      <c r="A879" t="s">
        <v>612</v>
      </c>
      <c r="B879" t="s">
        <v>184</v>
      </c>
      <c r="C879" s="4">
        <f>(0.0328453630665826/(0.0328453630665826+0.350336698877979+0.0822572721273277+0.0181224344560457+0.178561789731549)) * 0.000705629007648596%</f>
        <v>3.5003498451942532E-7</v>
      </c>
      <c r="D879" t="s">
        <v>242</v>
      </c>
      <c r="E879" t="s">
        <v>366</v>
      </c>
      <c r="F879" t="s">
        <v>359</v>
      </c>
      <c r="G879" s="4" t="s">
        <v>245</v>
      </c>
    </row>
    <row r="880" spans="1:8" x14ac:dyDescent="0.25">
      <c r="A880" t="s">
        <v>612</v>
      </c>
      <c r="B880" t="s">
        <v>184</v>
      </c>
      <c r="C880" s="4">
        <f>(0.350336698877979/(0.0328453630665826+0.350336698877979+0.0822572721273277+0.0181224344560457+0.178561789731549)) * 0.000705629007648596%</f>
        <v>3.7335590025219047E-6</v>
      </c>
      <c r="D880" t="s">
        <v>256</v>
      </c>
      <c r="E880" t="s">
        <v>364</v>
      </c>
      <c r="F880" t="s">
        <v>359</v>
      </c>
      <c r="G880" s="4" t="s">
        <v>245</v>
      </c>
    </row>
    <row r="881" spans="1:7" x14ac:dyDescent="0.25">
      <c r="A881" t="s">
        <v>612</v>
      </c>
      <c r="B881" t="s">
        <v>184</v>
      </c>
      <c r="C881" s="4">
        <f>(0.0822572721273277/(0.0328453630665826+0.350336698877979+0.0822572721273277+0.0181224344560457+0.178561789731549)) * 0.000705629007648596%</f>
        <v>8.7662063340056928E-7</v>
      </c>
      <c r="D881" t="s">
        <v>256</v>
      </c>
      <c r="E881" t="s">
        <v>361</v>
      </c>
      <c r="F881" t="s">
        <v>359</v>
      </c>
      <c r="G881" s="4" t="s">
        <v>245</v>
      </c>
    </row>
    <row r="882" spans="1:7" x14ac:dyDescent="0.25">
      <c r="A882" t="s">
        <v>612</v>
      </c>
      <c r="B882" t="s">
        <v>184</v>
      </c>
      <c r="C882" s="4">
        <f>(0.0181224344560457/(0.0328453630665826+0.350336698877979+0.0822572721273277+0.0181224344560457+0.178561789731549)) * 0.000705629007648596%</f>
        <v>1.9313186008682671E-7</v>
      </c>
      <c r="D882" t="s">
        <v>256</v>
      </c>
      <c r="E882" t="s">
        <v>280</v>
      </c>
      <c r="F882" t="s">
        <v>359</v>
      </c>
      <c r="G882" s="4" t="s">
        <v>245</v>
      </c>
    </row>
    <row r="883" spans="1:7" x14ac:dyDescent="0.25">
      <c r="A883" t="s">
        <v>612</v>
      </c>
      <c r="B883" t="s">
        <v>184</v>
      </c>
      <c r="C883" s="4">
        <f>(0.178561789731549/(0.0328453630665826+0.350336698877979+0.0822572721273277+0.0181224344560457+0.178561789731549)) * 0.000705629007648596%</f>
        <v>1.9029435959572344E-6</v>
      </c>
      <c r="D883" t="s">
        <v>256</v>
      </c>
      <c r="E883" t="s">
        <v>362</v>
      </c>
      <c r="F883" t="s">
        <v>359</v>
      </c>
      <c r="G883" s="4" t="s">
        <v>245</v>
      </c>
    </row>
    <row r="884" spans="1:7" x14ac:dyDescent="0.25">
      <c r="A884" t="s">
        <v>612</v>
      </c>
      <c r="B884" t="s">
        <v>124</v>
      </c>
      <c r="C884" s="4">
        <f>(0.0328453630665826/(0.0328453630665826+0.350336698877979+0.0822572721273277+0.0181224344560457+0.178561789731549)) * 1.47077209262605%</f>
        <v>7.2959257781866004E-4</v>
      </c>
      <c r="D884" t="s">
        <v>242</v>
      </c>
      <c r="E884" t="s">
        <v>366</v>
      </c>
      <c r="F884" t="s">
        <v>359</v>
      </c>
      <c r="G884" s="4" t="s">
        <v>245</v>
      </c>
    </row>
    <row r="885" spans="1:7" x14ac:dyDescent="0.25">
      <c r="A885" t="s">
        <v>612</v>
      </c>
      <c r="B885" t="s">
        <v>124</v>
      </c>
      <c r="C885" s="4">
        <f>(0.350336698877979/(0.0328453630665826+0.350336698877979+0.0822572721273277+0.0181224344560457+0.178561789731549)) * 1.47077209262605%</f>
        <v>7.7820133916838632E-3</v>
      </c>
      <c r="D885" t="s">
        <v>256</v>
      </c>
      <c r="E885" t="s">
        <v>364</v>
      </c>
      <c r="F885" t="s">
        <v>359</v>
      </c>
      <c r="G885" s="4" t="s">
        <v>245</v>
      </c>
    </row>
    <row r="886" spans="1:7" x14ac:dyDescent="0.25">
      <c r="A886" t="s">
        <v>612</v>
      </c>
      <c r="B886" t="s">
        <v>124</v>
      </c>
      <c r="C886" s="4">
        <f>(0.0822572721273277/(0.0328453630665826+0.350336698877979+0.0822572721273277+0.0181224344560457+0.178561789731549)) * 1.47077209262605%</f>
        <v>1.827177099368633E-3</v>
      </c>
      <c r="D886" t="s">
        <v>256</v>
      </c>
      <c r="E886" t="s">
        <v>361</v>
      </c>
      <c r="F886" t="s">
        <v>359</v>
      </c>
      <c r="G886" s="4" t="s">
        <v>245</v>
      </c>
    </row>
    <row r="887" spans="1:7" x14ac:dyDescent="0.25">
      <c r="A887" t="s">
        <v>612</v>
      </c>
      <c r="B887" t="s">
        <v>124</v>
      </c>
      <c r="C887" s="4">
        <f>(0.0181224344560457/(0.0328453630665826+0.350336698877979+0.0822572721273277+0.0181224344560457+0.178561789731549)) * 1.47077209262605%</f>
        <v>4.0255282440730141E-4</v>
      </c>
      <c r="D887" t="s">
        <v>256</v>
      </c>
      <c r="E887" t="s">
        <v>280</v>
      </c>
      <c r="F887" t="s">
        <v>359</v>
      </c>
      <c r="G887" s="4" t="s">
        <v>245</v>
      </c>
    </row>
    <row r="888" spans="1:7" x14ac:dyDescent="0.25">
      <c r="A888" t="s">
        <v>612</v>
      </c>
      <c r="B888" t="s">
        <v>124</v>
      </c>
      <c r="C888" s="4">
        <f>(0.178561789731549/(0.0328453630665826+0.350336698877979+0.0822572721273277+0.0181224344560457+0.178561789731549)) * 1.47077209262605%</f>
        <v>3.9663850329820418E-3</v>
      </c>
      <c r="D888" t="s">
        <v>256</v>
      </c>
      <c r="E888" t="s">
        <v>362</v>
      </c>
      <c r="F888" t="s">
        <v>359</v>
      </c>
      <c r="G888" s="4" t="s">
        <v>245</v>
      </c>
    </row>
    <row r="889" spans="1:7" x14ac:dyDescent="0.25">
      <c r="A889" t="s">
        <v>612</v>
      </c>
      <c r="B889" t="s">
        <v>164</v>
      </c>
      <c r="C889" s="4">
        <f>(0.0328453630665826/(0.0328453630665826+0.350336698877979+0.0822572721273277+0.0181224344560457+0.178561789731549)) * 0.146571810024648%</f>
        <v>7.2708548963893897E-5</v>
      </c>
      <c r="D889" t="s">
        <v>242</v>
      </c>
      <c r="E889" t="s">
        <v>366</v>
      </c>
      <c r="F889" t="s">
        <v>359</v>
      </c>
      <c r="G889" s="4" t="s">
        <v>245</v>
      </c>
    </row>
    <row r="890" spans="1:7" x14ac:dyDescent="0.25">
      <c r="A890" t="s">
        <v>612</v>
      </c>
      <c r="B890" t="s">
        <v>164</v>
      </c>
      <c r="C890" s="4">
        <f>(0.350336698877979/(0.0328453630665826+0.350336698877979+0.0822572721273277+0.0181224344560457+0.178561789731549)) * 0.146571810024648%</f>
        <v>7.7552721742128012E-4</v>
      </c>
      <c r="D890" t="s">
        <v>256</v>
      </c>
      <c r="E890" t="s">
        <v>364</v>
      </c>
      <c r="F890" t="s">
        <v>359</v>
      </c>
      <c r="G890" s="4" t="s">
        <v>245</v>
      </c>
    </row>
    <row r="891" spans="1:7" x14ac:dyDescent="0.25">
      <c r="A891" t="s">
        <v>612</v>
      </c>
      <c r="B891" t="s">
        <v>164</v>
      </c>
      <c r="C891" s="4">
        <f>(0.0822572721273277/(0.0328453630665826+0.350336698877979+0.0822572721273277+0.0181224344560457+0.178561789731549)) * 0.146571810024648%</f>
        <v>1.8208983977379502E-4</v>
      </c>
      <c r="D891" t="s">
        <v>256</v>
      </c>
      <c r="E891" t="s">
        <v>361</v>
      </c>
      <c r="F891" t="s">
        <v>359</v>
      </c>
      <c r="G891" s="4" t="s">
        <v>245</v>
      </c>
    </row>
    <row r="892" spans="1:7" x14ac:dyDescent="0.25">
      <c r="A892" t="s">
        <v>612</v>
      </c>
      <c r="B892" t="s">
        <v>164</v>
      </c>
      <c r="C892" s="4">
        <f>(0.0181224344560457/(0.0328453630665826+0.350336698877979+0.0822572721273277+0.0181224344560457+0.178561789731549)) * 0.146571810024648%</f>
        <v>4.0116953809317484E-5</v>
      </c>
      <c r="D892" t="s">
        <v>256</v>
      </c>
      <c r="E892" t="s">
        <v>280</v>
      </c>
      <c r="F892" t="s">
        <v>359</v>
      </c>
      <c r="G892" s="4" t="s">
        <v>245</v>
      </c>
    </row>
    <row r="893" spans="1:7" x14ac:dyDescent="0.25">
      <c r="A893" t="s">
        <v>612</v>
      </c>
      <c r="B893" t="s">
        <v>164</v>
      </c>
      <c r="C893" s="4">
        <f>(0.178561789731549/(0.0328453630665826+0.350336698877979+0.0822572721273277+0.0181224344560457+0.178561789731549)) * 0.146571810024648%</f>
        <v>3.9527554027819344E-4</v>
      </c>
      <c r="D893" t="s">
        <v>256</v>
      </c>
      <c r="E893" t="s">
        <v>362</v>
      </c>
      <c r="F893" t="s">
        <v>359</v>
      </c>
      <c r="G893" s="4" t="s">
        <v>245</v>
      </c>
    </row>
    <row r="894" spans="1:7" x14ac:dyDescent="0.25">
      <c r="A894" t="s">
        <v>612</v>
      </c>
      <c r="B894" t="s">
        <v>83</v>
      </c>
      <c r="C894" s="4">
        <v>9.4474436357721583E-2</v>
      </c>
      <c r="D894" t="s">
        <v>307</v>
      </c>
      <c r="E894" t="s">
        <v>358</v>
      </c>
      <c r="F894" t="s">
        <v>359</v>
      </c>
      <c r="G894" s="4" t="s">
        <v>245</v>
      </c>
    </row>
    <row r="895" spans="1:7" x14ac:dyDescent="0.25">
      <c r="A895" t="s">
        <v>612</v>
      </c>
      <c r="B895" t="s">
        <v>125</v>
      </c>
      <c r="C895" s="4">
        <f>(0.0328453630665826/(0.0328453630665826+0.350336698877979+0.0822572721273277+0.0181224344560457+0.178561789731549)) * 0.107671749346585%</f>
        <v>5.3411748535259235E-5</v>
      </c>
      <c r="D895" t="s">
        <v>242</v>
      </c>
      <c r="E895" t="s">
        <v>366</v>
      </c>
      <c r="F895" t="s">
        <v>359</v>
      </c>
      <c r="G895" s="4" t="s">
        <v>245</v>
      </c>
    </row>
    <row r="896" spans="1:7" x14ac:dyDescent="0.25">
      <c r="A896" t="s">
        <v>612</v>
      </c>
      <c r="B896" t="s">
        <v>125</v>
      </c>
      <c r="C896" s="4">
        <f>(0.350336698877979/(0.0328453630665826+0.350336698877979+0.0822572721273277+0.0181224344560457+0.178561789731549)) * 0.107671749346585%</f>
        <v>5.6970281087199905E-4</v>
      </c>
      <c r="D896" t="s">
        <v>256</v>
      </c>
      <c r="E896" t="s">
        <v>364</v>
      </c>
      <c r="F896" t="s">
        <v>359</v>
      </c>
      <c r="G896" s="4" t="s">
        <v>245</v>
      </c>
    </row>
    <row r="897" spans="1:7" x14ac:dyDescent="0.25">
      <c r="A897" t="s">
        <v>612</v>
      </c>
      <c r="B897" t="s">
        <v>125</v>
      </c>
      <c r="C897" s="4">
        <f>(0.0822572721273277/(0.0328453630665826+0.350336698877979+0.0822572721273277+0.0181224344560457+0.178561789731549)) * 0.107671749346585%</f>
        <v>1.3376331767607212E-4</v>
      </c>
      <c r="D897" t="s">
        <v>256</v>
      </c>
      <c r="E897" t="s">
        <v>361</v>
      </c>
      <c r="F897" t="s">
        <v>359</v>
      </c>
      <c r="G897" s="4" t="s">
        <v>245</v>
      </c>
    </row>
    <row r="898" spans="1:7" x14ac:dyDescent="0.25">
      <c r="A898" t="s">
        <v>612</v>
      </c>
      <c r="B898" t="s">
        <v>125</v>
      </c>
      <c r="C898" s="4">
        <f>(0.0181224344560457/(0.0328453630665826+0.350336698877979+0.0822572721273277+0.0181224344560457+0.178561789731549)) * 0.107671749346585%</f>
        <v>2.9469941009659265E-5</v>
      </c>
      <c r="D898" t="s">
        <v>256</v>
      </c>
      <c r="E898" t="s">
        <v>280</v>
      </c>
      <c r="F898" t="s">
        <v>359</v>
      </c>
      <c r="G898" s="4" t="s">
        <v>245</v>
      </c>
    </row>
    <row r="899" spans="1:7" x14ac:dyDescent="0.25">
      <c r="A899" t="s">
        <v>612</v>
      </c>
      <c r="B899" t="s">
        <v>125</v>
      </c>
      <c r="C899" s="4">
        <f>(0.178561789731549/(0.0328453630665826+0.350336698877979+0.0822572721273277+0.0181224344560457+0.178561789731549)) * 0.107671749346585%</f>
        <v>2.903696753728604E-4</v>
      </c>
      <c r="D899" t="s">
        <v>256</v>
      </c>
      <c r="E899" t="s">
        <v>362</v>
      </c>
      <c r="F899" t="s">
        <v>359</v>
      </c>
      <c r="G899" s="4" t="s">
        <v>245</v>
      </c>
    </row>
    <row r="900" spans="1:7" x14ac:dyDescent="0.25">
      <c r="A900" t="s">
        <v>612</v>
      </c>
      <c r="B900" t="s">
        <v>185</v>
      </c>
      <c r="C900" s="4">
        <f>(0.0328453630665826/(0.0328453630665826+0.350336698877979+0.0822572721273277+0.0181224344560457+0.178561789731549)) * 0.000150775428984743%</f>
        <v>7.4793800110988451E-8</v>
      </c>
      <c r="D900" t="s">
        <v>242</v>
      </c>
      <c r="E900" t="s">
        <v>366</v>
      </c>
      <c r="F900" t="s">
        <v>359</v>
      </c>
      <c r="G900" s="4" t="s">
        <v>245</v>
      </c>
    </row>
    <row r="901" spans="1:7" x14ac:dyDescent="0.25">
      <c r="A901" t="s">
        <v>612</v>
      </c>
      <c r="B901" t="s">
        <v>185</v>
      </c>
      <c r="C901" s="4">
        <f>(0.350336698877979/(0.0328453630665826+0.350336698877979+0.0822572721273277+0.0181224344560457+0.178561789731549)) * 0.000150775428984743%</f>
        <v>7.9776901763288709E-7</v>
      </c>
      <c r="D901" t="s">
        <v>256</v>
      </c>
      <c r="E901" t="s">
        <v>364</v>
      </c>
      <c r="F901" t="s">
        <v>359</v>
      </c>
      <c r="G901" s="4" t="s">
        <v>245</v>
      </c>
    </row>
    <row r="902" spans="1:7" x14ac:dyDescent="0.25">
      <c r="A902" t="s">
        <v>612</v>
      </c>
      <c r="B902" t="s">
        <v>185</v>
      </c>
      <c r="C902" s="4">
        <f>(0.0822572721273277/(0.0328453630665826+0.350336698877979+0.0822572721273277+0.0181224344560457+0.178561789731549)) * 0.000150775428984743%</f>
        <v>1.8731210115396812E-7</v>
      </c>
      <c r="D902" t="s">
        <v>256</v>
      </c>
      <c r="E902" t="s">
        <v>361</v>
      </c>
      <c r="F902" t="s">
        <v>359</v>
      </c>
      <c r="G902" s="4" t="s">
        <v>245</v>
      </c>
    </row>
    <row r="903" spans="1:7" x14ac:dyDescent="0.25">
      <c r="A903" t="s">
        <v>612</v>
      </c>
      <c r="B903" t="s">
        <v>185</v>
      </c>
      <c r="C903" s="4">
        <f>(0.0181224344560457/(0.0328453630665826+0.350336698877979+0.0822572721273277+0.0181224344560457+0.178561789731549)) * 0.000150775428984743%</f>
        <v>4.1267491471544244E-8</v>
      </c>
      <c r="D903" t="s">
        <v>256</v>
      </c>
      <c r="E903" t="s">
        <v>280</v>
      </c>
      <c r="F903" t="s">
        <v>359</v>
      </c>
      <c r="G903" s="4" t="s">
        <v>245</v>
      </c>
    </row>
    <row r="904" spans="1:7" x14ac:dyDescent="0.25">
      <c r="A904" t="s">
        <v>612</v>
      </c>
      <c r="B904" t="s">
        <v>185</v>
      </c>
      <c r="C904" s="4">
        <f>(0.178561789731549/(0.0328453630665826+0.350336698877979+0.0822572721273277+0.0181224344560457+0.178561789731549)) * 0.000150775428984743%</f>
        <v>4.0661187947804226E-7</v>
      </c>
      <c r="D904" t="s">
        <v>256</v>
      </c>
      <c r="E904" t="s">
        <v>362</v>
      </c>
      <c r="F904" t="s">
        <v>359</v>
      </c>
      <c r="G904" s="4" t="s">
        <v>245</v>
      </c>
    </row>
    <row r="905" spans="1:7" x14ac:dyDescent="0.25">
      <c r="A905" t="s">
        <v>612</v>
      </c>
      <c r="B905" t="s">
        <v>144</v>
      </c>
      <c r="C905" s="4">
        <f>(0.0328453630665826/(0.0328453630665826+0.350336698877979+0.0822572721273277+0.0181224344560457+0.178561789731549)) * 1.03271519227094%</f>
        <v>5.122896627282002E-4</v>
      </c>
      <c r="D905" t="s">
        <v>242</v>
      </c>
      <c r="E905" t="s">
        <v>366</v>
      </c>
      <c r="F905" t="s">
        <v>359</v>
      </c>
      <c r="G905" s="4" t="s">
        <v>245</v>
      </c>
    </row>
    <row r="906" spans="1:7" x14ac:dyDescent="0.25">
      <c r="A906" t="s">
        <v>612</v>
      </c>
      <c r="B906" t="s">
        <v>144</v>
      </c>
      <c r="C906" s="4">
        <f>(0.350336698877979/(0.0328453630665826+0.350336698877979+0.0822572721273277+0.0181224344560457+0.178561789731549)) * 1.03271519227094%</f>
        <v>5.4642071986139955E-3</v>
      </c>
      <c r="D906" t="s">
        <v>256</v>
      </c>
      <c r="E906" t="s">
        <v>364</v>
      </c>
      <c r="F906" t="s">
        <v>359</v>
      </c>
      <c r="G906" s="4" t="s">
        <v>245</v>
      </c>
    </row>
    <row r="907" spans="1:7" x14ac:dyDescent="0.25">
      <c r="A907" t="s">
        <v>612</v>
      </c>
      <c r="B907" t="s">
        <v>144</v>
      </c>
      <c r="C907" s="4">
        <f>(0.0822572721273277/(0.0328453630665826+0.350336698877979+0.0822572721273277+0.0181224344560457+0.178561789731549)) * 1.03271519227094%</f>
        <v>1.2829680131599441E-3</v>
      </c>
      <c r="D907" t="s">
        <v>256</v>
      </c>
      <c r="E907" t="s">
        <v>361</v>
      </c>
      <c r="F907" t="s">
        <v>359</v>
      </c>
      <c r="G907" s="4" t="s">
        <v>245</v>
      </c>
    </row>
    <row r="908" spans="1:7" x14ac:dyDescent="0.25">
      <c r="A908" t="s">
        <v>612</v>
      </c>
      <c r="B908" t="s">
        <v>144</v>
      </c>
      <c r="C908" s="4">
        <f>(0.0181224344560457/(0.0328453630665826+0.350336698877979+0.0822572721273277+0.0181224344560457+0.178561789731549)) * 1.03271519227094%</f>
        <v>2.8265590538553649E-4</v>
      </c>
      <c r="D908" t="s">
        <v>256</v>
      </c>
      <c r="E908" t="s">
        <v>280</v>
      </c>
      <c r="F908" t="s">
        <v>359</v>
      </c>
      <c r="G908" s="4" t="s">
        <v>245</v>
      </c>
    </row>
    <row r="909" spans="1:7" x14ac:dyDescent="0.25">
      <c r="A909" t="s">
        <v>612</v>
      </c>
      <c r="B909" t="s">
        <v>144</v>
      </c>
      <c r="C909" s="4">
        <f>(0.178561789731549/(0.0328453630665826+0.350336698877979+0.0822572721273277+0.0181224344560457+0.178561789731549)) * 1.03271519227094%</f>
        <v>2.7850311428217257E-3</v>
      </c>
      <c r="D909" t="s">
        <v>256</v>
      </c>
      <c r="E909" t="s">
        <v>362</v>
      </c>
      <c r="F909" t="s">
        <v>359</v>
      </c>
      <c r="G909" s="4" t="s">
        <v>245</v>
      </c>
    </row>
    <row r="910" spans="1:7" x14ac:dyDescent="0.25">
      <c r="A910" t="s">
        <v>612</v>
      </c>
      <c r="B910" t="s">
        <v>165</v>
      </c>
      <c r="C910" s="4">
        <f>(0.0328453630665826/(0.0328453630665826+0.350336698877979+0.0822572721273277+0.0181224344560457+0.178561789731549)) * 0.0269043675480375%</f>
        <v>1.3346205691804757E-5</v>
      </c>
      <c r="D910" t="s">
        <v>242</v>
      </c>
      <c r="E910" t="s">
        <v>366</v>
      </c>
      <c r="F910" t="s">
        <v>359</v>
      </c>
      <c r="G910" s="4" t="s">
        <v>245</v>
      </c>
    </row>
    <row r="911" spans="1:7" x14ac:dyDescent="0.25">
      <c r="A911" t="s">
        <v>612</v>
      </c>
      <c r="B911" t="s">
        <v>165</v>
      </c>
      <c r="C911" s="4">
        <f>(0.350336698877979/(0.0328453630665826+0.350336698877979+0.0822572721273277+0.0181224344560457+0.178561789731549)) * 0.0269043675480375%</f>
        <v>1.4235390350641214E-4</v>
      </c>
      <c r="D911" t="s">
        <v>256</v>
      </c>
      <c r="E911" t="s">
        <v>364</v>
      </c>
      <c r="F911" t="s">
        <v>359</v>
      </c>
      <c r="G911" s="4" t="s">
        <v>245</v>
      </c>
    </row>
    <row r="912" spans="1:7" x14ac:dyDescent="0.25">
      <c r="A912" t="s">
        <v>612</v>
      </c>
      <c r="B912" t="s">
        <v>165</v>
      </c>
      <c r="C912" s="4">
        <f>(0.0822572721273277/(0.0328453630665826+0.350336698877979+0.0822572721273277+0.0181224344560457+0.178561789731549)) * 0.0269043675480375%</f>
        <v>3.3423971329914018E-5</v>
      </c>
      <c r="D912" t="s">
        <v>256</v>
      </c>
      <c r="E912" t="s">
        <v>361</v>
      </c>
      <c r="F912" t="s">
        <v>359</v>
      </c>
      <c r="G912" s="4" t="s">
        <v>245</v>
      </c>
    </row>
    <row r="913" spans="1:7" x14ac:dyDescent="0.25">
      <c r="A913" t="s">
        <v>612</v>
      </c>
      <c r="B913" t="s">
        <v>165</v>
      </c>
      <c r="C913" s="4">
        <f>(0.0181224344560457/(0.0328453630665826+0.350336698877979+0.0822572721273277+0.0181224344560457+0.178561789731549)) * 0.0269043675480375%</f>
        <v>7.3637711781823424E-6</v>
      </c>
      <c r="D913" t="s">
        <v>256</v>
      </c>
      <c r="E913" t="s">
        <v>280</v>
      </c>
      <c r="F913" t="s">
        <v>359</v>
      </c>
      <c r="G913" s="4" t="s">
        <v>245</v>
      </c>
    </row>
    <row r="914" spans="1:7" x14ac:dyDescent="0.25">
      <c r="A914" t="s">
        <v>612</v>
      </c>
      <c r="B914" t="s">
        <v>165</v>
      </c>
      <c r="C914" s="4">
        <f>(0.178561789731549/(0.0328453630665826+0.350336698877979+0.0822572721273277+0.0181224344560457+0.178561789731549)) * 0.0269043675480375%</f>
        <v>7.255582377406174E-5</v>
      </c>
      <c r="D914" t="s">
        <v>256</v>
      </c>
      <c r="E914" t="s">
        <v>362</v>
      </c>
      <c r="F914" t="s">
        <v>359</v>
      </c>
      <c r="G914" s="4" t="s">
        <v>245</v>
      </c>
    </row>
    <row r="915" spans="1:7" x14ac:dyDescent="0.25">
      <c r="A915" t="s">
        <v>612</v>
      </c>
      <c r="B915" t="s">
        <v>85</v>
      </c>
      <c r="C915" s="4">
        <f>(0.0328453630665826/(0.0328453630665826+0.350336698877979+0.0822572721273277+0.0181224344560457+0.178561789731549)) * 2.48477906966856%</f>
        <v>1.2326018258290872E-3</v>
      </c>
      <c r="D915" t="s">
        <v>242</v>
      </c>
      <c r="E915" t="s">
        <v>366</v>
      </c>
      <c r="F915" t="s">
        <v>359</v>
      </c>
      <c r="G915" s="4" t="s">
        <v>245</v>
      </c>
    </row>
    <row r="916" spans="1:7" x14ac:dyDescent="0.25">
      <c r="A916" t="s">
        <v>612</v>
      </c>
      <c r="B916" t="s">
        <v>85</v>
      </c>
      <c r="C916" s="4">
        <f>(0.350336698877979/(0.0328453630665826+0.350336698877979+0.0822572721273277+0.0181224344560457+0.178561789731549)) * 2.48477906966856%</f>
        <v>1.3147233410589954E-2</v>
      </c>
      <c r="D916" t="s">
        <v>256</v>
      </c>
      <c r="E916" t="s">
        <v>364</v>
      </c>
      <c r="F916" t="s">
        <v>359</v>
      </c>
      <c r="G916" s="4" t="s">
        <v>245</v>
      </c>
    </row>
    <row r="917" spans="1:7" x14ac:dyDescent="0.25">
      <c r="A917" t="s">
        <v>612</v>
      </c>
      <c r="B917" t="s">
        <v>85</v>
      </c>
      <c r="C917" s="4">
        <f>(0.0822572721273277/(0.0328453630665826+0.350336698877979+0.0822572721273277+0.0181224344560457+0.178561789731549)) * 2.48477906966856%</f>
        <v>3.0869034270173887E-3</v>
      </c>
      <c r="D917" t="s">
        <v>256</v>
      </c>
      <c r="E917" t="s">
        <v>361</v>
      </c>
      <c r="F917" t="s">
        <v>359</v>
      </c>
      <c r="G917" s="4" t="s">
        <v>245</v>
      </c>
    </row>
    <row r="918" spans="1:7" x14ac:dyDescent="0.25">
      <c r="A918" t="s">
        <v>612</v>
      </c>
      <c r="B918" t="s">
        <v>85</v>
      </c>
      <c r="C918" s="4">
        <f>(0.0181224344560457/(0.0328453630665826+0.350336698877979+0.0822572721273277+0.0181224344560457+0.178561789731549)) * 2.48477906966856%</f>
        <v>6.800882594510478E-4</v>
      </c>
      <c r="D918" t="s">
        <v>256</v>
      </c>
      <c r="E918" t="s">
        <v>280</v>
      </c>
      <c r="F918" t="s">
        <v>359</v>
      </c>
      <c r="G918" s="4" t="s">
        <v>245</v>
      </c>
    </row>
    <row r="919" spans="1:7" x14ac:dyDescent="0.25">
      <c r="A919" t="s">
        <v>612</v>
      </c>
      <c r="B919" t="s">
        <v>85</v>
      </c>
      <c r="C919" s="4">
        <f>(0.178561789731549/(0.0328453630665826+0.350336698877979+0.0822572721273277+0.0181224344560457+0.178561789731549)) * 2.48477906966856%</f>
        <v>6.7009637737981236E-3</v>
      </c>
      <c r="D919" t="s">
        <v>256</v>
      </c>
      <c r="E919" t="s">
        <v>362</v>
      </c>
      <c r="F919" t="s">
        <v>359</v>
      </c>
      <c r="G919" s="4" t="s">
        <v>245</v>
      </c>
    </row>
    <row r="920" spans="1:7" x14ac:dyDescent="0.25">
      <c r="A920" t="s">
        <v>612</v>
      </c>
      <c r="B920" t="s">
        <v>147</v>
      </c>
      <c r="C920" s="4">
        <f>(0.0328453630665826/(0.0328453630665826+0.350336698877979+0.0822572721273277+0.0181224344560457+0.178561789731549)) * 0.254002318684857%</f>
        <v>1.2600062741897536E-4</v>
      </c>
      <c r="D920" t="s">
        <v>242</v>
      </c>
      <c r="E920" t="s">
        <v>366</v>
      </c>
      <c r="F920" t="s">
        <v>359</v>
      </c>
      <c r="G920" s="4" t="s">
        <v>245</v>
      </c>
    </row>
    <row r="921" spans="1:7" x14ac:dyDescent="0.25">
      <c r="A921" t="s">
        <v>612</v>
      </c>
      <c r="B921" t="s">
        <v>147</v>
      </c>
      <c r="C921" s="4">
        <f>(0.350336698877979/(0.0328453630665826+0.350336698877979+0.0822572721273277+0.0181224344560457+0.178561789731549)) * 0.254002318684857%</f>
        <v>1.3439535978650645E-3</v>
      </c>
      <c r="D921" t="s">
        <v>256</v>
      </c>
      <c r="E921" t="s">
        <v>364</v>
      </c>
      <c r="F921" t="s">
        <v>359</v>
      </c>
      <c r="G921" s="4" t="s">
        <v>245</v>
      </c>
    </row>
    <row r="922" spans="1:7" x14ac:dyDescent="0.25">
      <c r="A922" t="s">
        <v>612</v>
      </c>
      <c r="B922" t="s">
        <v>147</v>
      </c>
      <c r="C922" s="4">
        <f>(0.0822572721273277/(0.0328453630665826+0.350336698877979+0.0822572721273277+0.0181224344560457+0.178561789731549)) * 0.254002318684857%</f>
        <v>3.1555345808802031E-4</v>
      </c>
      <c r="D922" t="s">
        <v>256</v>
      </c>
      <c r="E922" t="s">
        <v>361</v>
      </c>
      <c r="F922" t="s">
        <v>359</v>
      </c>
      <c r="G922" s="4" t="s">
        <v>245</v>
      </c>
    </row>
    <row r="923" spans="1:7" x14ac:dyDescent="0.25">
      <c r="A923" t="s">
        <v>612</v>
      </c>
      <c r="B923" t="s">
        <v>147</v>
      </c>
      <c r="C923" s="4">
        <f>(0.0181224344560457/(0.0328453630665826+0.350336698877979+0.0822572721273277+0.0181224344560457+0.178561789731549)) * 0.254002318684857%</f>
        <v>6.9520866832622173E-5</v>
      </c>
      <c r="D923" t="s">
        <v>256</v>
      </c>
      <c r="E923" t="s">
        <v>280</v>
      </c>
      <c r="F923" t="s">
        <v>359</v>
      </c>
      <c r="G923" s="4" t="s">
        <v>245</v>
      </c>
    </row>
    <row r="924" spans="1:7" x14ac:dyDescent="0.25">
      <c r="A924" t="s">
        <v>612</v>
      </c>
      <c r="B924" t="s">
        <v>147</v>
      </c>
      <c r="C924" s="4">
        <f>(0.178561789731549/(0.0328453630665826+0.350336698877979+0.0822572721273277+0.0181224344560457+0.178561789731549)) * 0.254002318684857%</f>
        <v>6.8499463664388797E-4</v>
      </c>
      <c r="D924" t="s">
        <v>256</v>
      </c>
      <c r="E924" t="s">
        <v>362</v>
      </c>
      <c r="F924" t="s">
        <v>359</v>
      </c>
      <c r="G924" s="4" t="s">
        <v>245</v>
      </c>
    </row>
    <row r="925" spans="1:7" x14ac:dyDescent="0.25">
      <c r="A925" t="s">
        <v>612</v>
      </c>
      <c r="B925" t="s">
        <v>186</v>
      </c>
      <c r="C925" s="4">
        <f>(0.0328453630665826/(0.0328453630665826+0.350336698877979+0.0822572721273277+0.0181224344560457+0.178561789731549)) * 1.68448721668618%</f>
        <v>8.3560830184797744E-4</v>
      </c>
      <c r="D925" t="s">
        <v>242</v>
      </c>
      <c r="E925" t="s">
        <v>366</v>
      </c>
      <c r="F925" t="s">
        <v>359</v>
      </c>
      <c r="G925" s="4" t="s">
        <v>245</v>
      </c>
    </row>
    <row r="926" spans="1:7" x14ac:dyDescent="0.25">
      <c r="A926" t="s">
        <v>612</v>
      </c>
      <c r="B926" t="s">
        <v>186</v>
      </c>
      <c r="C926" s="4">
        <f>(0.350336698877979/(0.0328453630665826+0.350336698877979+0.0822572721273277+0.0181224344560457+0.178561789731549)) * 1.68448721668618%</f>
        <v>8.9128031080374006E-3</v>
      </c>
      <c r="D926" t="s">
        <v>256</v>
      </c>
      <c r="E926" t="s">
        <v>364</v>
      </c>
      <c r="F926" t="s">
        <v>359</v>
      </c>
      <c r="G926" s="4" t="s">
        <v>245</v>
      </c>
    </row>
    <row r="927" spans="1:7" x14ac:dyDescent="0.25">
      <c r="A927" t="s">
        <v>612</v>
      </c>
      <c r="B927" t="s">
        <v>186</v>
      </c>
      <c r="C927" s="4">
        <f>(0.0822572721273277/(0.0328453630665826+0.350336698877979+0.0822572721273277+0.0181224344560457+0.178561789731549)) * 1.68448721668618%</f>
        <v>2.0926807640283085E-3</v>
      </c>
      <c r="D927" t="s">
        <v>256</v>
      </c>
      <c r="E927" t="s">
        <v>361</v>
      </c>
      <c r="F927" t="s">
        <v>359</v>
      </c>
      <c r="G927" s="4" t="s">
        <v>245</v>
      </c>
    </row>
    <row r="928" spans="1:7" x14ac:dyDescent="0.25">
      <c r="A928" t="s">
        <v>612</v>
      </c>
      <c r="B928" t="s">
        <v>186</v>
      </c>
      <c r="C928" s="4">
        <f>(0.0181224344560457/(0.0328453630665826+0.350336698877979+0.0822572721273277+0.0181224344560457+0.178561789731549)) * 1.68448721668618%</f>
        <v>4.6104701751872596E-4</v>
      </c>
      <c r="D928" t="s">
        <v>256</v>
      </c>
      <c r="E928" t="s">
        <v>280</v>
      </c>
      <c r="F928" t="s">
        <v>359</v>
      </c>
      <c r="G928" s="4" t="s">
        <v>245</v>
      </c>
    </row>
    <row r="929" spans="1:8" x14ac:dyDescent="0.25">
      <c r="A929" t="s">
        <v>612</v>
      </c>
      <c r="B929" t="s">
        <v>186</v>
      </c>
      <c r="C929" s="4">
        <f>(0.178561789731549/(0.0328453630665826+0.350336698877979+0.0822572721273277+0.0181224344560457+0.178561789731549)) * 1.68448721668618%</f>
        <v>4.5427329754293873E-3</v>
      </c>
      <c r="D929" t="s">
        <v>256</v>
      </c>
      <c r="E929" t="s">
        <v>362</v>
      </c>
      <c r="F929" t="s">
        <v>359</v>
      </c>
      <c r="G929" s="4" t="s">
        <v>245</v>
      </c>
    </row>
    <row r="930" spans="1:8" x14ac:dyDescent="0.25">
      <c r="A930" t="s">
        <v>612</v>
      </c>
      <c r="B930" t="s">
        <v>187</v>
      </c>
      <c r="C930" s="4">
        <f>(0.0328453630665826/(0.0328453630665826+0.350336698877979+0.0822572721273277+0.0181224344560457+0.178561789731549)) * 0.0419095382405991%</f>
        <v>2.0789684678850318E-5</v>
      </c>
      <c r="D930" t="s">
        <v>242</v>
      </c>
      <c r="E930" t="s">
        <v>366</v>
      </c>
      <c r="F930" t="s">
        <v>359</v>
      </c>
      <c r="G930" s="4" t="s">
        <v>245</v>
      </c>
    </row>
    <row r="931" spans="1:8" x14ac:dyDescent="0.25">
      <c r="A931" t="s">
        <v>612</v>
      </c>
      <c r="B931" t="s">
        <v>187</v>
      </c>
      <c r="C931" s="4">
        <f>(0.350336698877979/(0.0328453630665826+0.350336698877979+0.0822572721273277+0.0181224344560457+0.178561789731549)) * 0.0419095382405991%</f>
        <v>2.2174787614123696E-4</v>
      </c>
      <c r="D931" t="s">
        <v>256</v>
      </c>
      <c r="E931" t="s">
        <v>364</v>
      </c>
      <c r="F931" t="s">
        <v>359</v>
      </c>
      <c r="G931" s="4" t="s">
        <v>245</v>
      </c>
    </row>
    <row r="932" spans="1:8" x14ac:dyDescent="0.25">
      <c r="A932" t="s">
        <v>612</v>
      </c>
      <c r="B932" t="s">
        <v>187</v>
      </c>
      <c r="C932" s="4">
        <f>(0.0822572721273277/(0.0328453630665826+0.350336698877979+0.0822572721273277+0.0181224344560457+0.178561789731549)) * 0.0419095382405991%</f>
        <v>5.2065271636756901E-5</v>
      </c>
      <c r="D932" t="s">
        <v>256</v>
      </c>
      <c r="E932" t="s">
        <v>361</v>
      </c>
      <c r="F932" t="s">
        <v>359</v>
      </c>
      <c r="G932" s="4" t="s">
        <v>245</v>
      </c>
    </row>
    <row r="933" spans="1:8" x14ac:dyDescent="0.25">
      <c r="A933" t="s">
        <v>612</v>
      </c>
      <c r="B933" t="s">
        <v>187</v>
      </c>
      <c r="C933" s="4">
        <f>(0.0181224344560457/(0.0328453630665826+0.350336698877979+0.0822572721273277+0.0181224344560457+0.178561789731549)) * 0.0419095382405991%</f>
        <v>1.147071192943042E-5</v>
      </c>
      <c r="D933" t="s">
        <v>256</v>
      </c>
      <c r="E933" t="s">
        <v>280</v>
      </c>
      <c r="F933" t="s">
        <v>359</v>
      </c>
      <c r="G933" s="4" t="s">
        <v>245</v>
      </c>
    </row>
    <row r="934" spans="1:8" x14ac:dyDescent="0.25">
      <c r="A934" t="s">
        <v>612</v>
      </c>
      <c r="B934" t="s">
        <v>187</v>
      </c>
      <c r="C934" s="4">
        <f>(0.178561789731549/(0.0328453630665826+0.350336698877979+0.0822572721273277+0.0181224344560457+0.178561789731549)) * 0.0419095382405991%</f>
        <v>1.1302183801971645E-4</v>
      </c>
      <c r="D934" t="s">
        <v>256</v>
      </c>
      <c r="E934" t="s">
        <v>362</v>
      </c>
      <c r="F934" t="s">
        <v>359</v>
      </c>
      <c r="G934" s="4" t="s">
        <v>245</v>
      </c>
    </row>
    <row r="935" spans="1:8" x14ac:dyDescent="0.25">
      <c r="A935" t="s">
        <v>612</v>
      </c>
      <c r="B935" t="s">
        <v>127</v>
      </c>
      <c r="C935" s="4">
        <f>(0.0328453630665826/(0.0328453630665826+0.350336698877979+0.0822572721273277+0.0181224344560457+0.178561789731549)) * 0.0146674337316358%</f>
        <v>7.2759408747969563E-6</v>
      </c>
      <c r="D935" t="s">
        <v>242</v>
      </c>
      <c r="E935" t="s">
        <v>366</v>
      </c>
      <c r="F935" t="s">
        <v>359</v>
      </c>
      <c r="G935" s="4" t="s">
        <v>245</v>
      </c>
    </row>
    <row r="936" spans="1:8" x14ac:dyDescent="0.25">
      <c r="A936" t="s">
        <v>612</v>
      </c>
      <c r="B936" t="s">
        <v>127</v>
      </c>
      <c r="C936" s="4">
        <f>(0.350336698877979/(0.0328453630665826+0.350336698877979+0.0822572721273277+0.0181224344560457+0.178561789731549)) * 0.0146674337316358%</f>
        <v>7.7606970035327253E-5</v>
      </c>
      <c r="D936" t="s">
        <v>256</v>
      </c>
      <c r="E936" t="s">
        <v>364</v>
      </c>
      <c r="F936" t="s">
        <v>359</v>
      </c>
      <c r="G936" s="4" t="s">
        <v>245</v>
      </c>
    </row>
    <row r="937" spans="1:8" x14ac:dyDescent="0.25">
      <c r="A937" t="s">
        <v>612</v>
      </c>
      <c r="B937" t="s">
        <v>127</v>
      </c>
      <c r="C937" s="4">
        <f>(0.0822572721273277/(0.0328453630665826+0.350336698877979+0.0822572721273277+0.0181224344560457+0.178561789731549)) * 0.0146674337316358%</f>
        <v>1.8221721200258019E-5</v>
      </c>
      <c r="D937" t="s">
        <v>256</v>
      </c>
      <c r="E937" t="s">
        <v>361</v>
      </c>
      <c r="F937" t="s">
        <v>359</v>
      </c>
      <c r="G937" s="4" t="s">
        <v>245</v>
      </c>
    </row>
    <row r="938" spans="1:8" x14ac:dyDescent="0.25">
      <c r="A938" t="s">
        <v>612</v>
      </c>
      <c r="B938" t="s">
        <v>127</v>
      </c>
      <c r="C938" s="4">
        <f>(0.0181224344560457/(0.0328453630665826+0.350336698877979+0.0822572721273277+0.0181224344560457+0.178561789731549)) * 0.0146674337316358%</f>
        <v>4.0145015703518234E-6</v>
      </c>
      <c r="D938" t="s">
        <v>256</v>
      </c>
      <c r="E938" t="s">
        <v>280</v>
      </c>
      <c r="F938" t="s">
        <v>359</v>
      </c>
      <c r="G938" s="4" t="s">
        <v>245</v>
      </c>
    </row>
    <row r="939" spans="1:8" x14ac:dyDescent="0.25">
      <c r="A939" t="s">
        <v>612</v>
      </c>
      <c r="B939" t="s">
        <v>127</v>
      </c>
      <c r="C939" s="4">
        <f>(0.178561789731549/(0.0328453630665826+0.350336698877979+0.0822572721273277+0.0181224344560457+0.178561789731549)) * 0.0146674337316358%</f>
        <v>3.9555203635623951E-5</v>
      </c>
      <c r="D939" t="s">
        <v>256</v>
      </c>
      <c r="E939" t="s">
        <v>362</v>
      </c>
      <c r="F939" t="s">
        <v>359</v>
      </c>
      <c r="G939" s="4" t="s">
        <v>245</v>
      </c>
    </row>
    <row r="940" spans="1:8" x14ac:dyDescent="0.25">
      <c r="A940" t="s">
        <v>612</v>
      </c>
      <c r="B940" t="s">
        <v>116</v>
      </c>
      <c r="C940" s="4">
        <f xml:space="preserve"> 5.74710702661144% * (0.0511377513993434/(0.0511377513993434+0.00710690436703483))</f>
        <v>5.0458557360369201E-2</v>
      </c>
      <c r="D940" t="s">
        <v>270</v>
      </c>
      <c r="E940" t="s">
        <v>358</v>
      </c>
      <c r="F940" t="s">
        <v>359</v>
      </c>
      <c r="G940" s="4" t="s">
        <v>245</v>
      </c>
      <c r="H940" t="s">
        <v>360</v>
      </c>
    </row>
    <row r="941" spans="1:8" x14ac:dyDescent="0.25">
      <c r="A941" t="s">
        <v>612</v>
      </c>
      <c r="B941" t="s">
        <v>116</v>
      </c>
      <c r="C941" s="4">
        <f xml:space="preserve"> 5.74710702661144% * (0.00710690436703483/(0.0511377513993434+0.00710690436703483))</f>
        <v>7.0125129057452022E-3</v>
      </c>
      <c r="D941" t="s">
        <v>288</v>
      </c>
      <c r="E941" t="s">
        <v>361</v>
      </c>
      <c r="F941" t="s">
        <v>359</v>
      </c>
      <c r="G941" s="4" t="s">
        <v>245</v>
      </c>
    </row>
    <row r="942" spans="1:8" x14ac:dyDescent="0.25">
      <c r="A942" t="s">
        <v>612</v>
      </c>
      <c r="B942" t="s">
        <v>188</v>
      </c>
      <c r="C942" s="4">
        <f>(0.0328453630665826/(0.0328453630665826+0.350336698877979+0.0822572721273277+0.0181224344560457+0.178561789731549)) * 0.0113262502253339%</f>
        <v>5.618510264337455E-6</v>
      </c>
      <c r="D942" t="s">
        <v>242</v>
      </c>
      <c r="E942" t="s">
        <v>366</v>
      </c>
      <c r="F942" t="s">
        <v>359</v>
      </c>
      <c r="G942" s="4" t="s">
        <v>245</v>
      </c>
    </row>
    <row r="943" spans="1:8" x14ac:dyDescent="0.25">
      <c r="A943" t="s">
        <v>612</v>
      </c>
      <c r="B943" t="s">
        <v>188</v>
      </c>
      <c r="C943" s="4">
        <f>(0.350336698877979/(0.0328453630665826+0.350336698877979+0.0822572721273277+0.0181224344560457+0.178561789731549)) * 0.0113262502253339%</f>
        <v>5.9928408604582508E-5</v>
      </c>
      <c r="D943" t="s">
        <v>256</v>
      </c>
      <c r="E943" t="s">
        <v>364</v>
      </c>
      <c r="F943" t="s">
        <v>359</v>
      </c>
      <c r="G943" s="4" t="s">
        <v>245</v>
      </c>
    </row>
    <row r="944" spans="1:8" x14ac:dyDescent="0.25">
      <c r="A944" t="s">
        <v>612</v>
      </c>
      <c r="B944" t="s">
        <v>188</v>
      </c>
      <c r="C944" s="4">
        <f>(0.0822572721273277/(0.0328453630665826+0.350336698877979+0.0822572721273277+0.0181224344560457+0.178561789731549)) * 0.0113262502253339%</f>
        <v>1.4070885038686092E-5</v>
      </c>
      <c r="D944" t="s">
        <v>256</v>
      </c>
      <c r="E944" t="s">
        <v>361</v>
      </c>
      <c r="F944" t="s">
        <v>359</v>
      </c>
      <c r="G944" s="4" t="s">
        <v>245</v>
      </c>
    </row>
    <row r="945" spans="1:7" x14ac:dyDescent="0.25">
      <c r="A945" t="s">
        <v>612</v>
      </c>
      <c r="B945" t="s">
        <v>188</v>
      </c>
      <c r="C945" s="4">
        <f>(0.0181224344560457/(0.0328453630665826+0.350336698877979+0.0822572721273277+0.0181224344560457+0.178561789731549)) * 0.0113262502253339%</f>
        <v>3.1000139593424049E-6</v>
      </c>
      <c r="D945" t="s">
        <v>256</v>
      </c>
      <c r="E945" t="s">
        <v>280</v>
      </c>
      <c r="F945" t="s">
        <v>359</v>
      </c>
      <c r="G945" s="4" t="s">
        <v>245</v>
      </c>
    </row>
    <row r="946" spans="1:7" x14ac:dyDescent="0.25">
      <c r="A946" t="s">
        <v>612</v>
      </c>
      <c r="B946" t="s">
        <v>188</v>
      </c>
      <c r="C946" s="4">
        <f>(0.178561789731549/(0.0328453630665826+0.350336698877979+0.0822572721273277+0.0181224344560457+0.178561789731549)) * 0.0113262502253339%</f>
        <v>3.0544684386390547E-5</v>
      </c>
      <c r="D946" t="s">
        <v>256</v>
      </c>
      <c r="E946" t="s">
        <v>362</v>
      </c>
      <c r="F946" t="s">
        <v>359</v>
      </c>
      <c r="G946" s="4" t="s">
        <v>245</v>
      </c>
    </row>
    <row r="947" spans="1:7" x14ac:dyDescent="0.25">
      <c r="A947" t="s">
        <v>612</v>
      </c>
      <c r="B947" t="s">
        <v>145</v>
      </c>
      <c r="C947" s="4">
        <v>1.0950819407161871E-2</v>
      </c>
      <c r="D947" t="s">
        <v>311</v>
      </c>
      <c r="E947" t="s">
        <v>362</v>
      </c>
      <c r="F947" t="s">
        <v>359</v>
      </c>
      <c r="G947" s="4" t="s">
        <v>245</v>
      </c>
    </row>
    <row r="948" spans="1:7" x14ac:dyDescent="0.25">
      <c r="A948" t="s">
        <v>612</v>
      </c>
      <c r="B948" t="s">
        <v>86</v>
      </c>
      <c r="C948" s="4">
        <f>(0.0328453630665826/(0.0328453630665826+0.350336698877979+0.0822572721273277+0.0181224344560457+0.178561789731549)) * 11.4699753952593%</f>
        <v>5.6898067063552455E-3</v>
      </c>
      <c r="D948" t="s">
        <v>242</v>
      </c>
      <c r="E948" t="s">
        <v>366</v>
      </c>
      <c r="F948" t="s">
        <v>359</v>
      </c>
      <c r="G948" s="4" t="s">
        <v>245</v>
      </c>
    </row>
    <row r="949" spans="1:7" x14ac:dyDescent="0.25">
      <c r="A949" t="s">
        <v>612</v>
      </c>
      <c r="B949" t="s">
        <v>86</v>
      </c>
      <c r="C949" s="4">
        <f>(0.350336698877979/(0.0328453630665826+0.350336698877979+0.0822572721273277+0.0181224344560457+0.178561789731549)) * 11.4699753952593%</f>
        <v>6.0688873942950791E-2</v>
      </c>
      <c r="D949" t="s">
        <v>256</v>
      </c>
      <c r="E949" t="s">
        <v>364</v>
      </c>
      <c r="F949" t="s">
        <v>359</v>
      </c>
      <c r="G949" s="4" t="s">
        <v>245</v>
      </c>
    </row>
    <row r="950" spans="1:7" x14ac:dyDescent="0.25">
      <c r="A950" t="s">
        <v>612</v>
      </c>
      <c r="B950" t="s">
        <v>86</v>
      </c>
      <c r="C950" s="4">
        <f>(0.0822572721273277/(0.0328453630665826+0.350336698877979+0.0822572721273277+0.0181224344560457+0.178561789731549)) * 11.4699753952593%</f>
        <v>1.4249438425990081E-2</v>
      </c>
      <c r="D950" t="s">
        <v>256</v>
      </c>
      <c r="E950" t="s">
        <v>361</v>
      </c>
      <c r="F950" t="s">
        <v>359</v>
      </c>
      <c r="G950" s="4" t="s">
        <v>245</v>
      </c>
    </row>
    <row r="951" spans="1:7" x14ac:dyDescent="0.25">
      <c r="A951" t="s">
        <v>612</v>
      </c>
      <c r="B951" t="s">
        <v>86</v>
      </c>
      <c r="C951" s="4">
        <f>(0.0181224344560457/(0.0328453630665826+0.350336698877979+0.0822572721273277+0.0181224344560457+0.178561789731549)) * 11.4699753952593%</f>
        <v>3.1393517829127354E-3</v>
      </c>
      <c r="D951" t="s">
        <v>256</v>
      </c>
      <c r="E951" t="s">
        <v>280</v>
      </c>
      <c r="F951" t="s">
        <v>359</v>
      </c>
      <c r="G951" s="4" t="s">
        <v>245</v>
      </c>
    </row>
    <row r="952" spans="1:7" x14ac:dyDescent="0.25">
      <c r="A952" t="s">
        <v>612</v>
      </c>
      <c r="B952" t="s">
        <v>86</v>
      </c>
      <c r="C952" s="4">
        <f>(0.178561789731549/(0.0328453630665826+0.350336698877979+0.0822572721273277+0.0181224344560457+0.178561789731549)) * 11.4699753952593%</f>
        <v>3.0932283094384155E-2</v>
      </c>
      <c r="D952" t="s">
        <v>256</v>
      </c>
      <c r="E952" t="s">
        <v>362</v>
      </c>
      <c r="F952" t="s">
        <v>359</v>
      </c>
      <c r="G952" s="4" t="s">
        <v>245</v>
      </c>
    </row>
    <row r="953" spans="1:7" x14ac:dyDescent="0.25">
      <c r="A953" t="s">
        <v>612</v>
      </c>
      <c r="B953" t="s">
        <v>87</v>
      </c>
      <c r="C953" s="4">
        <f>(0.0328453630665826/(0.0328453630665826+0.350336698877979+0.0822572721273277+0.0181224344560457+0.178561789731549)) * 1.33420574006883%</f>
        <v>6.6184734543013168E-4</v>
      </c>
      <c r="D953" t="s">
        <v>242</v>
      </c>
      <c r="E953" t="s">
        <v>366</v>
      </c>
      <c r="F953" t="s">
        <v>359</v>
      </c>
      <c r="G953" s="4" t="s">
        <v>245</v>
      </c>
    </row>
    <row r="954" spans="1:7" x14ac:dyDescent="0.25">
      <c r="A954" t="s">
        <v>612</v>
      </c>
      <c r="B954" t="s">
        <v>87</v>
      </c>
      <c r="C954" s="4">
        <f>(0.350336698877979/(0.0328453630665826+0.350336698877979+0.0822572721273277+0.0181224344560457+0.178561789731549)) * 1.33420574006883%</f>
        <v>7.0594261262727056E-3</v>
      </c>
      <c r="D954" t="s">
        <v>256</v>
      </c>
      <c r="E954" t="s">
        <v>364</v>
      </c>
      <c r="F954" t="s">
        <v>359</v>
      </c>
      <c r="G954" s="4" t="s">
        <v>245</v>
      </c>
    </row>
    <row r="955" spans="1:7" x14ac:dyDescent="0.25">
      <c r="A955" t="s">
        <v>612</v>
      </c>
      <c r="B955" t="s">
        <v>87</v>
      </c>
      <c r="C955" s="4">
        <f>(0.0822572721273277/(0.0328453630665826+0.350336698877979+0.0822572721273277+0.0181224344560457+0.178561789731549)) * 1.33420574006883%</f>
        <v>1.6575172906274161E-3</v>
      </c>
      <c r="D955" t="s">
        <v>256</v>
      </c>
      <c r="E955" t="s">
        <v>361</v>
      </c>
      <c r="F955" t="s">
        <v>359</v>
      </c>
      <c r="G955" s="4" t="s">
        <v>245</v>
      </c>
    </row>
    <row r="956" spans="1:7" x14ac:dyDescent="0.25">
      <c r="A956" t="s">
        <v>612</v>
      </c>
      <c r="B956" t="s">
        <v>87</v>
      </c>
      <c r="C956" s="4">
        <f>(0.0181224344560457/(0.0328453630665826+0.350336698877979+0.0822572721273277+0.0181224344560457+0.178561789731549)) * 1.33420574006883%</f>
        <v>3.6517438133203578E-4</v>
      </c>
      <c r="D956" t="s">
        <v>256</v>
      </c>
      <c r="E956" t="s">
        <v>280</v>
      </c>
      <c r="F956" t="s">
        <v>359</v>
      </c>
      <c r="G956" s="4" t="s">
        <v>245</v>
      </c>
    </row>
    <row r="957" spans="1:7" x14ac:dyDescent="0.25">
      <c r="A957" t="s">
        <v>612</v>
      </c>
      <c r="B957" t="s">
        <v>87</v>
      </c>
      <c r="C957" s="4">
        <f>(0.178561789731549/(0.0328453630665826+0.350336698877979+0.0822572721273277+0.0181224344560457+0.178561789731549)) * 1.33420574006883%</f>
        <v>3.5980922570260131E-3</v>
      </c>
      <c r="D957" t="s">
        <v>256</v>
      </c>
      <c r="E957" t="s">
        <v>362</v>
      </c>
      <c r="F957" t="s">
        <v>359</v>
      </c>
      <c r="G957" s="4" t="s">
        <v>245</v>
      </c>
    </row>
    <row r="958" spans="1:7" x14ac:dyDescent="0.25">
      <c r="A958" t="s">
        <v>612</v>
      </c>
      <c r="B958" t="s">
        <v>189</v>
      </c>
      <c r="C958" s="4">
        <f>(0.0328453630665826/(0.0328453630665826+0.350336698877979+0.0822572721273277+0.0181224344560457+0.178561789731549)) * 0.00452326286954228%</f>
        <v>2.2438140033296488E-6</v>
      </c>
      <c r="D958" t="s">
        <v>242</v>
      </c>
      <c r="E958" t="s">
        <v>366</v>
      </c>
      <c r="F958" t="s">
        <v>359</v>
      </c>
      <c r="G958" s="4" t="s">
        <v>245</v>
      </c>
    </row>
    <row r="959" spans="1:7" x14ac:dyDescent="0.25">
      <c r="A959" t="s">
        <v>612</v>
      </c>
      <c r="B959" t="s">
        <v>189</v>
      </c>
      <c r="C959" s="4">
        <f>(0.350336698877979/(0.0328453630665826+0.350336698877979+0.0822572721273277+0.0181224344560457+0.178561789731549)) * 0.00452326286954228%</f>
        <v>2.3933070528986561E-5</v>
      </c>
      <c r="D959" t="s">
        <v>256</v>
      </c>
      <c r="E959" t="s">
        <v>364</v>
      </c>
      <c r="F959" t="s">
        <v>359</v>
      </c>
      <c r="G959" s="4" t="s">
        <v>245</v>
      </c>
    </row>
    <row r="960" spans="1:7" x14ac:dyDescent="0.25">
      <c r="A960" t="s">
        <v>612</v>
      </c>
      <c r="B960" t="s">
        <v>189</v>
      </c>
      <c r="C960" s="4">
        <f>(0.0822572721273277/(0.0328453630665826+0.350336698877979+0.0822572721273277+0.0181224344560457+0.178561789731549)) * 0.00452326286954228%</f>
        <v>5.6193630346190315E-6</v>
      </c>
      <c r="D960" t="s">
        <v>256</v>
      </c>
      <c r="E960" t="s">
        <v>361</v>
      </c>
      <c r="F960" t="s">
        <v>359</v>
      </c>
      <c r="G960" s="4" t="s">
        <v>245</v>
      </c>
    </row>
    <row r="961" spans="1:7" x14ac:dyDescent="0.25">
      <c r="A961" t="s">
        <v>612</v>
      </c>
      <c r="B961" t="s">
        <v>189</v>
      </c>
      <c r="C961" s="4">
        <f>(0.0181224344560457/(0.0328453630665826+0.350336698877979+0.0822572721273277+0.0181224344560457+0.178561789731549)) * 0.00452326286954228%</f>
        <v>1.2380247441463248E-6</v>
      </c>
      <c r="D961" t="s">
        <v>256</v>
      </c>
      <c r="E961" t="s">
        <v>280</v>
      </c>
      <c r="F961" t="s">
        <v>359</v>
      </c>
      <c r="G961" s="4" t="s">
        <v>245</v>
      </c>
    </row>
    <row r="962" spans="1:7" x14ac:dyDescent="0.25">
      <c r="A962" t="s">
        <v>612</v>
      </c>
      <c r="B962" t="s">
        <v>189</v>
      </c>
      <c r="C962" s="4">
        <f>(0.178561789731549/(0.0328453630665826+0.350336698877979+0.0822572721273277+0.0181224344560457+0.178561789731549)) * 0.00452326286954228%</f>
        <v>1.2198356384341242E-5</v>
      </c>
      <c r="D962" t="s">
        <v>256</v>
      </c>
      <c r="E962" t="s">
        <v>362</v>
      </c>
      <c r="F962" t="s">
        <v>359</v>
      </c>
      <c r="G962" s="4" t="s">
        <v>245</v>
      </c>
    </row>
    <row r="963" spans="1:7" x14ac:dyDescent="0.25">
      <c r="A963" t="s">
        <v>612</v>
      </c>
      <c r="B963" t="s">
        <v>159</v>
      </c>
      <c r="C963" s="4">
        <f>(0.0328453630665826/(0.0328453630665826+0.350336698877979+0.0822572721273277+0.0181224344560457+0.178561789731549)) * 1.24178643311834%</f>
        <v>6.1600173771409914E-4</v>
      </c>
      <c r="D963" t="s">
        <v>242</v>
      </c>
      <c r="E963" t="s">
        <v>366</v>
      </c>
      <c r="F963" t="s">
        <v>359</v>
      </c>
      <c r="G963" s="4" t="s">
        <v>245</v>
      </c>
    </row>
    <row r="964" spans="1:7" x14ac:dyDescent="0.25">
      <c r="A964" t="s">
        <v>612</v>
      </c>
      <c r="B964" t="s">
        <v>159</v>
      </c>
      <c r="C964" s="4">
        <f>(0.350336698877979/(0.0328453630665826+0.350336698877979+0.0822572721273277+0.0181224344560457+0.178561789731549)) * 1.24178643311834%</f>
        <v>6.5704256292244394E-3</v>
      </c>
      <c r="D964" t="s">
        <v>256</v>
      </c>
      <c r="E964" t="s">
        <v>364</v>
      </c>
      <c r="F964" t="s">
        <v>359</v>
      </c>
      <c r="G964" s="4" t="s">
        <v>245</v>
      </c>
    </row>
    <row r="965" spans="1:7" x14ac:dyDescent="0.25">
      <c r="A965" t="s">
        <v>612</v>
      </c>
      <c r="B965" t="s">
        <v>159</v>
      </c>
      <c r="C965" s="4">
        <f>(0.0822572721273277/(0.0328453630665826+0.350336698877979+0.0822572721273277+0.0181224344560457+0.178561789731549)) * 1.24178643311834%</f>
        <v>1.5427024651040772E-3</v>
      </c>
      <c r="D965" t="s">
        <v>256</v>
      </c>
      <c r="E965" t="s">
        <v>361</v>
      </c>
      <c r="F965" t="s">
        <v>359</v>
      </c>
      <c r="G965" s="4" t="s">
        <v>245</v>
      </c>
    </row>
    <row r="966" spans="1:7" x14ac:dyDescent="0.25">
      <c r="A966" t="s">
        <v>612</v>
      </c>
      <c r="B966" t="s">
        <v>159</v>
      </c>
      <c r="C966" s="4">
        <f>(0.0181224344560457/(0.0328453630665826+0.350336698877979+0.0822572721273277+0.0181224344560457+0.178561789731549)) * 1.24178643311834%</f>
        <v>3.3987905975963741E-4</v>
      </c>
      <c r="D966" t="s">
        <v>256</v>
      </c>
      <c r="E966" t="s">
        <v>280</v>
      </c>
      <c r="F966" t="s">
        <v>359</v>
      </c>
      <c r="G966" s="4" t="s">
        <v>245</v>
      </c>
    </row>
    <row r="967" spans="1:7" x14ac:dyDescent="0.25">
      <c r="A967" t="s">
        <v>612</v>
      </c>
      <c r="B967" t="s">
        <v>159</v>
      </c>
      <c r="C967" s="4">
        <f>(0.178561789731549/(0.0328453630665826+0.350336698877979+0.0822572721273277+0.0181224344560457+0.178561789731549)) * 1.24178643311834%</f>
        <v>3.3488554393811465E-3</v>
      </c>
      <c r="D967" t="s">
        <v>256</v>
      </c>
      <c r="E967" t="s">
        <v>362</v>
      </c>
      <c r="F967" t="s">
        <v>359</v>
      </c>
      <c r="G967" s="4" t="s">
        <v>245</v>
      </c>
    </row>
    <row r="968" spans="1:7" x14ac:dyDescent="0.25">
      <c r="A968" t="s">
        <v>612</v>
      </c>
      <c r="B968" t="s">
        <v>190</v>
      </c>
      <c r="C968" s="4">
        <f>(0.0328453630665826/(0.0328453630665826+0.350336698877979+0.0822572721273277+0.0181224344560457+0.178561789731549)) * 0.0823414772771477%</f>
        <v>4.0846390116612939E-5</v>
      </c>
      <c r="D968" t="s">
        <v>242</v>
      </c>
      <c r="E968" t="s">
        <v>366</v>
      </c>
      <c r="F968" t="s">
        <v>359</v>
      </c>
      <c r="G968" s="4" t="s">
        <v>245</v>
      </c>
    </row>
    <row r="969" spans="1:7" x14ac:dyDescent="0.25">
      <c r="A969" t="s">
        <v>612</v>
      </c>
      <c r="B969" t="s">
        <v>190</v>
      </c>
      <c r="C969" s="4">
        <f>(0.350336698877979/(0.0328453630665826+0.350336698877979+0.0822572721273277+0.0181224344560457+0.178561789731549)) * 0.0823414772771477%</f>
        <v>4.3567761590967155E-4</v>
      </c>
      <c r="D969" t="s">
        <v>256</v>
      </c>
      <c r="E969" t="s">
        <v>364</v>
      </c>
      <c r="F969" t="s">
        <v>359</v>
      </c>
      <c r="G969" s="4" t="s">
        <v>245</v>
      </c>
    </row>
    <row r="970" spans="1:7" x14ac:dyDescent="0.25">
      <c r="A970" t="s">
        <v>612</v>
      </c>
      <c r="B970" t="s">
        <v>190</v>
      </c>
      <c r="C970" s="4">
        <f>(0.0822572721273277/(0.0328453630665826+0.350336698877979+0.0822572721273277+0.0181224344560457+0.178561789731549)) * 0.0823414772771477%</f>
        <v>1.0229488468220489E-4</v>
      </c>
      <c r="D970" t="s">
        <v>256</v>
      </c>
      <c r="E970" t="s">
        <v>361</v>
      </c>
      <c r="F970" t="s">
        <v>359</v>
      </c>
      <c r="G970" s="4" t="s">
        <v>245</v>
      </c>
    </row>
    <row r="971" spans="1:7" x14ac:dyDescent="0.25">
      <c r="A971" t="s">
        <v>612</v>
      </c>
      <c r="B971" t="s">
        <v>190</v>
      </c>
      <c r="C971" s="4">
        <f>(0.0181224344560457/(0.0328453630665826+0.350336698877979+0.0822572721273277+0.0181224344560457+0.178561789731549)) * 0.0823414772771477%</f>
        <v>2.2537002442439701E-5</v>
      </c>
      <c r="D971" t="s">
        <v>256</v>
      </c>
      <c r="E971" t="s">
        <v>280</v>
      </c>
      <c r="F971" t="s">
        <v>359</v>
      </c>
      <c r="G971" s="4" t="s">
        <v>245</v>
      </c>
    </row>
    <row r="972" spans="1:7" x14ac:dyDescent="0.25">
      <c r="A972" t="s">
        <v>612</v>
      </c>
      <c r="B972" t="s">
        <v>190</v>
      </c>
      <c r="C972" s="4">
        <f>(0.178561789731549/(0.0328453630665826+0.350336698877979+0.0822572721273277+0.0181224344560457+0.178561789731549)) * 0.0823414772771477%</f>
        <v>2.2205887962054805E-4</v>
      </c>
      <c r="D972" t="s">
        <v>256</v>
      </c>
      <c r="E972" t="s">
        <v>362</v>
      </c>
      <c r="F972" t="s">
        <v>359</v>
      </c>
      <c r="G972" s="4" t="s">
        <v>245</v>
      </c>
    </row>
    <row r="973" spans="1:7" x14ac:dyDescent="0.25">
      <c r="A973" t="s">
        <v>612</v>
      </c>
      <c r="B973" t="s">
        <v>166</v>
      </c>
      <c r="C973" s="4">
        <f>(0.0328453630665826/(0.0328453630665826+0.350336698877979+0.0822572721273277+0.0181224344560457+0.178561789731549)) * 0.00113986224312466%</f>
        <v>5.6544112883907404E-7</v>
      </c>
      <c r="D973" t="s">
        <v>242</v>
      </c>
      <c r="E973" t="s">
        <v>366</v>
      </c>
      <c r="F973" t="s">
        <v>359</v>
      </c>
      <c r="G973" s="4" t="s">
        <v>245</v>
      </c>
    </row>
    <row r="974" spans="1:7" x14ac:dyDescent="0.25">
      <c r="A974" t="s">
        <v>612</v>
      </c>
      <c r="B974" t="s">
        <v>166</v>
      </c>
      <c r="C974" s="4">
        <f>(0.350336698877979/(0.0328453630665826+0.350336698877979+0.0822572721273277+0.0181224344560457+0.178561789731549)) * 0.00113986224312466%</f>
        <v>6.0311337733046415E-6</v>
      </c>
      <c r="D974" t="s">
        <v>256</v>
      </c>
      <c r="E974" t="s">
        <v>364</v>
      </c>
      <c r="F974" t="s">
        <v>359</v>
      </c>
      <c r="G974" s="4" t="s">
        <v>245</v>
      </c>
    </row>
    <row r="975" spans="1:7" x14ac:dyDescent="0.25">
      <c r="A975" t="s">
        <v>612</v>
      </c>
      <c r="B975" t="s">
        <v>166</v>
      </c>
      <c r="C975" s="4">
        <f>(0.0822572721273277/(0.0328453630665826+0.350336698877979+0.0822572721273277+0.0181224344560457+0.178561789731549)) * 0.00113986224312466%</f>
        <v>1.4160794847240025E-6</v>
      </c>
      <c r="D975" t="s">
        <v>256</v>
      </c>
      <c r="E975" t="s">
        <v>361</v>
      </c>
      <c r="F975" t="s">
        <v>359</v>
      </c>
      <c r="G975" s="4" t="s">
        <v>245</v>
      </c>
    </row>
    <row r="976" spans="1:7" x14ac:dyDescent="0.25">
      <c r="A976" t="s">
        <v>612</v>
      </c>
      <c r="B976" t="s">
        <v>166</v>
      </c>
      <c r="C976" s="4">
        <f>(0.0181224344560457/(0.0328453630665826+0.350336698877979+0.0822572721273277+0.0181224344560457+0.178561789731549)) * 0.00113986224312466%</f>
        <v>3.1198223552487527E-7</v>
      </c>
      <c r="D976" t="s">
        <v>256</v>
      </c>
      <c r="E976" t="s">
        <v>280</v>
      </c>
      <c r="F976" t="s">
        <v>359</v>
      </c>
      <c r="G976" s="4" t="s">
        <v>245</v>
      </c>
    </row>
    <row r="977" spans="1:7" x14ac:dyDescent="0.25">
      <c r="A977" t="s">
        <v>612</v>
      </c>
      <c r="B977" t="s">
        <v>166</v>
      </c>
      <c r="C977" s="4">
        <f>(0.178561789731549/(0.0328453630665826+0.350336698877979+0.0822572721273277+0.0181224344560457+0.178561789731549)) * 0.00113986224312466%</f>
        <v>3.0739858088540069E-6</v>
      </c>
      <c r="D977" t="s">
        <v>256</v>
      </c>
      <c r="E977" t="s">
        <v>362</v>
      </c>
      <c r="F977" t="s">
        <v>359</v>
      </c>
      <c r="G977" s="4" t="s">
        <v>245</v>
      </c>
    </row>
    <row r="978" spans="1:7" x14ac:dyDescent="0.25">
      <c r="A978" t="s">
        <v>612</v>
      </c>
      <c r="B978" t="s">
        <v>89</v>
      </c>
      <c r="C978" s="4">
        <f>(0.0328453630665826/(0.0328453630665826+0.350336698877979+0.0822572721273277+0.0181224344560457+0.178561789731549)) * 0.917197089599987%</f>
        <v>4.5498564483516409E-4</v>
      </c>
      <c r="D978" t="s">
        <v>242</v>
      </c>
      <c r="E978" t="s">
        <v>366</v>
      </c>
      <c r="F978" t="s">
        <v>359</v>
      </c>
      <c r="G978" s="4" t="s">
        <v>245</v>
      </c>
    </row>
    <row r="979" spans="1:7" x14ac:dyDescent="0.25">
      <c r="A979" t="s">
        <v>612</v>
      </c>
      <c r="B979" t="s">
        <v>89</v>
      </c>
      <c r="C979" s="4">
        <f>(0.350336698877979/(0.0328453630665826+0.350336698877979+0.0822572721273277+0.0181224344560457+0.178561789731549)) * 0.917197089599987%</f>
        <v>4.8529884880643692E-3</v>
      </c>
      <c r="D979" t="s">
        <v>256</v>
      </c>
      <c r="E979" t="s">
        <v>364</v>
      </c>
      <c r="F979" t="s">
        <v>359</v>
      </c>
      <c r="G979" s="4" t="s">
        <v>245</v>
      </c>
    </row>
    <row r="980" spans="1:7" x14ac:dyDescent="0.25">
      <c r="A980" t="s">
        <v>612</v>
      </c>
      <c r="B980" t="s">
        <v>89</v>
      </c>
      <c r="C980" s="4">
        <f>(0.0822572721273277/(0.0328453630665826+0.350336698877979+0.0822572721273277+0.0181224344560457+0.178561789731549)) * 0.917197089599987%</f>
        <v>1.1394569737398167E-3</v>
      </c>
      <c r="D980" t="s">
        <v>256</v>
      </c>
      <c r="E980" t="s">
        <v>361</v>
      </c>
      <c r="F980" t="s">
        <v>359</v>
      </c>
      <c r="G980" s="4" t="s">
        <v>245</v>
      </c>
    </row>
    <row r="981" spans="1:7" x14ac:dyDescent="0.25">
      <c r="A981" t="s">
        <v>612</v>
      </c>
      <c r="B981" t="s">
        <v>89</v>
      </c>
      <c r="C981" s="4">
        <f>(0.0181224344560457/(0.0328453630665826+0.350336698877979+0.0822572721273277+0.0181224344560457+0.178561789731549)) * 0.917197089599987%</f>
        <v>2.5103840411969748E-4</v>
      </c>
      <c r="D981" t="s">
        <v>256</v>
      </c>
      <c r="E981" t="s">
        <v>280</v>
      </c>
      <c r="F981" t="s">
        <v>359</v>
      </c>
      <c r="G981" s="4" t="s">
        <v>245</v>
      </c>
    </row>
    <row r="982" spans="1:7" x14ac:dyDescent="0.25">
      <c r="A982" t="s">
        <v>612</v>
      </c>
      <c r="B982" t="s">
        <v>89</v>
      </c>
      <c r="C982" s="4">
        <f>(0.178561789731549/(0.0328453630665826+0.350336698877979+0.0822572721273277+0.0181224344560457+0.178561789731549)) * 0.917197089599987%</f>
        <v>2.4735013852408222E-3</v>
      </c>
      <c r="D982" t="s">
        <v>256</v>
      </c>
      <c r="E982" t="s">
        <v>362</v>
      </c>
      <c r="F982" t="s">
        <v>359</v>
      </c>
      <c r="G982" s="4" t="s">
        <v>245</v>
      </c>
    </row>
    <row r="983" spans="1:7" x14ac:dyDescent="0.25">
      <c r="A983" t="s">
        <v>612</v>
      </c>
      <c r="B983" t="s">
        <v>167</v>
      </c>
      <c r="C983" s="4">
        <f>(0.0328453630665826/(0.0328453630665826+0.350336698877979+0.0822572721273277+0.0181224344560457+0.178561789731549)) * 0.256758493526698%</f>
        <v>1.2736785808500418E-4</v>
      </c>
      <c r="D983" t="s">
        <v>242</v>
      </c>
      <c r="E983" t="s">
        <v>366</v>
      </c>
      <c r="F983" t="s">
        <v>359</v>
      </c>
      <c r="G983" s="4" t="s">
        <v>245</v>
      </c>
    </row>
    <row r="984" spans="1:7" x14ac:dyDescent="0.25">
      <c r="A984" t="s">
        <v>612</v>
      </c>
      <c r="B984" t="s">
        <v>167</v>
      </c>
      <c r="C984" s="4">
        <f>(0.350336698877979/(0.0328453630665826+0.350336698877979+0.0822572721273277+0.0181224344560457+0.178561789731549)) * 0.256758493526698%</f>
        <v>1.3585368155073932E-3</v>
      </c>
      <c r="D984" t="s">
        <v>256</v>
      </c>
      <c r="E984" t="s">
        <v>364</v>
      </c>
      <c r="F984" t="s">
        <v>359</v>
      </c>
      <c r="G984" s="4" t="s">
        <v>245</v>
      </c>
    </row>
    <row r="985" spans="1:7" x14ac:dyDescent="0.25">
      <c r="A985" t="s">
        <v>612</v>
      </c>
      <c r="B985" t="s">
        <v>167</v>
      </c>
      <c r="C985" s="4">
        <f>(0.0822572721273277/(0.0328453630665826+0.350336698877979+0.0822572721273277+0.0181224344560457+0.178561789731549)) * 0.256758493526698%</f>
        <v>3.189775232971147E-4</v>
      </c>
      <c r="D985" t="s">
        <v>256</v>
      </c>
      <c r="E985" t="s">
        <v>361</v>
      </c>
      <c r="F985" t="s">
        <v>359</v>
      </c>
      <c r="G985" s="4" t="s">
        <v>245</v>
      </c>
    </row>
    <row r="986" spans="1:7" x14ac:dyDescent="0.25">
      <c r="A986" t="s">
        <v>612</v>
      </c>
      <c r="B986" t="s">
        <v>167</v>
      </c>
      <c r="C986" s="4">
        <f>(0.0181224344560457/(0.0328453630665826+0.350336698877979+0.0822572721273277+0.0181224344560457+0.178561789731549)) * 0.256758493526698%</f>
        <v>7.0275236576721972E-5</v>
      </c>
      <c r="D986" t="s">
        <v>256</v>
      </c>
      <c r="E986" t="s">
        <v>280</v>
      </c>
      <c r="F986" t="s">
        <v>359</v>
      </c>
      <c r="G986" s="4" t="s">
        <v>245</v>
      </c>
    </row>
    <row r="987" spans="1:7" x14ac:dyDescent="0.25">
      <c r="A987" t="s">
        <v>612</v>
      </c>
      <c r="B987" t="s">
        <v>167</v>
      </c>
      <c r="C987" s="4">
        <f>(0.178561789731549/(0.0328453630665826+0.350336698877979+0.0822572721273277+0.0181224344560457+0.178561789731549)) * 0.256758493526698%</f>
        <v>6.9242750180074626E-4</v>
      </c>
      <c r="D987" t="s">
        <v>256</v>
      </c>
      <c r="E987" t="s">
        <v>362</v>
      </c>
      <c r="F987" t="s">
        <v>359</v>
      </c>
      <c r="G987" s="4" t="s">
        <v>245</v>
      </c>
    </row>
    <row r="988" spans="1:7" x14ac:dyDescent="0.25">
      <c r="A988" t="s">
        <v>612</v>
      </c>
      <c r="B988" t="s">
        <v>128</v>
      </c>
      <c r="C988" s="4">
        <f>(0.0328453630665826/(0.0328453630665826+0.350336698877979+0.0822572721273277+0.0181224344560457+0.178561789731549)) * 0.443695901399142%</f>
        <v>2.2010020321461219E-4</v>
      </c>
      <c r="D988" t="s">
        <v>242</v>
      </c>
      <c r="E988" t="s">
        <v>366</v>
      </c>
      <c r="F988" t="s">
        <v>359</v>
      </c>
      <c r="G988" s="4" t="s">
        <v>245</v>
      </c>
    </row>
    <row r="989" spans="1:7" x14ac:dyDescent="0.25">
      <c r="A989" t="s">
        <v>612</v>
      </c>
      <c r="B989" t="s">
        <v>128</v>
      </c>
      <c r="C989" s="4">
        <f>(0.350336698877979/(0.0328453630665826+0.350336698877979+0.0822572721273277+0.0181224344560457+0.178561789731549)) * 0.443695901399142%</f>
        <v>2.3476427543293529E-3</v>
      </c>
      <c r="D989" t="s">
        <v>256</v>
      </c>
      <c r="E989" t="s">
        <v>364</v>
      </c>
      <c r="F989" t="s">
        <v>359</v>
      </c>
      <c r="G989" s="4" t="s">
        <v>245</v>
      </c>
    </row>
    <row r="990" spans="1:7" x14ac:dyDescent="0.25">
      <c r="A990" t="s">
        <v>612</v>
      </c>
      <c r="B990" t="s">
        <v>128</v>
      </c>
      <c r="C990" s="4">
        <f>(0.0822572721273277/(0.0328453630665826+0.350336698877979+0.0822572721273277+0.0181224344560457+0.178561789731549)) * 0.443695901399142%</f>
        <v>5.5121455879185075E-4</v>
      </c>
      <c r="D990" t="s">
        <v>256</v>
      </c>
      <c r="E990" t="s">
        <v>361</v>
      </c>
      <c r="F990" t="s">
        <v>359</v>
      </c>
      <c r="G990" s="4" t="s">
        <v>245</v>
      </c>
    </row>
    <row r="991" spans="1:7" x14ac:dyDescent="0.25">
      <c r="A991" t="s">
        <v>612</v>
      </c>
      <c r="B991" t="s">
        <v>128</v>
      </c>
      <c r="C991" s="4">
        <f>(0.0181224344560457/(0.0328453630665826+0.350336698877979+0.0822572721273277+0.0181224344560457+0.178561789731549)) * 0.443695901399142%</f>
        <v>1.2144032320280144E-4</v>
      </c>
      <c r="D991" t="s">
        <v>256</v>
      </c>
      <c r="E991" t="s">
        <v>280</v>
      </c>
      <c r="F991" t="s">
        <v>359</v>
      </c>
      <c r="G991" s="4" t="s">
        <v>245</v>
      </c>
    </row>
    <row r="992" spans="1:7" x14ac:dyDescent="0.25">
      <c r="A992" t="s">
        <v>612</v>
      </c>
      <c r="B992" t="s">
        <v>128</v>
      </c>
      <c r="C992" s="4">
        <f>(0.178561789731549/(0.0328453630665826+0.350336698877979+0.0822572721273277+0.0181224344560457+0.178561789731549)) * 0.443695901399142%</f>
        <v>1.1965611744528027E-3</v>
      </c>
      <c r="D992" t="s">
        <v>256</v>
      </c>
      <c r="E992" t="s">
        <v>362</v>
      </c>
      <c r="F992" t="s">
        <v>359</v>
      </c>
      <c r="G992" s="4" t="s">
        <v>245</v>
      </c>
    </row>
    <row r="993" spans="1:7" x14ac:dyDescent="0.25">
      <c r="A993" t="s">
        <v>612</v>
      </c>
      <c r="B993" t="s">
        <v>191</v>
      </c>
      <c r="C993" s="4">
        <f>(0.0328453630665826/(0.0328453630665826+0.350336698877979+0.0822572721273277+0.0181224344560457+0.178561789731549)) * 0.00603101715938971%</f>
        <v>2.9917520044395329E-6</v>
      </c>
      <c r="D993" t="s">
        <v>242</v>
      </c>
      <c r="E993" t="s">
        <v>366</v>
      </c>
      <c r="F993" t="s">
        <v>359</v>
      </c>
      <c r="G993" s="4" t="s">
        <v>245</v>
      </c>
    </row>
    <row r="994" spans="1:7" x14ac:dyDescent="0.25">
      <c r="A994" t="s">
        <v>612</v>
      </c>
      <c r="B994" t="s">
        <v>191</v>
      </c>
      <c r="C994" s="4">
        <f>(0.350336698877979/(0.0328453630665826+0.350336698877979+0.0822572721273277+0.0181224344560457+0.178561789731549)) * 0.00603101715938971%</f>
        <v>3.1910760705315428E-5</v>
      </c>
      <c r="D994" t="s">
        <v>256</v>
      </c>
      <c r="E994" t="s">
        <v>364</v>
      </c>
      <c r="F994" t="s">
        <v>359</v>
      </c>
      <c r="G994" s="4" t="s">
        <v>245</v>
      </c>
    </row>
    <row r="995" spans="1:7" x14ac:dyDescent="0.25">
      <c r="A995" t="s">
        <v>612</v>
      </c>
      <c r="B995" t="s">
        <v>191</v>
      </c>
      <c r="C995" s="4">
        <f>(0.0822572721273277/(0.0328453630665826+0.350336698877979+0.0822572721273277+0.0181224344560457+0.178561789731549)) * 0.00603101715938971%</f>
        <v>7.4924840461587126E-6</v>
      </c>
      <c r="D995" t="s">
        <v>256</v>
      </c>
      <c r="E995" t="s">
        <v>361</v>
      </c>
      <c r="F995" t="s">
        <v>359</v>
      </c>
      <c r="G995" s="4" t="s">
        <v>245</v>
      </c>
    </row>
    <row r="996" spans="1:7" x14ac:dyDescent="0.25">
      <c r="A996" t="s">
        <v>612</v>
      </c>
      <c r="B996" t="s">
        <v>191</v>
      </c>
      <c r="C996" s="4">
        <f>(0.0181224344560457/(0.0328453630665826+0.350336698877979+0.0822572721273277+0.0181224344560457+0.178561789731549)) * 0.00603101715938971%</f>
        <v>1.650699658861767E-6</v>
      </c>
      <c r="D996" t="s">
        <v>256</v>
      </c>
      <c r="E996" t="s">
        <v>280</v>
      </c>
      <c r="F996" t="s">
        <v>359</v>
      </c>
      <c r="G996" s="4" t="s">
        <v>245</v>
      </c>
    </row>
    <row r="997" spans="1:7" x14ac:dyDescent="0.25">
      <c r="A997" t="s">
        <v>612</v>
      </c>
      <c r="B997" t="s">
        <v>191</v>
      </c>
      <c r="C997" s="4">
        <f>(0.178561789731549/(0.0328453630665826+0.350336698877979+0.0822572721273277+0.0181224344560457+0.178561789731549)) * 0.00603101715938971%</f>
        <v>1.6264475179121662E-5</v>
      </c>
      <c r="D997" t="s">
        <v>256</v>
      </c>
      <c r="E997" t="s">
        <v>362</v>
      </c>
      <c r="F997" t="s">
        <v>359</v>
      </c>
      <c r="G997" s="4" t="s">
        <v>245</v>
      </c>
    </row>
    <row r="998" spans="1:7" x14ac:dyDescent="0.25">
      <c r="A998" t="s">
        <v>612</v>
      </c>
      <c r="B998" t="s">
        <v>168</v>
      </c>
      <c r="C998" s="4">
        <f>(0.0328453630665826/(0.0328453630665826+0.350336698877979+0.0822572721273277+0.0181224344560457+0.178561789731549)) * 0.11157381744871%</f>
        <v>5.5347412082131544E-5</v>
      </c>
      <c r="D998" t="s">
        <v>242</v>
      </c>
      <c r="E998" t="s">
        <v>366</v>
      </c>
      <c r="F998" t="s">
        <v>359</v>
      </c>
      <c r="G998" s="4" t="s">
        <v>245</v>
      </c>
    </row>
    <row r="999" spans="1:7" x14ac:dyDescent="0.25">
      <c r="A999" t="s">
        <v>612</v>
      </c>
      <c r="B999" t="s">
        <v>168</v>
      </c>
      <c r="C999" s="4">
        <f>(0.350336698877979/(0.0328453630665826+0.350336698877979+0.0822572721273277+0.0181224344560457+0.178561789731549)) * 0.11157381744871%</f>
        <v>5.9034907304833745E-4</v>
      </c>
      <c r="D999" t="s">
        <v>256</v>
      </c>
      <c r="E999" t="s">
        <v>364</v>
      </c>
      <c r="F999" t="s">
        <v>359</v>
      </c>
      <c r="G999" s="4" t="s">
        <v>245</v>
      </c>
    </row>
    <row r="1000" spans="1:7" x14ac:dyDescent="0.25">
      <c r="A1000" t="s">
        <v>612</v>
      </c>
      <c r="B1000" t="s">
        <v>168</v>
      </c>
      <c r="C1000" s="4">
        <f>(0.0822572721273277/(0.0328453630665826+0.350336698877979+0.0822572721273277+0.0181224344560457+0.178561789731549)) * 0.11157381744871%</f>
        <v>1.3861095485393664E-4</v>
      </c>
      <c r="D1000" t="s">
        <v>256</v>
      </c>
      <c r="E1000" t="s">
        <v>361</v>
      </c>
      <c r="F1000" t="s">
        <v>359</v>
      </c>
      <c r="G1000" s="4" t="s">
        <v>245</v>
      </c>
    </row>
    <row r="1001" spans="1:7" x14ac:dyDescent="0.25">
      <c r="A1001" t="s">
        <v>612</v>
      </c>
      <c r="B1001" t="s">
        <v>168</v>
      </c>
      <c r="C1001" s="4">
        <f>(0.0181224344560457/(0.0328453630665826+0.350336698877979+0.0822572721273277+0.0181224344560457+0.178561789731549)) * 0.11157381744871%</f>
        <v>3.0537943688942788E-5</v>
      </c>
      <c r="D1001" t="s">
        <v>256</v>
      </c>
      <c r="E1001" t="s">
        <v>280</v>
      </c>
      <c r="F1001" t="s">
        <v>359</v>
      </c>
      <c r="G1001" s="4" t="s">
        <v>245</v>
      </c>
    </row>
    <row r="1002" spans="1:7" x14ac:dyDescent="0.25">
      <c r="A1002" t="s">
        <v>612</v>
      </c>
      <c r="B1002" t="s">
        <v>168</v>
      </c>
      <c r="C1002" s="4">
        <f>(0.178561789731549/(0.0328453630665826+0.350336698877979+0.0822572721273277+0.0181224344560457+0.178561789731549)) * 0.11157381744871%</f>
        <v>3.0089279081375176E-4</v>
      </c>
      <c r="D1002" t="s">
        <v>256</v>
      </c>
      <c r="E1002" t="s">
        <v>362</v>
      </c>
      <c r="F1002" t="s">
        <v>359</v>
      </c>
      <c r="G1002" s="4" t="s">
        <v>245</v>
      </c>
    </row>
    <row r="1003" spans="1:7" x14ac:dyDescent="0.25">
      <c r="A1003" t="s">
        <v>612</v>
      </c>
      <c r="B1003" t="s">
        <v>192</v>
      </c>
      <c r="C1003" s="4">
        <f>(0.0328453630665826/(0.0328453630665826+0.350336698877979+0.0822572721273277+0.0181224344560457+0.178561789731549)) * 0.000114589326028404%</f>
        <v>5.6843288084350883E-8</v>
      </c>
      <c r="D1003" t="s">
        <v>242</v>
      </c>
      <c r="E1003" t="s">
        <v>366</v>
      </c>
      <c r="F1003" t="s">
        <v>359</v>
      </c>
      <c r="G1003" s="4" t="s">
        <v>245</v>
      </c>
    </row>
    <row r="1004" spans="1:7" x14ac:dyDescent="0.25">
      <c r="A1004" t="s">
        <v>612</v>
      </c>
      <c r="B1004" t="s">
        <v>192</v>
      </c>
      <c r="C1004" s="4">
        <f>(0.350336698877979/(0.0328453630665826+0.350336698877979+0.0822572721273277+0.0181224344560457+0.178561789731549)) * 0.000114589326028404%</f>
        <v>6.0630445340099056E-7</v>
      </c>
      <c r="D1004" t="s">
        <v>256</v>
      </c>
      <c r="E1004" t="s">
        <v>364</v>
      </c>
      <c r="F1004" t="s">
        <v>359</v>
      </c>
      <c r="G1004" s="4" t="s">
        <v>245</v>
      </c>
    </row>
    <row r="1005" spans="1:7" x14ac:dyDescent="0.25">
      <c r="A1005" t="s">
        <v>612</v>
      </c>
      <c r="B1005" t="s">
        <v>192</v>
      </c>
      <c r="C1005" s="4">
        <f>(0.0822572721273277/(0.0328453630665826+0.350336698877979+0.0822572721273277+0.0181224344560457+0.178561789731549)) * 0.000114589326028404%</f>
        <v>1.4235719687701493E-7</v>
      </c>
      <c r="D1005" t="s">
        <v>256</v>
      </c>
      <c r="E1005" t="s">
        <v>361</v>
      </c>
      <c r="F1005" t="s">
        <v>359</v>
      </c>
      <c r="G1005" s="4" t="s">
        <v>245</v>
      </c>
    </row>
    <row r="1006" spans="1:7" x14ac:dyDescent="0.25">
      <c r="A1006" t="s">
        <v>612</v>
      </c>
      <c r="B1006" t="s">
        <v>192</v>
      </c>
      <c r="C1006" s="4">
        <f>(0.0181224344560457/(0.0328453630665826+0.350336698877979+0.0822572721273277+0.0181224344560457+0.178561789731549)) * 0.000114589326028404%</f>
        <v>3.1363293518373435E-8</v>
      </c>
      <c r="D1006" t="s">
        <v>256</v>
      </c>
      <c r="E1006" t="s">
        <v>280</v>
      </c>
      <c r="F1006" t="s">
        <v>359</v>
      </c>
      <c r="G1006" s="4" t="s">
        <v>245</v>
      </c>
    </row>
    <row r="1007" spans="1:7" x14ac:dyDescent="0.25">
      <c r="A1007" t="s">
        <v>612</v>
      </c>
      <c r="B1007" t="s">
        <v>192</v>
      </c>
      <c r="C1007" s="4">
        <f>(0.178561789731549/(0.0328453630665826+0.350336698877979+0.0822572721273277+0.0181224344560457+0.178561789731549)) * 0.000114589326028404%</f>
        <v>3.0902502840331026E-7</v>
      </c>
      <c r="D1007" t="s">
        <v>256</v>
      </c>
      <c r="E1007" t="s">
        <v>362</v>
      </c>
      <c r="F1007" t="s">
        <v>359</v>
      </c>
      <c r="G1007" s="4" t="s">
        <v>245</v>
      </c>
    </row>
    <row r="1008" spans="1:7" x14ac:dyDescent="0.25">
      <c r="A1008" t="s">
        <v>612</v>
      </c>
      <c r="B1008" t="s">
        <v>193</v>
      </c>
      <c r="C1008" s="4">
        <f>(0.0328453630665826/(0.0328453630665826+0.350336698877979+0.0822572721273277+0.0181224344560457+0.178561789731549)) * 0.1407277543972%</f>
        <v>6.9809541271592307E-5</v>
      </c>
      <c r="D1008" t="s">
        <v>242</v>
      </c>
      <c r="E1008" t="s">
        <v>366</v>
      </c>
      <c r="F1008" t="s">
        <v>359</v>
      </c>
      <c r="G1008" s="4" t="s">
        <v>245</v>
      </c>
    </row>
    <row r="1009" spans="1:7" x14ac:dyDescent="0.25">
      <c r="A1009" t="s">
        <v>612</v>
      </c>
      <c r="B1009" t="s">
        <v>193</v>
      </c>
      <c r="C1009" s="4">
        <f>(0.350336698877979/(0.0328453630665826+0.350336698877979+0.0822572721273277+0.0181224344560457+0.178561789731549)) * 0.1407277543972%</f>
        <v>7.4460569029783286E-4</v>
      </c>
      <c r="D1009" t="s">
        <v>256</v>
      </c>
      <c r="E1009" t="s">
        <v>364</v>
      </c>
      <c r="F1009" t="s">
        <v>359</v>
      </c>
      <c r="G1009" s="4" t="s">
        <v>245</v>
      </c>
    </row>
    <row r="1010" spans="1:7" x14ac:dyDescent="0.25">
      <c r="A1010" t="s">
        <v>612</v>
      </c>
      <c r="B1010" t="s">
        <v>193</v>
      </c>
      <c r="C1010" s="4">
        <f>(0.0822572721273277/(0.0328453630665826+0.350336698877979+0.0822572721273277+0.0181224344560457+0.178561789731549)) * 0.1407277543972%</f>
        <v>1.7482962273306801E-4</v>
      </c>
      <c r="D1010" t="s">
        <v>256</v>
      </c>
      <c r="E1010" t="s">
        <v>361</v>
      </c>
      <c r="F1010" t="s">
        <v>359</v>
      </c>
      <c r="G1010" s="4" t="s">
        <v>245</v>
      </c>
    </row>
    <row r="1011" spans="1:7" x14ac:dyDescent="0.25">
      <c r="A1011" t="s">
        <v>612</v>
      </c>
      <c r="B1011" t="s">
        <v>193</v>
      </c>
      <c r="C1011" s="4">
        <f>(0.0181224344560457/(0.0328453630665826+0.350336698877979+0.0822572721273277+0.0181224344560457+0.178561789731549)) * 0.1407277543972%</f>
        <v>3.8517425839880608E-5</v>
      </c>
      <c r="D1011" t="s">
        <v>256</v>
      </c>
      <c r="E1011" t="s">
        <v>280</v>
      </c>
      <c r="F1011" t="s">
        <v>359</v>
      </c>
      <c r="G1011" s="4" t="s">
        <v>245</v>
      </c>
    </row>
    <row r="1012" spans="1:7" x14ac:dyDescent="0.25">
      <c r="A1012" t="s">
        <v>612</v>
      </c>
      <c r="B1012" t="s">
        <v>193</v>
      </c>
      <c r="C1012" s="4">
        <f>(0.178561789731549/(0.0328453630665826+0.350336698877979+0.0822572721273277+0.0181224344560457+0.178561789731549)) * 0.1407277543972%</f>
        <v>3.7951526382962625E-4</v>
      </c>
      <c r="D1012" t="s">
        <v>256</v>
      </c>
      <c r="E1012" t="s">
        <v>362</v>
      </c>
      <c r="F1012" t="s">
        <v>359</v>
      </c>
      <c r="G1012" s="4" t="s">
        <v>245</v>
      </c>
    </row>
    <row r="1013" spans="1:7" x14ac:dyDescent="0.25">
      <c r="A1013" t="s">
        <v>612</v>
      </c>
      <c r="B1013" t="s">
        <v>90</v>
      </c>
      <c r="C1013" s="4">
        <f>(0.0328453630665826/(0.0328453630665826+0.350336698877979+0.0822572721273277+0.0181224344560457+0.178561789731549)) * 0.0362403821107728%</f>
        <v>1.797743779467717E-5</v>
      </c>
      <c r="D1013" t="s">
        <v>242</v>
      </c>
      <c r="E1013" t="s">
        <v>366</v>
      </c>
      <c r="F1013" t="s">
        <v>359</v>
      </c>
      <c r="G1013" s="4" t="s">
        <v>245</v>
      </c>
    </row>
    <row r="1014" spans="1:7" x14ac:dyDescent="0.25">
      <c r="A1014" t="s">
        <v>612</v>
      </c>
      <c r="B1014" t="s">
        <v>90</v>
      </c>
      <c r="C1014" s="4">
        <f>(0.350336698877979/(0.0328453630665826+0.350336698877979+0.0822572721273277+0.0181224344560457+0.178561789731549)) * 0.0362403821107728%</f>
        <v>1.9175176107824059E-4</v>
      </c>
      <c r="D1014" t="s">
        <v>256</v>
      </c>
      <c r="E1014" t="s">
        <v>364</v>
      </c>
      <c r="F1014" t="s">
        <v>359</v>
      </c>
      <c r="G1014" s="4" t="s">
        <v>245</v>
      </c>
    </row>
    <row r="1015" spans="1:7" x14ac:dyDescent="0.25">
      <c r="A1015" t="s">
        <v>612</v>
      </c>
      <c r="B1015" t="s">
        <v>90</v>
      </c>
      <c r="C1015" s="4">
        <f>(0.0822572721273277/(0.0328453630665826+0.350336698877979+0.0822572721273277+0.0181224344560457+0.178561789731549)) * 0.0362403821107728%</f>
        <v>4.5022336633367744E-5</v>
      </c>
      <c r="D1015" t="s">
        <v>256</v>
      </c>
      <c r="E1015" t="s">
        <v>361</v>
      </c>
      <c r="F1015" t="s">
        <v>359</v>
      </c>
      <c r="G1015" s="4" t="s">
        <v>245</v>
      </c>
    </row>
    <row r="1016" spans="1:7" x14ac:dyDescent="0.25">
      <c r="A1016" t="s">
        <v>612</v>
      </c>
      <c r="B1016" t="s">
        <v>90</v>
      </c>
      <c r="C1016" s="4">
        <f>(0.0181224344560457/(0.0328453630665826+0.350336698877979+0.0822572721273277+0.0181224344560457+0.178561789731549)) * 0.0362403821107728%</f>
        <v>9.9190542501003661E-6</v>
      </c>
      <c r="D1016" t="s">
        <v>256</v>
      </c>
      <c r="E1016" t="s">
        <v>280</v>
      </c>
      <c r="F1016" t="s">
        <v>359</v>
      </c>
      <c r="G1016" s="4" t="s">
        <v>245</v>
      </c>
    </row>
    <row r="1017" spans="1:7" x14ac:dyDescent="0.25">
      <c r="A1017" t="s">
        <v>612</v>
      </c>
      <c r="B1017" t="s">
        <v>90</v>
      </c>
      <c r="C1017" s="4">
        <f>(0.178561789731549/(0.0328453630665826+0.350336698877979+0.0822572721273277+0.0181224344560457+0.178561789731549)) * 0.0362403821107728%</f>
        <v>9.7733231351342158E-5</v>
      </c>
      <c r="D1017" t="s">
        <v>256</v>
      </c>
      <c r="E1017" t="s">
        <v>362</v>
      </c>
      <c r="F1017" t="s">
        <v>359</v>
      </c>
      <c r="G1017" s="4" t="s">
        <v>245</v>
      </c>
    </row>
    <row r="1018" spans="1:7" x14ac:dyDescent="0.25">
      <c r="A1018" t="s">
        <v>612</v>
      </c>
      <c r="B1018" t="s">
        <v>154</v>
      </c>
      <c r="C1018" s="4">
        <f>(0.0328453630665826/(0.0328453630665826+0.350336698877979+0.0822572721273277+0.0181224344560457+0.178561789731549)) * 0.262415587622206%</f>
        <v>1.301741214651687E-4</v>
      </c>
      <c r="D1018" t="s">
        <v>242</v>
      </c>
      <c r="E1018" t="s">
        <v>366</v>
      </c>
      <c r="F1018" t="s">
        <v>359</v>
      </c>
      <c r="G1018" s="4" t="s">
        <v>245</v>
      </c>
    </row>
    <row r="1019" spans="1:7" x14ac:dyDescent="0.25">
      <c r="A1019" t="s">
        <v>612</v>
      </c>
      <c r="B1019" t="s">
        <v>154</v>
      </c>
      <c r="C1019" s="4">
        <f>(0.350336698877979/(0.0328453630665826+0.350336698877979+0.0822572721273277+0.0181224344560457+0.178561789731549)) * 0.262415587622206%</f>
        <v>1.3884691090489815E-3</v>
      </c>
      <c r="D1019" t="s">
        <v>256</v>
      </c>
      <c r="E1019" t="s">
        <v>364</v>
      </c>
      <c r="F1019" t="s">
        <v>359</v>
      </c>
      <c r="G1019" s="4" t="s">
        <v>245</v>
      </c>
    </row>
    <row r="1020" spans="1:7" x14ac:dyDescent="0.25">
      <c r="A1020" t="s">
        <v>612</v>
      </c>
      <c r="B1020" t="s">
        <v>154</v>
      </c>
      <c r="C1020" s="4">
        <f>(0.0822572721273277/(0.0328453630665826+0.350336698877979+0.0822572721273277+0.0181224344560457+0.178561789731549)) * 0.262415587622206%</f>
        <v>3.2600547333241214E-4</v>
      </c>
      <c r="D1020" t="s">
        <v>256</v>
      </c>
      <c r="E1020" t="s">
        <v>361</v>
      </c>
      <c r="F1020" t="s">
        <v>359</v>
      </c>
      <c r="G1020" s="4" t="s">
        <v>245</v>
      </c>
    </row>
    <row r="1021" spans="1:7" x14ac:dyDescent="0.25">
      <c r="A1021" t="s">
        <v>612</v>
      </c>
      <c r="B1021" t="s">
        <v>154</v>
      </c>
      <c r="C1021" s="4">
        <f>(0.0181224344560457/(0.0328453630665826+0.350336698877979+0.0822572721273277+0.0181224344560457+0.178561789731549)) * 0.262415587622206%</f>
        <v>7.1823592856734428E-5</v>
      </c>
      <c r="D1021" t="s">
        <v>256</v>
      </c>
      <c r="E1021" t="s">
        <v>280</v>
      </c>
      <c r="F1021" t="s">
        <v>359</v>
      </c>
      <c r="G1021" s="4" t="s">
        <v>245</v>
      </c>
    </row>
    <row r="1022" spans="1:7" x14ac:dyDescent="0.25">
      <c r="A1022" t="s">
        <v>612</v>
      </c>
      <c r="B1022" t="s">
        <v>154</v>
      </c>
      <c r="C1022" s="4">
        <f>(0.178561789731549/(0.0328453630665826+0.350336698877979+0.0822572721273277+0.0181224344560457+0.178561789731549)) * 0.262415587622206%</f>
        <v>7.0768357951876356E-4</v>
      </c>
      <c r="D1022" t="s">
        <v>256</v>
      </c>
      <c r="E1022" t="s">
        <v>362</v>
      </c>
      <c r="F1022" t="s">
        <v>359</v>
      </c>
      <c r="G1022" s="4" t="s">
        <v>245</v>
      </c>
    </row>
    <row r="1023" spans="1:7" x14ac:dyDescent="0.25">
      <c r="A1023" t="s">
        <v>612</v>
      </c>
      <c r="B1023" t="s">
        <v>194</v>
      </c>
      <c r="C1023" s="4">
        <f>(0.0328453630665826/(0.0328453630665826+0.350336698877979+0.0822572721273277+0.0181224344560457+0.178561789731549)) * 0.295519840810096%</f>
        <v>1.4659584821753721E-4</v>
      </c>
      <c r="D1023" t="s">
        <v>242</v>
      </c>
      <c r="E1023" t="s">
        <v>366</v>
      </c>
      <c r="F1023" t="s">
        <v>359</v>
      </c>
      <c r="G1023" s="4" t="s">
        <v>245</v>
      </c>
    </row>
    <row r="1024" spans="1:7" x14ac:dyDescent="0.25">
      <c r="A1024" t="s">
        <v>612</v>
      </c>
      <c r="B1024" t="s">
        <v>194</v>
      </c>
      <c r="C1024" s="4">
        <f>(0.350336698877979/(0.0328453630665826+0.350336698877979+0.0822572721273277+0.0181224344560457+0.178561789731549)) * 0.295519840810096%</f>
        <v>1.5636272745604572E-3</v>
      </c>
      <c r="D1024" t="s">
        <v>256</v>
      </c>
      <c r="E1024" t="s">
        <v>364</v>
      </c>
      <c r="F1024" t="s">
        <v>359</v>
      </c>
      <c r="G1024" s="4" t="s">
        <v>245</v>
      </c>
    </row>
    <row r="1025" spans="1:7" x14ac:dyDescent="0.25">
      <c r="A1025" t="s">
        <v>612</v>
      </c>
      <c r="B1025" t="s">
        <v>194</v>
      </c>
      <c r="C1025" s="4">
        <f>(0.0822572721273277/(0.0328453630665826+0.350336698877979+0.0822572721273277+0.0181224344560457+0.178561789731549)) * 0.295519840810096%</f>
        <v>3.6713171826177718E-4</v>
      </c>
      <c r="D1025" t="s">
        <v>256</v>
      </c>
      <c r="E1025" t="s">
        <v>361</v>
      </c>
      <c r="F1025" t="s">
        <v>359</v>
      </c>
      <c r="G1025" s="4" t="s">
        <v>245</v>
      </c>
    </row>
    <row r="1026" spans="1:7" x14ac:dyDescent="0.25">
      <c r="A1026" t="s">
        <v>612</v>
      </c>
      <c r="B1026" t="s">
        <v>194</v>
      </c>
      <c r="C1026" s="4">
        <f>(0.0181224344560457/(0.0328453630665826+0.350336698877979+0.0822572721273277+0.0181224344560457+0.178561789731549)) * 0.295519840810096%</f>
        <v>8.0884283284226636E-5</v>
      </c>
      <c r="D1026" t="s">
        <v>256</v>
      </c>
      <c r="E1026" t="s">
        <v>280</v>
      </c>
      <c r="F1026" t="s">
        <v>359</v>
      </c>
      <c r="G1026" s="4" t="s">
        <v>245</v>
      </c>
    </row>
    <row r="1027" spans="1:7" x14ac:dyDescent="0.25">
      <c r="A1027" t="s">
        <v>612</v>
      </c>
      <c r="B1027" t="s">
        <v>194</v>
      </c>
      <c r="C1027" s="4">
        <f>(0.178561789731549/(0.0328453630665826+0.350336698877979+0.0822572721273277+0.0181224344560457+0.178561789731549)) * 0.295519840810096%</f>
        <v>7.9695928377696208E-4</v>
      </c>
      <c r="D1027" t="s">
        <v>256</v>
      </c>
      <c r="E1027" t="s">
        <v>362</v>
      </c>
      <c r="F1027" t="s">
        <v>359</v>
      </c>
      <c r="G1027" s="4" t="s">
        <v>245</v>
      </c>
    </row>
    <row r="1028" spans="1:7" x14ac:dyDescent="0.25">
      <c r="A1028" t="s">
        <v>612</v>
      </c>
      <c r="B1028" t="s">
        <v>195</v>
      </c>
      <c r="C1028" s="4">
        <f>(0.0328453630665826/(0.0328453630665826+0.350336698877979+0.0822572721273277+0.0181224344560457+0.178561789731549)) * 0.00603101715938971%</f>
        <v>2.9917520044395329E-6</v>
      </c>
      <c r="D1028" t="s">
        <v>242</v>
      </c>
      <c r="E1028" t="s">
        <v>366</v>
      </c>
      <c r="F1028" t="s">
        <v>359</v>
      </c>
      <c r="G1028" s="4" t="s">
        <v>245</v>
      </c>
    </row>
    <row r="1029" spans="1:7" x14ac:dyDescent="0.25">
      <c r="A1029" t="s">
        <v>612</v>
      </c>
      <c r="B1029" t="s">
        <v>195</v>
      </c>
      <c r="C1029" s="4">
        <f>(0.350336698877979/(0.0328453630665826+0.350336698877979+0.0822572721273277+0.0181224344560457+0.178561789731549)) * 0.00603101715938971%</f>
        <v>3.1910760705315428E-5</v>
      </c>
      <c r="D1029" t="s">
        <v>256</v>
      </c>
      <c r="E1029" t="s">
        <v>364</v>
      </c>
      <c r="F1029" t="s">
        <v>359</v>
      </c>
      <c r="G1029" s="4" t="s">
        <v>245</v>
      </c>
    </row>
    <row r="1030" spans="1:7" x14ac:dyDescent="0.25">
      <c r="A1030" t="s">
        <v>612</v>
      </c>
      <c r="B1030" t="s">
        <v>195</v>
      </c>
      <c r="C1030" s="4">
        <f>(0.0822572721273277/(0.0328453630665826+0.350336698877979+0.0822572721273277+0.0181224344560457+0.178561789731549)) * 0.00603101715938971%</f>
        <v>7.4924840461587126E-6</v>
      </c>
      <c r="D1030" t="s">
        <v>256</v>
      </c>
      <c r="E1030" t="s">
        <v>361</v>
      </c>
      <c r="F1030" t="s">
        <v>359</v>
      </c>
      <c r="G1030" s="4" t="s">
        <v>245</v>
      </c>
    </row>
    <row r="1031" spans="1:7" x14ac:dyDescent="0.25">
      <c r="A1031" t="s">
        <v>612</v>
      </c>
      <c r="B1031" t="s">
        <v>195</v>
      </c>
      <c r="C1031" s="4">
        <f>(0.0181224344560457/(0.0328453630665826+0.350336698877979+0.0822572721273277+0.0181224344560457+0.178561789731549)) * 0.00603101715938971%</f>
        <v>1.650699658861767E-6</v>
      </c>
      <c r="D1031" t="s">
        <v>256</v>
      </c>
      <c r="E1031" t="s">
        <v>280</v>
      </c>
      <c r="F1031" t="s">
        <v>359</v>
      </c>
      <c r="G1031" s="4" t="s">
        <v>245</v>
      </c>
    </row>
    <row r="1032" spans="1:7" x14ac:dyDescent="0.25">
      <c r="A1032" t="s">
        <v>612</v>
      </c>
      <c r="B1032" t="s">
        <v>195</v>
      </c>
      <c r="C1032" s="4">
        <f>(0.178561789731549/(0.0328453630665826+0.350336698877979+0.0822572721273277+0.0181224344560457+0.178561789731549)) * 0.00603101715938971%</f>
        <v>1.6264475179121662E-5</v>
      </c>
      <c r="D1032" t="s">
        <v>256</v>
      </c>
      <c r="E1032" t="s">
        <v>362</v>
      </c>
      <c r="F1032" t="s">
        <v>359</v>
      </c>
      <c r="G1032" s="4" t="s">
        <v>245</v>
      </c>
    </row>
    <row r="1033" spans="1:7" x14ac:dyDescent="0.25">
      <c r="A1033" t="s">
        <v>612</v>
      </c>
      <c r="B1033" t="s">
        <v>169</v>
      </c>
      <c r="C1033" s="4">
        <f>(0.0328453630665826/(0.0328453630665826+0.350336698877979+0.0822572721273277+0.0181224344560457+0.178561789731549)) * 0.122411555284133%</f>
        <v>6.0723590434109226E-5</v>
      </c>
      <c r="D1033" t="s">
        <v>242</v>
      </c>
      <c r="E1033" t="s">
        <v>366</v>
      </c>
      <c r="F1033" t="s">
        <v>359</v>
      </c>
      <c r="G1033" s="4" t="s">
        <v>245</v>
      </c>
    </row>
    <row r="1034" spans="1:7" x14ac:dyDescent="0.25">
      <c r="A1034" t="s">
        <v>612</v>
      </c>
      <c r="B1034" t="s">
        <v>169</v>
      </c>
      <c r="C1034" s="4">
        <f>(0.350336698877979/(0.0328453630665826+0.350336698877979+0.0822572721273277+0.0181224344560457+0.178561789731549)) * 0.122411555284133%</f>
        <v>6.476927100357876E-4</v>
      </c>
      <c r="D1034" t="s">
        <v>256</v>
      </c>
      <c r="E1034" t="s">
        <v>364</v>
      </c>
      <c r="F1034" t="s">
        <v>359</v>
      </c>
      <c r="G1034" s="4" t="s">
        <v>245</v>
      </c>
    </row>
    <row r="1035" spans="1:7" x14ac:dyDescent="0.25">
      <c r="A1035" t="s">
        <v>612</v>
      </c>
      <c r="B1035" t="s">
        <v>169</v>
      </c>
      <c r="C1035" s="4">
        <f>(0.0822572721273277/(0.0328453630665826+0.350336698877979+0.0822572721273277+0.0181224344560457+0.178561789731549)) * 0.122411555284133%</f>
        <v>1.5207494868488345E-4</v>
      </c>
      <c r="D1035" t="s">
        <v>256</v>
      </c>
      <c r="E1035" t="s">
        <v>361</v>
      </c>
      <c r="F1035" t="s">
        <v>359</v>
      </c>
      <c r="G1035" s="4" t="s">
        <v>245</v>
      </c>
    </row>
    <row r="1036" spans="1:7" x14ac:dyDescent="0.25">
      <c r="A1036" t="s">
        <v>612</v>
      </c>
      <c r="B1036" t="s">
        <v>169</v>
      </c>
      <c r="C1036" s="4">
        <f>(0.0181224344560457/(0.0328453630665826+0.350336698877979+0.0822572721273277+0.0181224344560457+0.178561789731549)) * 0.122411555284133%</f>
        <v>3.3504250975917298E-5</v>
      </c>
      <c r="D1036" t="s">
        <v>256</v>
      </c>
      <c r="E1036" t="s">
        <v>280</v>
      </c>
      <c r="F1036" t="s">
        <v>359</v>
      </c>
      <c r="G1036" s="4" t="s">
        <v>245</v>
      </c>
    </row>
    <row r="1037" spans="1:7" x14ac:dyDescent="0.25">
      <c r="A1037" t="s">
        <v>612</v>
      </c>
      <c r="B1037" t="s">
        <v>169</v>
      </c>
      <c r="C1037" s="4">
        <f>(0.178561789731549/(0.0328453630665826+0.350336698877979+0.0822572721273277+0.0181224344560457+0.178561789731549)) * 0.122411555284133%</f>
        <v>3.3012005271063256E-4</v>
      </c>
      <c r="D1037" t="s">
        <v>256</v>
      </c>
      <c r="E1037" t="s">
        <v>362</v>
      </c>
      <c r="F1037" t="s">
        <v>359</v>
      </c>
      <c r="G1037" s="4" t="s">
        <v>245</v>
      </c>
    </row>
    <row r="1038" spans="1:7" x14ac:dyDescent="0.25">
      <c r="A1038" t="s">
        <v>612</v>
      </c>
      <c r="B1038" t="s">
        <v>117</v>
      </c>
      <c r="C1038" s="4">
        <f>(0.0328453630665826/(0.0328453630665826+0.350336698877979+0.0822572721273277+0.0181224344560457+0.178561789731549)) * 0.000192992549100471%</f>
        <v>9.5736064142065198E-8</v>
      </c>
      <c r="D1038" t="s">
        <v>242</v>
      </c>
      <c r="E1038" t="s">
        <v>366</v>
      </c>
      <c r="F1038" t="s">
        <v>359</v>
      </c>
      <c r="G1038" s="4" t="s">
        <v>245</v>
      </c>
    </row>
    <row r="1039" spans="1:7" x14ac:dyDescent="0.25">
      <c r="A1039" t="s">
        <v>612</v>
      </c>
      <c r="B1039" t="s">
        <v>117</v>
      </c>
      <c r="C1039" s="4">
        <f>(0.350336698877979/(0.0328453630665826+0.350336698877979+0.0822572721273277+0.0181224344560457+0.178561789731549)) * 0.000192992549100471%</f>
        <v>1.0211443425700953E-6</v>
      </c>
      <c r="D1039" t="s">
        <v>256</v>
      </c>
      <c r="E1039" t="s">
        <v>364</v>
      </c>
      <c r="F1039" t="s">
        <v>359</v>
      </c>
      <c r="G1039" s="4" t="s">
        <v>245</v>
      </c>
    </row>
    <row r="1040" spans="1:7" x14ac:dyDescent="0.25">
      <c r="A1040" t="s">
        <v>612</v>
      </c>
      <c r="B1040" t="s">
        <v>117</v>
      </c>
      <c r="C1040" s="4">
        <f>(0.0822572721273277/(0.0328453630665826+0.350336698877979+0.0822572721273277+0.0181224344560457+0.178561789731549)) * 0.000192992549100471%</f>
        <v>2.3975948947707915E-7</v>
      </c>
      <c r="D1040" t="s">
        <v>256</v>
      </c>
      <c r="E1040" t="s">
        <v>361</v>
      </c>
      <c r="F1040" t="s">
        <v>359</v>
      </c>
      <c r="G1040" s="4" t="s">
        <v>245</v>
      </c>
    </row>
    <row r="1041" spans="1:7" x14ac:dyDescent="0.25">
      <c r="A1041" t="s">
        <v>612</v>
      </c>
      <c r="B1041" t="s">
        <v>117</v>
      </c>
      <c r="C1041" s="4">
        <f>(0.0181224344560457/(0.0328453630665826+0.350336698877979+0.0822572721273277+0.0181224344560457+0.178561789731549)) * 0.000192992549100471%</f>
        <v>5.2822389083576618E-8</v>
      </c>
      <c r="D1041" t="s">
        <v>256</v>
      </c>
      <c r="E1041" t="s">
        <v>280</v>
      </c>
      <c r="F1041" t="s">
        <v>359</v>
      </c>
      <c r="G1041" s="4" t="s">
        <v>245</v>
      </c>
    </row>
    <row r="1042" spans="1:7" x14ac:dyDescent="0.25">
      <c r="A1042" t="s">
        <v>612</v>
      </c>
      <c r="B1042" t="s">
        <v>117</v>
      </c>
      <c r="C1042" s="4">
        <f>(0.178561789731549/(0.0328453630665826+0.350336698877979+0.0822572721273277+0.0181224344560457+0.178561789731549)) * 0.000192992549100471%</f>
        <v>5.2046320573189403E-7</v>
      </c>
      <c r="D1042" t="s">
        <v>256</v>
      </c>
      <c r="E1042" t="s">
        <v>362</v>
      </c>
      <c r="F1042" t="s">
        <v>359</v>
      </c>
      <c r="G1042" s="4" t="s">
        <v>245</v>
      </c>
    </row>
    <row r="1043" spans="1:7" x14ac:dyDescent="0.25">
      <c r="A1043" t="s">
        <v>612</v>
      </c>
      <c r="B1043" t="s">
        <v>92</v>
      </c>
      <c r="C1043" s="4">
        <f>(0.0328453630665826/(0.0328453630665826+0.350336698877979+0.0822572721273277+0.0181224344560457+0.178561789731549)) * 3.87703938091368%</f>
        <v>1.923247776053956E-3</v>
      </c>
      <c r="D1043" t="s">
        <v>242</v>
      </c>
      <c r="E1043" t="s">
        <v>366</v>
      </c>
      <c r="F1043" t="s">
        <v>359</v>
      </c>
      <c r="G1043" s="4" t="s">
        <v>245</v>
      </c>
    </row>
    <row r="1044" spans="1:7" x14ac:dyDescent="0.25">
      <c r="A1044" t="s">
        <v>612</v>
      </c>
      <c r="B1044" t="s">
        <v>92</v>
      </c>
      <c r="C1044" s="4">
        <f>(0.350336698877979/(0.0328453630665826+0.350336698877979+0.0822572721273277+0.0181224344560457+0.178561789731549)) * 3.87703938091368%</f>
        <v>2.0513832519412047E-2</v>
      </c>
      <c r="D1044" t="s">
        <v>256</v>
      </c>
      <c r="E1044" t="s">
        <v>364</v>
      </c>
      <c r="F1044" t="s">
        <v>359</v>
      </c>
      <c r="G1044" s="4" t="s">
        <v>245</v>
      </c>
    </row>
    <row r="1045" spans="1:7" x14ac:dyDescent="0.25">
      <c r="A1045" t="s">
        <v>612</v>
      </c>
      <c r="B1045" t="s">
        <v>92</v>
      </c>
      <c r="C1045" s="4">
        <f>(0.0822572721273277/(0.0328453630665826+0.350336698877979+0.0822572721273277+0.0181224344560457+0.178561789731549)) * 3.87703938091368%</f>
        <v>4.8165433690731344E-3</v>
      </c>
      <c r="D1045" t="s">
        <v>256</v>
      </c>
      <c r="E1045" t="s">
        <v>361</v>
      </c>
      <c r="F1045" t="s">
        <v>359</v>
      </c>
      <c r="G1045" s="4" t="s">
        <v>245</v>
      </c>
    </row>
    <row r="1046" spans="1:7" x14ac:dyDescent="0.25">
      <c r="A1046" t="s">
        <v>612</v>
      </c>
      <c r="B1046" t="s">
        <v>92</v>
      </c>
      <c r="C1046" s="4">
        <f>(0.0181224344560457/(0.0328453630665826+0.350336698877979+0.0822572721273277+0.0181224344560457+0.178561789731549)) * 3.87703938091368%</f>
        <v>1.0611522756992882E-3</v>
      </c>
      <c r="D1046" t="s">
        <v>256</v>
      </c>
      <c r="E1046" t="s">
        <v>280</v>
      </c>
      <c r="F1046" t="s">
        <v>359</v>
      </c>
      <c r="G1046" s="4" t="s">
        <v>245</v>
      </c>
    </row>
    <row r="1047" spans="1:7" x14ac:dyDescent="0.25">
      <c r="A1047" t="s">
        <v>612</v>
      </c>
      <c r="B1047" t="s">
        <v>92</v>
      </c>
      <c r="C1047" s="4">
        <f>(0.178561789731549/(0.0328453630665826+0.350336698877979+0.0822572721273277+0.0181224344560457+0.178561789731549)) * 3.87703938091368%</f>
        <v>1.0455617868898374E-2</v>
      </c>
      <c r="D1047" t="s">
        <v>256</v>
      </c>
      <c r="E1047" t="s">
        <v>362</v>
      </c>
      <c r="F1047" t="s">
        <v>359</v>
      </c>
      <c r="G1047" s="4" t="s">
        <v>245</v>
      </c>
    </row>
    <row r="1048" spans="1:7" x14ac:dyDescent="0.25">
      <c r="A1048" t="s">
        <v>612</v>
      </c>
      <c r="B1048" t="s">
        <v>93</v>
      </c>
      <c r="C1048" s="4">
        <f>(0.0328453630665826/(0.0328453630665826+0.350336698877979+0.0822572721273277+0.0181224344560457+0.178561789731549)) * 0.0813946075831235%</f>
        <v>4.0376685051915925E-5</v>
      </c>
      <c r="D1048" t="s">
        <v>242</v>
      </c>
      <c r="E1048" t="s">
        <v>366</v>
      </c>
      <c r="F1048" t="s">
        <v>359</v>
      </c>
      <c r="G1048" s="4" t="s">
        <v>245</v>
      </c>
    </row>
    <row r="1049" spans="1:7" x14ac:dyDescent="0.25">
      <c r="A1049" t="s">
        <v>612</v>
      </c>
      <c r="B1049" t="s">
        <v>93</v>
      </c>
      <c r="C1049" s="4">
        <f>(0.350336698877979/(0.0328453630665826+0.350336698877979+0.0822572721273277+0.0181224344560457+0.178561789731549)) * 0.0813946075831235%</f>
        <v>4.306676264789369E-4</v>
      </c>
      <c r="D1049" t="s">
        <v>256</v>
      </c>
      <c r="E1049" t="s">
        <v>364</v>
      </c>
      <c r="F1049" t="s">
        <v>359</v>
      </c>
      <c r="G1049" s="4" t="s">
        <v>245</v>
      </c>
    </row>
    <row r="1050" spans="1:7" x14ac:dyDescent="0.25">
      <c r="A1050" t="s">
        <v>612</v>
      </c>
      <c r="B1050" t="s">
        <v>93</v>
      </c>
      <c r="C1050" s="4">
        <f>(0.0822572721273277/(0.0328453630665826+0.350336698877979+0.0822572721273277+0.0181224344560457+0.178561789731549)) * 0.0813946075831235%</f>
        <v>1.0111856468695795E-4</v>
      </c>
      <c r="D1050" t="s">
        <v>256</v>
      </c>
      <c r="E1050" t="s">
        <v>361</v>
      </c>
      <c r="F1050" t="s">
        <v>359</v>
      </c>
      <c r="G1050" s="4" t="s">
        <v>245</v>
      </c>
    </row>
    <row r="1051" spans="1:7" x14ac:dyDescent="0.25">
      <c r="A1051" t="s">
        <v>612</v>
      </c>
      <c r="B1051" t="s">
        <v>93</v>
      </c>
      <c r="C1051" s="4">
        <f>(0.0181224344560457/(0.0328453630665826+0.350336698877979+0.0822572721273277+0.0181224344560457+0.178561789731549)) * 0.0813946075831235%</f>
        <v>2.2277842595998399E-5</v>
      </c>
      <c r="D1051" t="s">
        <v>256</v>
      </c>
      <c r="E1051" t="s">
        <v>280</v>
      </c>
      <c r="F1051" t="s">
        <v>359</v>
      </c>
      <c r="G1051" s="4" t="s">
        <v>245</v>
      </c>
    </row>
    <row r="1052" spans="1:7" x14ac:dyDescent="0.25">
      <c r="A1052" t="s">
        <v>612</v>
      </c>
      <c r="B1052" t="s">
        <v>93</v>
      </c>
      <c r="C1052" s="4">
        <f>(0.178561789731549/(0.0328453630665826+0.350336698877979+0.0822572721273277+0.0181224344560457+0.178561789731549)) * 0.0813946075831235%</f>
        <v>2.195053570174259E-4</v>
      </c>
      <c r="D1052" t="s">
        <v>256</v>
      </c>
      <c r="E1052" t="s">
        <v>362</v>
      </c>
      <c r="F1052" t="s">
        <v>359</v>
      </c>
      <c r="G1052" s="4" t="s">
        <v>245</v>
      </c>
    </row>
    <row r="1053" spans="1:7" x14ac:dyDescent="0.25">
      <c r="A1053" t="s">
        <v>612</v>
      </c>
      <c r="B1053" t="s">
        <v>196</v>
      </c>
      <c r="C1053" s="4">
        <f>(0.0328453630665826/(0.0328453630665826+0.350336698877979+0.0822572721273277+0.0181224344560457+0.178561789731549)) * 0.00993308526151486%</f>
        <v>4.9274155513119138E-6</v>
      </c>
      <c r="D1053" t="s">
        <v>242</v>
      </c>
      <c r="E1053" t="s">
        <v>366</v>
      </c>
      <c r="F1053" t="s">
        <v>359</v>
      </c>
      <c r="G1053" s="4" t="s">
        <v>245</v>
      </c>
    </row>
    <row r="1054" spans="1:7" x14ac:dyDescent="0.25">
      <c r="A1054" t="s">
        <v>612</v>
      </c>
      <c r="B1054" t="s">
        <v>196</v>
      </c>
      <c r="C1054" s="4">
        <f>(0.350336698877979/(0.0328453630665826+0.350336698877979+0.0822572721273277+0.0181224344560457+0.178561789731549)) * 0.00993308526151486%</f>
        <v>5.255702288165455E-5</v>
      </c>
      <c r="D1054" t="s">
        <v>256</v>
      </c>
      <c r="E1054" t="s">
        <v>364</v>
      </c>
      <c r="F1054" t="s">
        <v>359</v>
      </c>
      <c r="G1054" s="4" t="s">
        <v>245</v>
      </c>
    </row>
    <row r="1055" spans="1:7" x14ac:dyDescent="0.25">
      <c r="A1055" t="s">
        <v>612</v>
      </c>
      <c r="B1055" t="s">
        <v>196</v>
      </c>
      <c r="C1055" s="4">
        <f>(0.0822572721273277/(0.0328453630665826+0.350336698877979+0.0822572721273277+0.0181224344560457+0.178561789731549)) * 0.00993308526151486%</f>
        <v>1.2340121224023407E-5</v>
      </c>
      <c r="D1055" t="s">
        <v>256</v>
      </c>
      <c r="E1055" t="s">
        <v>361</v>
      </c>
      <c r="F1055" t="s">
        <v>359</v>
      </c>
      <c r="G1055" s="4" t="s">
        <v>245</v>
      </c>
    </row>
    <row r="1056" spans="1:7" x14ac:dyDescent="0.25">
      <c r="A1056" t="s">
        <v>612</v>
      </c>
      <c r="B1056" t="s">
        <v>196</v>
      </c>
      <c r="C1056" s="4">
        <f>(0.0181224344560457/(0.0328453630665826+0.350336698877979+0.0822572721273277+0.0181224344560457+0.178561789731549)) * 0.00993308526151486%</f>
        <v>2.7187023381453319E-6</v>
      </c>
      <c r="D1056" t="s">
        <v>256</v>
      </c>
      <c r="E1056" t="s">
        <v>280</v>
      </c>
      <c r="F1056" t="s">
        <v>359</v>
      </c>
      <c r="G1056" s="4" t="s">
        <v>245</v>
      </c>
    </row>
    <row r="1057" spans="1:7" x14ac:dyDescent="0.25">
      <c r="A1057" t="s">
        <v>612</v>
      </c>
      <c r="B1057" t="s">
        <v>196</v>
      </c>
      <c r="C1057" s="4">
        <f>(0.178561789731549/(0.0328453630665826+0.350336698877979+0.0822572721273277+0.0181224344560457+0.178561789731549)) * 0.00993308526151486%</f>
        <v>2.6787590620013396E-5</v>
      </c>
      <c r="D1057" t="s">
        <v>256</v>
      </c>
      <c r="E1057" t="s">
        <v>362</v>
      </c>
      <c r="F1057" t="s">
        <v>359</v>
      </c>
      <c r="G1057" s="4" t="s">
        <v>245</v>
      </c>
    </row>
    <row r="1058" spans="1:7" x14ac:dyDescent="0.25">
      <c r="A1058" t="s">
        <v>612</v>
      </c>
      <c r="B1058" t="s">
        <v>94</v>
      </c>
      <c r="C1058" s="4">
        <f>(0.0328453630665826/(0.0328453630665826+0.350336698877979+0.0822572721273277+0.0181224344560457+0.178561789731549)) * 1.75833702180291%</f>
        <v>8.7224230514234104E-4</v>
      </c>
      <c r="D1058" t="s">
        <v>242</v>
      </c>
      <c r="E1058" t="s">
        <v>366</v>
      </c>
      <c r="F1058" t="s">
        <v>359</v>
      </c>
      <c r="G1058" s="4" t="s">
        <v>245</v>
      </c>
    </row>
    <row r="1059" spans="1:7" x14ac:dyDescent="0.25">
      <c r="A1059" t="s">
        <v>612</v>
      </c>
      <c r="B1059" t="s">
        <v>94</v>
      </c>
      <c r="C1059" s="4">
        <f>(0.350336698877979/(0.0328453630665826+0.350336698877979+0.0822572721273277+0.0181224344560457+0.178561789731549)) * 1.75833702180291%</f>
        <v>9.303550372874005E-3</v>
      </c>
      <c r="D1059" t="s">
        <v>256</v>
      </c>
      <c r="E1059" t="s">
        <v>364</v>
      </c>
      <c r="F1059" t="s">
        <v>359</v>
      </c>
      <c r="G1059" s="4" t="s">
        <v>245</v>
      </c>
    </row>
    <row r="1060" spans="1:7" x14ac:dyDescent="0.25">
      <c r="A1060" t="s">
        <v>612</v>
      </c>
      <c r="B1060" t="s">
        <v>94</v>
      </c>
      <c r="C1060" s="4">
        <f>(0.0822572721273277/(0.0328453630665826+0.350336698877979+0.0822572721273277+0.0181224344560457+0.178561789731549)) * 1.75833702180291%</f>
        <v>2.1844262311735254E-3</v>
      </c>
      <c r="D1060" t="s">
        <v>256</v>
      </c>
      <c r="E1060" t="s">
        <v>361</v>
      </c>
      <c r="F1060" t="s">
        <v>359</v>
      </c>
      <c r="G1060" s="4" t="s">
        <v>245</v>
      </c>
    </row>
    <row r="1061" spans="1:7" x14ac:dyDescent="0.25">
      <c r="A1061" t="s">
        <v>612</v>
      </c>
      <c r="B1061" t="s">
        <v>94</v>
      </c>
      <c r="C1061" s="4">
        <f>(0.0181224344560457/(0.0328453630665826+0.350336698877979+0.0822572721273277+0.0181224344560457+0.178561789731549)) * 1.75833702180291%</f>
        <v>4.8125983484148912E-4</v>
      </c>
      <c r="D1061" t="s">
        <v>256</v>
      </c>
      <c r="E1061" t="s">
        <v>280</v>
      </c>
      <c r="F1061" t="s">
        <v>359</v>
      </c>
      <c r="G1061" s="4" t="s">
        <v>245</v>
      </c>
    </row>
    <row r="1062" spans="1:7" x14ac:dyDescent="0.25">
      <c r="A1062" t="s">
        <v>612</v>
      </c>
      <c r="B1062" t="s">
        <v>94</v>
      </c>
      <c r="C1062" s="4">
        <f>(0.178561789731549/(0.0328453630665826+0.350336698877979+0.0822572721273277+0.0181224344560457+0.178561789731549)) * 1.75833702180291%</f>
        <v>4.7418914739977402E-3</v>
      </c>
      <c r="D1062" t="s">
        <v>256</v>
      </c>
      <c r="E1062" t="s">
        <v>362</v>
      </c>
      <c r="F1062" t="s">
        <v>359</v>
      </c>
      <c r="G1062" s="4" t="s">
        <v>245</v>
      </c>
    </row>
    <row r="1063" spans="1:7" x14ac:dyDescent="0.25">
      <c r="A1063" t="s">
        <v>612</v>
      </c>
      <c r="B1063" t="s">
        <v>95</v>
      </c>
      <c r="C1063" s="4">
        <f>(0.0328453630665826/(0.0328453630665826+0.350336698877979+0.0822572721273277+0.0181224344560457+0.178561789731549)) * 0.561469604487704%</f>
        <v>2.7852313635730726E-4</v>
      </c>
      <c r="D1063" t="s">
        <v>242</v>
      </c>
      <c r="E1063" t="s">
        <v>366</v>
      </c>
      <c r="F1063" t="s">
        <v>359</v>
      </c>
      <c r="G1063" s="4" t="s">
        <v>245</v>
      </c>
    </row>
    <row r="1064" spans="1:7" x14ac:dyDescent="0.25">
      <c r="A1064" t="s">
        <v>612</v>
      </c>
      <c r="B1064" t="s">
        <v>95</v>
      </c>
      <c r="C1064" s="4">
        <f>(0.350336698877979/(0.0328453630665826+0.350336698877979+0.0822572721273277+0.0181224344560457+0.178561789731549)) * 0.561469604487704%</f>
        <v>2.9707960893827516E-3</v>
      </c>
      <c r="D1064" t="s">
        <v>256</v>
      </c>
      <c r="E1064" t="s">
        <v>364</v>
      </c>
      <c r="F1064" t="s">
        <v>359</v>
      </c>
      <c r="G1064" s="4" t="s">
        <v>245</v>
      </c>
    </row>
    <row r="1065" spans="1:7" x14ac:dyDescent="0.25">
      <c r="A1065" t="s">
        <v>612</v>
      </c>
      <c r="B1065" t="s">
        <v>95</v>
      </c>
      <c r="C1065" s="4">
        <f>(0.0822572721273277/(0.0328453630665826+0.350336698877979+0.0822572721273277+0.0181224344560457+0.178561789731549)) * 0.561469604487704%</f>
        <v>6.9752778724523784E-4</v>
      </c>
      <c r="D1065" t="s">
        <v>256</v>
      </c>
      <c r="E1065" t="s">
        <v>361</v>
      </c>
      <c r="F1065" t="s">
        <v>359</v>
      </c>
      <c r="G1065" s="4" t="s">
        <v>245</v>
      </c>
    </row>
    <row r="1066" spans="1:7" x14ac:dyDescent="0.25">
      <c r="A1066" t="s">
        <v>612</v>
      </c>
      <c r="B1066" t="s">
        <v>95</v>
      </c>
      <c r="C1066" s="4">
        <f>(0.0181224344560457/(0.0328453630665826+0.350336698877979+0.0822572721273277+0.0181224344560457+0.178561789731549)) * 0.561469604487704%</f>
        <v>1.5367518614105397E-4</v>
      </c>
      <c r="D1066" t="s">
        <v>256</v>
      </c>
      <c r="E1066" t="s">
        <v>280</v>
      </c>
      <c r="F1066" t="s">
        <v>359</v>
      </c>
      <c r="G1066" s="4" t="s">
        <v>245</v>
      </c>
    </row>
    <row r="1067" spans="1:7" x14ac:dyDescent="0.25">
      <c r="A1067" t="s">
        <v>612</v>
      </c>
      <c r="B1067" t="s">
        <v>95</v>
      </c>
      <c r="C1067" s="4">
        <f>(0.178561789731549/(0.0328453630665826+0.350336698877979+0.0822572721273277+0.0181224344560457+0.178561789731549)) * 0.561469604487704%</f>
        <v>1.5141738457506899E-3</v>
      </c>
      <c r="D1067" t="s">
        <v>256</v>
      </c>
      <c r="E1067" t="s">
        <v>362</v>
      </c>
      <c r="F1067" t="s">
        <v>359</v>
      </c>
      <c r="G1067" s="4" t="s">
        <v>245</v>
      </c>
    </row>
    <row r="1068" spans="1:7" x14ac:dyDescent="0.25">
      <c r="A1068" t="s">
        <v>612</v>
      </c>
      <c r="B1068" t="s">
        <v>197</v>
      </c>
      <c r="C1068" s="4">
        <f>(0.0328453630665826/(0.0328453630665826+0.350336698877979+0.0822572721273277+0.0181224344560457+0.178561789731549)) * 0.0655450944882474%</f>
        <v>3.2514360784248858E-5</v>
      </c>
      <c r="D1068" t="s">
        <v>242</v>
      </c>
      <c r="E1068" t="s">
        <v>366</v>
      </c>
      <c r="F1068" t="s">
        <v>359</v>
      </c>
      <c r="G1068" s="4" t="s">
        <v>245</v>
      </c>
    </row>
    <row r="1069" spans="1:7" x14ac:dyDescent="0.25">
      <c r="A1069" t="s">
        <v>612</v>
      </c>
      <c r="B1069" t="s">
        <v>197</v>
      </c>
      <c r="C1069" s="4">
        <f>(0.350336698877979/(0.0328453630665826+0.350336698877979+0.0822572721273277+0.0181224344560457+0.178561789731549)) * 0.0655450944882474%</f>
        <v>3.4680614734536829E-4</v>
      </c>
      <c r="D1069" t="s">
        <v>256</v>
      </c>
      <c r="E1069" t="s">
        <v>364</v>
      </c>
      <c r="F1069" t="s">
        <v>359</v>
      </c>
      <c r="G1069" s="4" t="s">
        <v>245</v>
      </c>
    </row>
    <row r="1070" spans="1:7" x14ac:dyDescent="0.25">
      <c r="A1070" t="s">
        <v>612</v>
      </c>
      <c r="B1070" t="s">
        <v>197</v>
      </c>
      <c r="C1070" s="4">
        <f>(0.0822572721273277/(0.0328453630665826+0.350336698877979+0.0822572721273277+0.0181224344560457+0.178561789731549)) * 0.0655450944882474%</f>
        <v>8.1428316613652932E-5</v>
      </c>
      <c r="D1070" t="s">
        <v>256</v>
      </c>
      <c r="E1070" t="s">
        <v>361</v>
      </c>
      <c r="F1070" t="s">
        <v>359</v>
      </c>
      <c r="G1070" s="4" t="s">
        <v>245</v>
      </c>
    </row>
    <row r="1071" spans="1:7" x14ac:dyDescent="0.25">
      <c r="A1071" t="s">
        <v>612</v>
      </c>
      <c r="B1071" t="s">
        <v>197</v>
      </c>
      <c r="C1071" s="4">
        <f>(0.0181224344560457/(0.0328453630665826+0.350336698877979+0.0822572721273277+0.0181224344560457+0.178561789731549)) * 0.0655450944882474%</f>
        <v>1.7939803892509691E-5</v>
      </c>
      <c r="D1071" t="s">
        <v>256</v>
      </c>
      <c r="E1071" t="s">
        <v>280</v>
      </c>
      <c r="F1071" t="s">
        <v>359</v>
      </c>
      <c r="G1071" s="4" t="s">
        <v>245</v>
      </c>
    </row>
    <row r="1072" spans="1:7" x14ac:dyDescent="0.25">
      <c r="A1072" t="s">
        <v>612</v>
      </c>
      <c r="B1072" t="s">
        <v>197</v>
      </c>
      <c r="C1072" s="4">
        <f>(0.178561789731549/(0.0328453630665826+0.350336698877979+0.0822572721273277+0.0181224344560457+0.178561789731549)) * 0.0655450944882474%</f>
        <v>1.7676231624669432E-4</v>
      </c>
      <c r="D1072" t="s">
        <v>256</v>
      </c>
      <c r="E1072" t="s">
        <v>362</v>
      </c>
      <c r="F1072" t="s">
        <v>359</v>
      </c>
      <c r="G1072" s="4" t="s">
        <v>245</v>
      </c>
    </row>
    <row r="1073" spans="1:7" x14ac:dyDescent="0.25">
      <c r="A1073" t="s">
        <v>612</v>
      </c>
      <c r="B1073" t="s">
        <v>97</v>
      </c>
      <c r="C1073" s="4">
        <f>(0.0328453630665826/(0.0328453630665826+0.350336698877979+0.0822572721273277+0.0181224344560457+0.178561789731549)) * 0.04358012999375%</f>
        <v>2.1618399984080042E-5</v>
      </c>
      <c r="D1073" t="s">
        <v>242</v>
      </c>
      <c r="E1073" t="s">
        <v>366</v>
      </c>
      <c r="F1073" t="s">
        <v>359</v>
      </c>
      <c r="G1073" s="4" t="s">
        <v>245</v>
      </c>
    </row>
    <row r="1074" spans="1:7" x14ac:dyDescent="0.25">
      <c r="A1074" t="s">
        <v>612</v>
      </c>
      <c r="B1074" t="s">
        <v>97</v>
      </c>
      <c r="C1074" s="4">
        <f>(0.350336698877979/(0.0328453630665826+0.350336698877979+0.0822572721273277+0.0181224344560457+0.178561789731549)) * 0.04358012999375%</f>
        <v>2.3058715685660906E-4</v>
      </c>
      <c r="D1074" t="s">
        <v>256</v>
      </c>
      <c r="E1074" t="s">
        <v>364</v>
      </c>
      <c r="F1074" t="s">
        <v>359</v>
      </c>
      <c r="G1074" s="4" t="s">
        <v>245</v>
      </c>
    </row>
    <row r="1075" spans="1:7" x14ac:dyDescent="0.25">
      <c r="A1075" t="s">
        <v>612</v>
      </c>
      <c r="B1075" t="s">
        <v>97</v>
      </c>
      <c r="C1075" s="4">
        <f>(0.0822572721273277/(0.0328453630665826+0.350336698877979+0.0822572721273277+0.0181224344560457+0.178561789731549)) * 0.04358012999375%</f>
        <v>5.4140689717542797E-5</v>
      </c>
      <c r="D1075" t="s">
        <v>256</v>
      </c>
      <c r="E1075" t="s">
        <v>361</v>
      </c>
      <c r="F1075" t="s">
        <v>359</v>
      </c>
      <c r="G1075" s="4" t="s">
        <v>245</v>
      </c>
    </row>
    <row r="1076" spans="1:7" x14ac:dyDescent="0.25">
      <c r="A1076" t="s">
        <v>612</v>
      </c>
      <c r="B1076" t="s">
        <v>97</v>
      </c>
      <c r="C1076" s="4">
        <f>(0.0181224344560457/(0.0328453630665826+0.350336698877979+0.0822572721273277+0.0181224344560457+0.178561789731549)) * 0.04358012999375%</f>
        <v>1.1927955734935115E-5</v>
      </c>
      <c r="D1076" t="s">
        <v>256</v>
      </c>
      <c r="E1076" t="s">
        <v>280</v>
      </c>
      <c r="F1076" t="s">
        <v>359</v>
      </c>
      <c r="G1076" s="4" t="s">
        <v>245</v>
      </c>
    </row>
    <row r="1077" spans="1:7" x14ac:dyDescent="0.25">
      <c r="A1077" t="s">
        <v>612</v>
      </c>
      <c r="B1077" t="s">
        <v>97</v>
      </c>
      <c r="C1077" s="4">
        <f>(0.178561789731549/(0.0328453630665826+0.350336698877979+0.0822572721273277+0.0181224344560457+0.178561789731549)) * 0.04358012999375%</f>
        <v>1.1752709764433301E-4</v>
      </c>
      <c r="D1077" t="s">
        <v>256</v>
      </c>
      <c r="E1077" t="s">
        <v>362</v>
      </c>
      <c r="F1077" t="s">
        <v>359</v>
      </c>
      <c r="G1077" s="4" t="s">
        <v>245</v>
      </c>
    </row>
    <row r="1078" spans="1:7" x14ac:dyDescent="0.25">
      <c r="A1078" t="s">
        <v>612</v>
      </c>
      <c r="B1078" t="s">
        <v>98</v>
      </c>
      <c r="C1078" s="4">
        <f>(0.0328453630665826/(0.0328453630665826+0.350336698877979+0.0822572721273277+0.0181224344560457+0.178561789731549)) * 2.94361282413777%</f>
        <v>1.4602113265748426E-3</v>
      </c>
      <c r="D1078" t="s">
        <v>242</v>
      </c>
      <c r="E1078" t="s">
        <v>366</v>
      </c>
      <c r="F1078" t="s">
        <v>359</v>
      </c>
      <c r="G1078" s="4" t="s">
        <v>245</v>
      </c>
    </row>
    <row r="1079" spans="1:7" x14ac:dyDescent="0.25">
      <c r="A1079" t="s">
        <v>612</v>
      </c>
      <c r="B1079" t="s">
        <v>98</v>
      </c>
      <c r="C1079" s="4">
        <f>(0.350336698877979/(0.0328453630665826+0.350336698877979+0.0822572721273277+0.0181224344560457+0.178561789731549)) * 2.94361282413777%</f>
        <v>1.5574972174289646E-2</v>
      </c>
      <c r="D1079" t="s">
        <v>256</v>
      </c>
      <c r="E1079" t="s">
        <v>364</v>
      </c>
      <c r="F1079" t="s">
        <v>359</v>
      </c>
      <c r="G1079" s="4" t="s">
        <v>245</v>
      </c>
    </row>
    <row r="1080" spans="1:7" x14ac:dyDescent="0.25">
      <c r="A1080" t="s">
        <v>612</v>
      </c>
      <c r="B1080" t="s">
        <v>98</v>
      </c>
      <c r="C1080" s="4">
        <f>(0.0822572721273277/(0.0328453630665826+0.350336698877979+0.0822572721273277+0.0181224344560457+0.178561789731549)) * 2.94361282413777%</f>
        <v>3.6569241207650973E-3</v>
      </c>
      <c r="D1080" t="s">
        <v>256</v>
      </c>
      <c r="E1080" t="s">
        <v>361</v>
      </c>
      <c r="F1080" t="s">
        <v>359</v>
      </c>
      <c r="G1080" s="4" t="s">
        <v>245</v>
      </c>
    </row>
    <row r="1081" spans="1:7" x14ac:dyDescent="0.25">
      <c r="A1081" t="s">
        <v>612</v>
      </c>
      <c r="B1081" t="s">
        <v>98</v>
      </c>
      <c r="C1081" s="4">
        <f>(0.0181224344560457/(0.0328453630665826+0.350336698877979+0.0822572721273277+0.0181224344560457+0.178561789731549)) * 2.94361282413777%</f>
        <v>8.0567183879759225E-4</v>
      </c>
      <c r="D1081" t="s">
        <v>256</v>
      </c>
      <c r="E1081" t="s">
        <v>280</v>
      </c>
      <c r="F1081" t="s">
        <v>359</v>
      </c>
      <c r="G1081" s="4" t="s">
        <v>245</v>
      </c>
    </row>
    <row r="1082" spans="1:7" x14ac:dyDescent="0.25">
      <c r="A1082" t="s">
        <v>612</v>
      </c>
      <c r="B1082" t="s">
        <v>98</v>
      </c>
      <c r="C1082" s="4">
        <f>(0.178561789731549/(0.0328453630665826+0.350336698877979+0.0822572721273277+0.0181224344560457+0.178561789731549)) * 2.94361282413777%</f>
        <v>7.9383487809505208E-3</v>
      </c>
      <c r="D1082" t="s">
        <v>256</v>
      </c>
      <c r="E1082" t="s">
        <v>362</v>
      </c>
      <c r="F1082" t="s">
        <v>359</v>
      </c>
      <c r="G1082" s="4" t="s">
        <v>245</v>
      </c>
    </row>
    <row r="1083" spans="1:7" x14ac:dyDescent="0.25">
      <c r="A1083" t="s">
        <v>612</v>
      </c>
      <c r="B1083" t="s">
        <v>99</v>
      </c>
      <c r="C1083" s="4">
        <f>(0.0328453630665826/(0.0328453630665826+0.350336698877979+0.0822572721273277+0.0181224344560457+0.178561789731549)) * 0.221694159762006%</f>
        <v>1.0997381193119261E-4</v>
      </c>
      <c r="D1083" t="s">
        <v>242</v>
      </c>
      <c r="E1083" t="s">
        <v>366</v>
      </c>
      <c r="F1083" t="s">
        <v>359</v>
      </c>
      <c r="G1083" s="4" t="s">
        <v>245</v>
      </c>
    </row>
    <row r="1084" spans="1:7" x14ac:dyDescent="0.25">
      <c r="A1084" t="s">
        <v>612</v>
      </c>
      <c r="B1084" t="s">
        <v>99</v>
      </c>
      <c r="C1084" s="4">
        <f>(0.350336698877979/(0.0328453630665826+0.350336698877979+0.0822572721273277+0.0181224344560457+0.178561789731549)) * 0.221694159762006%</f>
        <v>1.1730076527666879E-3</v>
      </c>
      <c r="D1084" t="s">
        <v>256</v>
      </c>
      <c r="E1084" t="s">
        <v>364</v>
      </c>
      <c r="F1084" t="s">
        <v>359</v>
      </c>
      <c r="G1084" s="4" t="s">
        <v>245</v>
      </c>
    </row>
    <row r="1085" spans="1:7" x14ac:dyDescent="0.25">
      <c r="A1085" t="s">
        <v>612</v>
      </c>
      <c r="B1085" t="s">
        <v>99</v>
      </c>
      <c r="C1085" s="4">
        <f>(0.0822572721273277/(0.0328453630665826+0.350336698877979+0.0822572721273277+0.0181224344560457+0.178561789731549)) * 0.221694159762006%</f>
        <v>2.7541622105274762E-4</v>
      </c>
      <c r="D1085" t="s">
        <v>256</v>
      </c>
      <c r="E1085" t="s">
        <v>361</v>
      </c>
      <c r="F1085" t="s">
        <v>359</v>
      </c>
      <c r="G1085" s="4" t="s">
        <v>245</v>
      </c>
    </row>
    <row r="1086" spans="1:7" x14ac:dyDescent="0.25">
      <c r="A1086" t="s">
        <v>612</v>
      </c>
      <c r="B1086" t="s">
        <v>99</v>
      </c>
      <c r="C1086" s="4">
        <f>(0.0181224344560457/(0.0328453630665826+0.350336698877979+0.0822572721273277+0.0181224344560457+0.178561789731549)) * 0.221694159762006%</f>
        <v>6.0678068760099588E-5</v>
      </c>
      <c r="D1086" t="s">
        <v>256</v>
      </c>
      <c r="E1086" t="s">
        <v>280</v>
      </c>
      <c r="F1086" t="s">
        <v>359</v>
      </c>
      <c r="G1086" s="4" t="s">
        <v>245</v>
      </c>
    </row>
    <row r="1087" spans="1:7" x14ac:dyDescent="0.25">
      <c r="A1087" t="s">
        <v>612</v>
      </c>
      <c r="B1087" t="s">
        <v>99</v>
      </c>
      <c r="C1087" s="4">
        <f>(0.178561789731549/(0.0328453630665826+0.350336698877979+0.0822572721273277+0.0181224344560457+0.178561789731549)) * 0.221694159762006%</f>
        <v>5.9786584310933218E-4</v>
      </c>
      <c r="D1087" t="s">
        <v>256</v>
      </c>
      <c r="E1087" t="s">
        <v>362</v>
      </c>
      <c r="F1087" t="s">
        <v>359</v>
      </c>
      <c r="G1087" s="4" t="s">
        <v>245</v>
      </c>
    </row>
    <row r="1088" spans="1:7" x14ac:dyDescent="0.25">
      <c r="A1088" t="s">
        <v>612</v>
      </c>
      <c r="B1088" t="s">
        <v>100</v>
      </c>
      <c r="C1088" s="4">
        <f>(0.0328453630665826/(0.0328453630665826+0.350336698877979+0.0822572721273277+0.0181224344560457+0.178561789731549)) * 0.981692787102501%</f>
        <v>4.869794407706407E-4</v>
      </c>
      <c r="D1088" t="s">
        <v>242</v>
      </c>
      <c r="E1088" t="s">
        <v>366</v>
      </c>
      <c r="F1088" t="s">
        <v>359</v>
      </c>
      <c r="G1088" s="4" t="s">
        <v>245</v>
      </c>
    </row>
    <row r="1089" spans="1:7" x14ac:dyDescent="0.25">
      <c r="A1089" t="s">
        <v>612</v>
      </c>
      <c r="B1089" t="s">
        <v>100</v>
      </c>
      <c r="C1089" s="4">
        <f>(0.350336698877979/(0.0328453630665826+0.350336698877979+0.0822572721273277+0.0181224344560457+0.178561789731549)) * 0.981692787102501%</f>
        <v>5.1942421630470159E-3</v>
      </c>
      <c r="D1089" t="s">
        <v>256</v>
      </c>
      <c r="E1089" t="s">
        <v>364</v>
      </c>
      <c r="F1089" t="s">
        <v>359</v>
      </c>
      <c r="G1089" s="4" t="s">
        <v>245</v>
      </c>
    </row>
    <row r="1090" spans="1:7" x14ac:dyDescent="0.25">
      <c r="A1090" t="s">
        <v>612</v>
      </c>
      <c r="B1090" t="s">
        <v>100</v>
      </c>
      <c r="C1090" s="4">
        <f>(0.0822572721273277/(0.0328453630665826+0.350336698877979+0.0822572721273277+0.0181224344560457+0.178561789731549)) * 0.981692787102501%</f>
        <v>1.2195815981294387E-3</v>
      </c>
      <c r="D1090" t="s">
        <v>256</v>
      </c>
      <c r="E1090" t="s">
        <v>361</v>
      </c>
      <c r="F1090" t="s">
        <v>359</v>
      </c>
      <c r="G1090" s="4" t="s">
        <v>245</v>
      </c>
    </row>
    <row r="1091" spans="1:7" x14ac:dyDescent="0.25">
      <c r="A1091" t="s">
        <v>612</v>
      </c>
      <c r="B1091" t="s">
        <v>100</v>
      </c>
      <c r="C1091" s="4">
        <f>(0.0181224344560457/(0.0328453630665826+0.350336698877979+0.0822572721273277+0.0181224344560457+0.178561789731549)) * 0.981692787102501%</f>
        <v>2.6869098627156537E-4</v>
      </c>
      <c r="D1091" t="s">
        <v>256</v>
      </c>
      <c r="E1091" t="s">
        <v>280</v>
      </c>
      <c r="F1091" t="s">
        <v>359</v>
      </c>
      <c r="G1091" s="4" t="s">
        <v>245</v>
      </c>
    </row>
    <row r="1092" spans="1:7" x14ac:dyDescent="0.25">
      <c r="A1092" t="s">
        <v>612</v>
      </c>
      <c r="B1092" t="s">
        <v>100</v>
      </c>
      <c r="C1092" s="4">
        <f>(0.178561789731549/(0.0328453630665826+0.350336698877979+0.0822572721273277+0.0181224344560457+0.178561789731549)) * 0.981692787102501%</f>
        <v>2.6474336828063503E-3</v>
      </c>
      <c r="D1092" t="s">
        <v>256</v>
      </c>
      <c r="E1092" t="s">
        <v>362</v>
      </c>
      <c r="F1092" t="s">
        <v>359</v>
      </c>
      <c r="G1092" s="4" t="s">
        <v>245</v>
      </c>
    </row>
    <row r="1093" spans="1:7" x14ac:dyDescent="0.25">
      <c r="A1093" t="s">
        <v>612</v>
      </c>
      <c r="B1093" t="s">
        <v>119</v>
      </c>
      <c r="C1093" s="4">
        <f>(0.0328453630665826/(0.0328453630665826+0.350336698877979+0.0822572721273277+0.0181224344560457+0.178561789731549)) * 0.198715984384732%</f>
        <v>9.8575236794278397E-5</v>
      </c>
      <c r="D1093" t="s">
        <v>242</v>
      </c>
      <c r="E1093" t="s">
        <v>366</v>
      </c>
      <c r="F1093" t="s">
        <v>359</v>
      </c>
      <c r="G1093" s="4" t="s">
        <v>245</v>
      </c>
    </row>
    <row r="1094" spans="1:7" x14ac:dyDescent="0.25">
      <c r="A1094" t="s">
        <v>612</v>
      </c>
      <c r="B1094" t="s">
        <v>119</v>
      </c>
      <c r="C1094" s="4">
        <f>(0.350336698877979/(0.0328453630665826+0.350336698877979+0.0822572721273277+0.0181224344560457+0.178561789731549)) * 0.198715984384732%</f>
        <v>1.0514276544794404E-3</v>
      </c>
      <c r="D1094" t="s">
        <v>256</v>
      </c>
      <c r="E1094" t="s">
        <v>364</v>
      </c>
      <c r="F1094" t="s">
        <v>359</v>
      </c>
      <c r="G1094" s="4" t="s">
        <v>245</v>
      </c>
    </row>
    <row r="1095" spans="1:7" x14ac:dyDescent="0.25">
      <c r="A1095" t="s">
        <v>612</v>
      </c>
      <c r="B1095" t="s">
        <v>119</v>
      </c>
      <c r="C1095" s="4">
        <f>(0.0822572721273277/(0.0328453630665826+0.350336698877979+0.0822572721273277+0.0181224344560457+0.178561789731549)) * 0.198715984384732%</f>
        <v>2.4686985683688398E-4</v>
      </c>
      <c r="D1095" t="s">
        <v>256</v>
      </c>
      <c r="E1095" t="s">
        <v>361</v>
      </c>
      <c r="F1095" t="s">
        <v>359</v>
      </c>
      <c r="G1095" s="4" t="s">
        <v>245</v>
      </c>
    </row>
    <row r="1096" spans="1:7" x14ac:dyDescent="0.25">
      <c r="A1096" t="s">
        <v>612</v>
      </c>
      <c r="B1096" t="s">
        <v>119</v>
      </c>
      <c r="C1096" s="4">
        <f>(0.0181224344560457/(0.0328453630665826+0.350336698877979+0.0822572721273277+0.0181224344560457+0.178561789731549)) * 0.198715984384732%</f>
        <v>5.4388903059836486E-5</v>
      </c>
      <c r="D1096" t="s">
        <v>256</v>
      </c>
      <c r="E1096" t="s">
        <v>280</v>
      </c>
      <c r="F1096" t="s">
        <v>359</v>
      </c>
      <c r="G1096" s="4" t="s">
        <v>245</v>
      </c>
    </row>
    <row r="1097" spans="1:7" x14ac:dyDescent="0.25">
      <c r="A1097" t="s">
        <v>612</v>
      </c>
      <c r="B1097" t="s">
        <v>119</v>
      </c>
      <c r="C1097" s="4">
        <f>(0.178561789731549/(0.0328453630665826+0.350336698877979+0.0822572721273277+0.0181224344560457+0.178561789731549)) * 0.198715984384732%</f>
        <v>5.3589819267688089E-4</v>
      </c>
      <c r="D1097" t="s">
        <v>256</v>
      </c>
      <c r="E1097" t="s">
        <v>362</v>
      </c>
      <c r="F1097" t="s">
        <v>359</v>
      </c>
      <c r="G1097" s="4" t="s">
        <v>245</v>
      </c>
    </row>
    <row r="1098" spans="1:7" x14ac:dyDescent="0.25">
      <c r="A1098" t="s">
        <v>612</v>
      </c>
      <c r="B1098" t="s">
        <v>102</v>
      </c>
      <c r="C1098" s="4">
        <f>(0.0328453630665826/(0.0328453630665826+0.350336698877979+0.0822572721273277+0.0181224344560457+0.178561789731549)) * 3.16027711558885%</f>
        <v>1.567690017334335E-3</v>
      </c>
      <c r="D1098" t="s">
        <v>242</v>
      </c>
      <c r="E1098" t="s">
        <v>366</v>
      </c>
      <c r="F1098" t="s">
        <v>359</v>
      </c>
      <c r="G1098" s="4" t="s">
        <v>245</v>
      </c>
    </row>
    <row r="1099" spans="1:7" x14ac:dyDescent="0.25">
      <c r="A1099" t="s">
        <v>612</v>
      </c>
      <c r="B1099" t="s">
        <v>102</v>
      </c>
      <c r="C1099" s="4">
        <f>(0.350336698877979/(0.0328453630665826+0.350336698877979+0.0822572721273277+0.0181224344560457+0.178561789731549)) * 3.16027711558885%</f>
        <v>1.6721366252628128E-2</v>
      </c>
      <c r="D1099" t="s">
        <v>256</v>
      </c>
      <c r="E1099" t="s">
        <v>364</v>
      </c>
      <c r="F1099" t="s">
        <v>359</v>
      </c>
      <c r="G1099" s="4" t="s">
        <v>245</v>
      </c>
    </row>
    <row r="1100" spans="1:7" x14ac:dyDescent="0.25">
      <c r="A1100" t="s">
        <v>612</v>
      </c>
      <c r="B1100" t="s">
        <v>102</v>
      </c>
      <c r="C1100" s="4">
        <f>(0.0822572721273277/(0.0328453630665826+0.350336698877979+0.0822572721273277+0.0181224344560457+0.178561789731549)) * 3.16027711558885%</f>
        <v>3.9260916101233551E-3</v>
      </c>
      <c r="D1100" t="s">
        <v>256</v>
      </c>
      <c r="E1100" t="s">
        <v>361</v>
      </c>
      <c r="F1100" t="s">
        <v>359</v>
      </c>
      <c r="G1100" s="4" t="s">
        <v>245</v>
      </c>
    </row>
    <row r="1101" spans="1:7" x14ac:dyDescent="0.25">
      <c r="A1101" t="s">
        <v>612</v>
      </c>
      <c r="B1101" t="s">
        <v>102</v>
      </c>
      <c r="C1101" s="4">
        <f>(0.0181224344560457/(0.0328453630665826+0.350336698877979+0.0822572721273277+0.0181224344560457+0.178561789731549)) * 3.16027711558885%</f>
        <v>8.6497322404220243E-4</v>
      </c>
      <c r="D1101" t="s">
        <v>256</v>
      </c>
      <c r="E1101" t="s">
        <v>280</v>
      </c>
      <c r="F1101" t="s">
        <v>359</v>
      </c>
      <c r="G1101" s="4" t="s">
        <v>245</v>
      </c>
    </row>
    <row r="1102" spans="1:7" x14ac:dyDescent="0.25">
      <c r="A1102" t="s">
        <v>612</v>
      </c>
      <c r="B1102" t="s">
        <v>102</v>
      </c>
      <c r="C1102" s="4">
        <f>(0.178561789731549/(0.0328453630665826+0.350336698877979+0.0822572721273277+0.0181224344560457+0.178561789731549)) * 3.16027711558885%</f>
        <v>8.5226500517604793E-3</v>
      </c>
      <c r="D1102" t="s">
        <v>256</v>
      </c>
      <c r="E1102" t="s">
        <v>362</v>
      </c>
      <c r="F1102" t="s">
        <v>359</v>
      </c>
      <c r="G1102" s="4" t="s">
        <v>245</v>
      </c>
    </row>
    <row r="1103" spans="1:7" x14ac:dyDescent="0.25">
      <c r="A1103" t="s">
        <v>612</v>
      </c>
      <c r="B1103" t="s">
        <v>198</v>
      </c>
      <c r="C1103" s="4">
        <f>(0.0328453630665826/(0.0328453630665826+0.350336698877979+0.0822572721273277+0.0181224344560457+0.178561789731549)) * 0.0109282030928142%</f>
        <v>5.4210546320444559E-6</v>
      </c>
      <c r="D1103" t="s">
        <v>242</v>
      </c>
      <c r="E1103" t="s">
        <v>366</v>
      </c>
      <c r="F1103" t="s">
        <v>359</v>
      </c>
      <c r="G1103" s="4" t="s">
        <v>245</v>
      </c>
    </row>
    <row r="1104" spans="1:7" x14ac:dyDescent="0.25">
      <c r="A1104" t="s">
        <v>612</v>
      </c>
      <c r="B1104" t="s">
        <v>198</v>
      </c>
      <c r="C1104" s="4">
        <f>(0.350336698877979/(0.0328453630665826+0.350336698877979+0.0822572721273277+0.0181224344560457+0.178561789731549)) * 0.0109282030928142%</f>
        <v>5.7822298398031792E-5</v>
      </c>
      <c r="D1104" t="s">
        <v>256</v>
      </c>
      <c r="E1104" t="s">
        <v>364</v>
      </c>
      <c r="F1104" t="s">
        <v>359</v>
      </c>
      <c r="G1104" s="4" t="s">
        <v>245</v>
      </c>
    </row>
    <row r="1105" spans="1:7" x14ac:dyDescent="0.25">
      <c r="A1105" t="s">
        <v>612</v>
      </c>
      <c r="B1105" t="s">
        <v>198</v>
      </c>
      <c r="C1105" s="4">
        <f>(0.0822572721273277/(0.0328453630665826+0.350336698877979+0.0822572721273277+0.0181224344560457+0.178561789731549)) * 0.0109282030928142%</f>
        <v>1.3576381091639641E-5</v>
      </c>
      <c r="D1105" t="s">
        <v>256</v>
      </c>
      <c r="E1105" t="s">
        <v>361</v>
      </c>
      <c r="F1105" t="s">
        <v>359</v>
      </c>
      <c r="G1105" s="4" t="s">
        <v>245</v>
      </c>
    </row>
    <row r="1106" spans="1:7" x14ac:dyDescent="0.25">
      <c r="A1106" t="s">
        <v>612</v>
      </c>
      <c r="B1106" t="s">
        <v>198</v>
      </c>
      <c r="C1106" s="4">
        <f>(0.0181224344560457/(0.0328453630665826+0.350336698877979+0.0822572721273277+0.0181224344560457+0.178561789731549)) * 0.0109282030928142%</f>
        <v>2.991067781857534E-6</v>
      </c>
      <c r="D1106" t="s">
        <v>256</v>
      </c>
      <c r="E1106" t="s">
        <v>280</v>
      </c>
      <c r="F1106" t="s">
        <v>359</v>
      </c>
      <c r="G1106" s="4" t="s">
        <v>245</v>
      </c>
    </row>
    <row r="1107" spans="1:7" x14ac:dyDescent="0.25">
      <c r="A1107" t="s">
        <v>612</v>
      </c>
      <c r="B1107" t="s">
        <v>198</v>
      </c>
      <c r="C1107" s="4">
        <f>(0.178561789731549/(0.0328453630665826+0.350336698877979+0.0822572721273277+0.0181224344560457+0.178561789731549)) * 0.0109282030928142%</f>
        <v>2.9471229024568573E-5</v>
      </c>
      <c r="D1107" t="s">
        <v>256</v>
      </c>
      <c r="E1107" t="s">
        <v>362</v>
      </c>
      <c r="F1107" t="s">
        <v>359</v>
      </c>
      <c r="G1107" s="4" t="s">
        <v>245</v>
      </c>
    </row>
    <row r="1108" spans="1:7" x14ac:dyDescent="0.25">
      <c r="A1108" t="s">
        <v>612</v>
      </c>
      <c r="B1108" t="s">
        <v>148</v>
      </c>
      <c r="C1108" s="4">
        <f>(0.0328453630665826/(0.0328453630665826+0.350336698877979+0.0822572721273277+0.0181224344560457+0.178561789731549)) * 0.00635669208599676%</f>
        <v>3.1533066126792698E-6</v>
      </c>
      <c r="D1108" t="s">
        <v>242</v>
      </c>
      <c r="E1108" t="s">
        <v>366</v>
      </c>
      <c r="F1108" t="s">
        <v>359</v>
      </c>
      <c r="G1108" s="4" t="s">
        <v>245</v>
      </c>
    </row>
    <row r="1109" spans="1:7" x14ac:dyDescent="0.25">
      <c r="A1109" t="s">
        <v>612</v>
      </c>
      <c r="B1109" t="s">
        <v>148</v>
      </c>
      <c r="C1109" s="4">
        <f>(0.350336698877979/(0.0328453630665826+0.350336698877979+0.0822572721273277+0.0181224344560457+0.178561789731549)) * 0.00635669208599676%</f>
        <v>3.3633941783402486E-5</v>
      </c>
      <c r="D1109" t="s">
        <v>256</v>
      </c>
      <c r="E1109" t="s">
        <v>364</v>
      </c>
      <c r="F1109" t="s">
        <v>359</v>
      </c>
      <c r="G1109" s="4" t="s">
        <v>245</v>
      </c>
    </row>
    <row r="1110" spans="1:7" x14ac:dyDescent="0.25">
      <c r="A1110" t="s">
        <v>612</v>
      </c>
      <c r="B1110" t="s">
        <v>148</v>
      </c>
      <c r="C1110" s="4">
        <f>(0.0822572721273277/(0.0328453630665826+0.350336698877979+0.0822572721273277+0.0181224344560457+0.178561789731549)) * 0.00635669208599676%</f>
        <v>7.8970781846512894E-6</v>
      </c>
      <c r="D1110" t="s">
        <v>256</v>
      </c>
      <c r="E1110" t="s">
        <v>361</v>
      </c>
      <c r="F1110" t="s">
        <v>359</v>
      </c>
      <c r="G1110" s="4" t="s">
        <v>245</v>
      </c>
    </row>
    <row r="1111" spans="1:7" x14ac:dyDescent="0.25">
      <c r="A1111" t="s">
        <v>612</v>
      </c>
      <c r="B1111" t="s">
        <v>148</v>
      </c>
      <c r="C1111" s="4">
        <f>(0.0181224344560457/(0.0328453630665826+0.350336698877979+0.0822572721273277+0.0181224344560457+0.178561789731549)) * 0.00635669208599676%</f>
        <v>1.7398374404403037E-6</v>
      </c>
      <c r="D1111" t="s">
        <v>256</v>
      </c>
      <c r="E1111" t="s">
        <v>280</v>
      </c>
      <c r="F1111" t="s">
        <v>359</v>
      </c>
      <c r="G1111" s="4" t="s">
        <v>245</v>
      </c>
    </row>
    <row r="1112" spans="1:7" x14ac:dyDescent="0.25">
      <c r="A1112" t="s">
        <v>612</v>
      </c>
      <c r="B1112" t="s">
        <v>148</v>
      </c>
      <c r="C1112" s="4">
        <f>(0.178561789731549/(0.0328453630665826+0.350336698877979+0.0822572721273277+0.0181224344560457+0.178561789731549)) * 0.00635669208599676%</f>
        <v>1.7142756838794245E-5</v>
      </c>
      <c r="D1112" t="s">
        <v>256</v>
      </c>
      <c r="E1112" t="s">
        <v>362</v>
      </c>
      <c r="F1112" t="s">
        <v>359</v>
      </c>
      <c r="G1112" s="4" t="s">
        <v>245</v>
      </c>
    </row>
    <row r="1113" spans="1:7" x14ac:dyDescent="0.25">
      <c r="A1113" t="s">
        <v>612</v>
      </c>
      <c r="B1113" t="s">
        <v>149</v>
      </c>
      <c r="C1113" s="4">
        <f>(0.0328453630665826/(0.0328453630665826+0.350336698877979+0.0822572721273277+0.0181224344560457+0.178561789731549)) * 0.301550857969486%</f>
        <v>1.4958760022197687E-4</v>
      </c>
      <c r="D1113" t="s">
        <v>242</v>
      </c>
      <c r="E1113" t="s">
        <v>366</v>
      </c>
      <c r="F1113" t="s">
        <v>359</v>
      </c>
      <c r="G1113" s="4" t="s">
        <v>245</v>
      </c>
    </row>
    <row r="1114" spans="1:7" x14ac:dyDescent="0.25">
      <c r="A1114" t="s">
        <v>612</v>
      </c>
      <c r="B1114" t="s">
        <v>149</v>
      </c>
      <c r="C1114" s="4">
        <f>(0.350336698877979/(0.0328453630665826+0.350336698877979+0.0822572721273277+0.0181224344560457+0.178561789731549)) * 0.301550857969486%</f>
        <v>1.5955380352657741E-3</v>
      </c>
      <c r="D1114" t="s">
        <v>256</v>
      </c>
      <c r="E1114" t="s">
        <v>364</v>
      </c>
      <c r="F1114" t="s">
        <v>359</v>
      </c>
      <c r="G1114" s="4" t="s">
        <v>245</v>
      </c>
    </row>
    <row r="1115" spans="1:7" x14ac:dyDescent="0.25">
      <c r="A1115" t="s">
        <v>612</v>
      </c>
      <c r="B1115" t="s">
        <v>149</v>
      </c>
      <c r="C1115" s="4">
        <f>(0.0822572721273277/(0.0328453630665826+0.350336698877979+0.0822572721273277+0.0181224344560457+0.178561789731549)) * 0.301550857969486%</f>
        <v>3.7462420230793619E-4</v>
      </c>
      <c r="D1115" t="s">
        <v>256</v>
      </c>
      <c r="E1115" t="s">
        <v>361</v>
      </c>
      <c r="F1115" t="s">
        <v>359</v>
      </c>
      <c r="G1115" s="4" t="s">
        <v>245</v>
      </c>
    </row>
    <row r="1116" spans="1:7" x14ac:dyDescent="0.25">
      <c r="A1116" t="s">
        <v>612</v>
      </c>
      <c r="B1116" t="s">
        <v>149</v>
      </c>
      <c r="C1116" s="4">
        <f>(0.0181224344560457/(0.0328453630665826+0.350336698877979+0.0822572721273277+0.0181224344560457+0.178561789731549)) * 0.301550857969486%</f>
        <v>8.2534982943088475E-5</v>
      </c>
      <c r="D1116" t="s">
        <v>256</v>
      </c>
      <c r="E1116" t="s">
        <v>280</v>
      </c>
      <c r="F1116" t="s">
        <v>359</v>
      </c>
      <c r="G1116" s="4" t="s">
        <v>245</v>
      </c>
    </row>
    <row r="1117" spans="1:7" x14ac:dyDescent="0.25">
      <c r="A1117" t="s">
        <v>612</v>
      </c>
      <c r="B1117" t="s">
        <v>149</v>
      </c>
      <c r="C1117" s="4">
        <f>(0.178561789731549/(0.0328453630665826+0.350336698877979+0.0822572721273277+0.0181224344560457+0.178561789731549)) * 0.301550857969486%</f>
        <v>8.1322375895608446E-4</v>
      </c>
      <c r="D1117" t="s">
        <v>256</v>
      </c>
      <c r="E1117" t="s">
        <v>362</v>
      </c>
      <c r="F1117" t="s">
        <v>359</v>
      </c>
      <c r="G1117" s="4" t="s">
        <v>245</v>
      </c>
    </row>
    <row r="1118" spans="1:7" x14ac:dyDescent="0.25">
      <c r="A1118" t="s">
        <v>612</v>
      </c>
      <c r="B1118" t="s">
        <v>170</v>
      </c>
      <c r="C1118" s="4">
        <f>(0.0328453630665826/(0.0328453630665826+0.350336698877979+0.0822572721273277+0.0181224344560457+0.178561789731549)) * 0.604307919370849%</f>
        <v>2.9977355084484123E-4</v>
      </c>
      <c r="D1118" t="s">
        <v>242</v>
      </c>
      <c r="E1118" t="s">
        <v>366</v>
      </c>
      <c r="F1118" t="s">
        <v>359</v>
      </c>
      <c r="G1118" s="4" t="s">
        <v>245</v>
      </c>
    </row>
    <row r="1119" spans="1:7" x14ac:dyDescent="0.25">
      <c r="A1119" t="s">
        <v>612</v>
      </c>
      <c r="B1119" t="s">
        <v>170</v>
      </c>
      <c r="C1119" s="4">
        <f>(0.350336698877979/(0.0328453630665826+0.350336698877979+0.0822572721273277+0.0181224344560457+0.178561789731549)) * 0.604307919370849%</f>
        <v>3.1974582226726063E-3</v>
      </c>
      <c r="D1119" t="s">
        <v>256</v>
      </c>
      <c r="E1119" t="s">
        <v>364</v>
      </c>
      <c r="F1119" t="s">
        <v>359</v>
      </c>
      <c r="G1119" s="4" t="s">
        <v>245</v>
      </c>
    </row>
    <row r="1120" spans="1:7" x14ac:dyDescent="0.25">
      <c r="A1120" t="s">
        <v>612</v>
      </c>
      <c r="B1120" t="s">
        <v>170</v>
      </c>
      <c r="C1120" s="4">
        <f>(0.0822572721273277/(0.0328453630665826+0.350336698877979+0.0822572721273277+0.0181224344560457+0.178561789731549)) * 0.604307919370849%</f>
        <v>7.5074690142510302E-4</v>
      </c>
      <c r="D1120" t="s">
        <v>256</v>
      </c>
      <c r="E1120" t="s">
        <v>361</v>
      </c>
      <c r="F1120" t="s">
        <v>359</v>
      </c>
      <c r="G1120" s="4" t="s">
        <v>245</v>
      </c>
    </row>
    <row r="1121" spans="1:7" x14ac:dyDescent="0.25">
      <c r="A1121" t="s">
        <v>612</v>
      </c>
      <c r="B1121" t="s">
        <v>170</v>
      </c>
      <c r="C1121" s="4">
        <f>(0.0181224344560457/(0.0328453630665826+0.350336698877979+0.0822572721273277+0.0181224344560457+0.178561789731549)) * 0.604307919370849%</f>
        <v>1.6540010581794906E-4</v>
      </c>
      <c r="D1121" t="s">
        <v>256</v>
      </c>
      <c r="E1121" t="s">
        <v>280</v>
      </c>
      <c r="F1121" t="s">
        <v>359</v>
      </c>
      <c r="G1121" s="4" t="s">
        <v>245</v>
      </c>
    </row>
    <row r="1122" spans="1:7" x14ac:dyDescent="0.25">
      <c r="A1122" t="s">
        <v>612</v>
      </c>
      <c r="B1122" t="s">
        <v>170</v>
      </c>
      <c r="C1122" s="4">
        <f>(0.178561789731549/(0.0328453630665826+0.350336698877979+0.0822572721273277+0.0181224344560457+0.178561789731549)) * 0.604307919370849%</f>
        <v>1.6297004129479907E-3</v>
      </c>
      <c r="D1122" t="s">
        <v>256</v>
      </c>
      <c r="E1122" t="s">
        <v>362</v>
      </c>
      <c r="F1122" t="s">
        <v>359</v>
      </c>
      <c r="G1122" s="4" t="s">
        <v>245</v>
      </c>
    </row>
    <row r="1123" spans="1:7" x14ac:dyDescent="0.25">
      <c r="A1123" t="s">
        <v>612</v>
      </c>
      <c r="B1123" t="s">
        <v>171</v>
      </c>
      <c r="C1123" s="4">
        <f>(0.0328453630665826/(0.0328453630665826+0.350336698877979+0.0822572721273277+0.0181224344560457+0.178561789731549)) * 0.143284905672781%</f>
        <v>7.1078044121474553E-5</v>
      </c>
      <c r="D1123" t="s">
        <v>242</v>
      </c>
      <c r="E1123" t="s">
        <v>366</v>
      </c>
      <c r="F1123" t="s">
        <v>359</v>
      </c>
      <c r="G1123" s="4" t="s">
        <v>245</v>
      </c>
    </row>
    <row r="1124" spans="1:7" x14ac:dyDescent="0.25">
      <c r="A1124" t="s">
        <v>612</v>
      </c>
      <c r="B1124" t="s">
        <v>171</v>
      </c>
      <c r="C1124" s="4">
        <f>(0.350336698877979/(0.0328453630665826+0.350336698877979+0.0822572721273277+0.0181224344560457+0.178561789731549)) * 0.143284905672781%</f>
        <v>7.5813585283688526E-4</v>
      </c>
      <c r="D1124" t="s">
        <v>256</v>
      </c>
      <c r="E1124" t="s">
        <v>364</v>
      </c>
      <c r="F1124" t="s">
        <v>359</v>
      </c>
      <c r="G1124" s="4" t="s">
        <v>245</v>
      </c>
    </row>
    <row r="1125" spans="1:7" x14ac:dyDescent="0.25">
      <c r="A1125" t="s">
        <v>612</v>
      </c>
      <c r="B1125" t="s">
        <v>171</v>
      </c>
      <c r="C1125" s="4">
        <f>(0.0822572721273277/(0.0328453630665826+0.350336698877979+0.0822572721273277+0.0181224344560457+0.178561789731549)) * 0.143284905672781%</f>
        <v>1.7800643596863901E-4</v>
      </c>
      <c r="D1125" t="s">
        <v>256</v>
      </c>
      <c r="E1125" t="s">
        <v>361</v>
      </c>
      <c r="F1125" t="s">
        <v>359</v>
      </c>
      <c r="G1125" s="4" t="s">
        <v>245</v>
      </c>
    </row>
    <row r="1126" spans="1:7" x14ac:dyDescent="0.25">
      <c r="A1126" t="s">
        <v>612</v>
      </c>
      <c r="B1126" t="s">
        <v>171</v>
      </c>
      <c r="C1126" s="4">
        <f>(0.0181224344560457/(0.0328453630665826+0.350336698877979+0.0822572721273277+0.0181224344560457+0.178561789731549)) * 0.143284905672781%</f>
        <v>3.9217322495237926E-5</v>
      </c>
      <c r="D1126" t="s">
        <v>256</v>
      </c>
      <c r="E1126" t="s">
        <v>280</v>
      </c>
      <c r="F1126" t="s">
        <v>359</v>
      </c>
      <c r="G1126" s="4" t="s">
        <v>245</v>
      </c>
    </row>
    <row r="1127" spans="1:7" x14ac:dyDescent="0.25">
      <c r="A1127" t="s">
        <v>612</v>
      </c>
      <c r="B1127" t="s">
        <v>171</v>
      </c>
      <c r="C1127" s="4">
        <f>(0.178561789731549/(0.0328453630665826+0.350336698877979+0.0822572721273277+0.0181224344560457+0.178561789731549)) * 0.143284905672781%</f>
        <v>3.8641140130557316E-4</v>
      </c>
      <c r="D1127" t="s">
        <v>256</v>
      </c>
      <c r="E1127" t="s">
        <v>362</v>
      </c>
      <c r="F1127" t="s">
        <v>359</v>
      </c>
      <c r="G1127" s="4" t="s">
        <v>245</v>
      </c>
    </row>
    <row r="1128" spans="1:7" x14ac:dyDescent="0.25">
      <c r="A1128" t="s">
        <v>612</v>
      </c>
      <c r="B1128" t="s">
        <v>199</v>
      </c>
      <c r="C1128" s="4">
        <f>(0.0328453630665826/(0.0328453630665826+0.350336698877979+0.0822572721273277+0.0181224344560457+0.178561789731549)) * 0.185055730518714%</f>
        <v>9.179891850422269E-5</v>
      </c>
      <c r="D1128" t="s">
        <v>242</v>
      </c>
      <c r="E1128" t="s">
        <v>366</v>
      </c>
      <c r="F1128" t="s">
        <v>359</v>
      </c>
      <c r="G1128" s="4" t="s">
        <v>245</v>
      </c>
    </row>
    <row r="1129" spans="1:7" x14ac:dyDescent="0.25">
      <c r="A1129" t="s">
        <v>612</v>
      </c>
      <c r="B1129" t="s">
        <v>199</v>
      </c>
      <c r="C1129" s="4">
        <f>(0.350336698877979/(0.0328453630665826+0.350336698877979+0.0822572721273277+0.0181224344560457+0.178561789731549)) * 0.185055730518714%</f>
        <v>9.7914978148189928E-4</v>
      </c>
      <c r="D1129" t="s">
        <v>256</v>
      </c>
      <c r="E1129" t="s">
        <v>364</v>
      </c>
      <c r="F1129" t="s">
        <v>359</v>
      </c>
      <c r="G1129" s="4" t="s">
        <v>245</v>
      </c>
    </row>
    <row r="1130" spans="1:7" x14ac:dyDescent="0.25">
      <c r="A1130" t="s">
        <v>612</v>
      </c>
      <c r="B1130" t="s">
        <v>199</v>
      </c>
      <c r="C1130" s="4">
        <f>(0.0822572721273277/(0.0328453630665826+0.350336698877979+0.0822572721273277+0.0181224344560457+0.178561789731549)) * 0.185055730518714%</f>
        <v>2.2989938047233407E-4</v>
      </c>
      <c r="D1130" t="s">
        <v>256</v>
      </c>
      <c r="E1130" t="s">
        <v>361</v>
      </c>
      <c r="F1130" t="s">
        <v>359</v>
      </c>
      <c r="G1130" s="4" t="s">
        <v>245</v>
      </c>
    </row>
    <row r="1131" spans="1:7" x14ac:dyDescent="0.25">
      <c r="A1131" t="s">
        <v>612</v>
      </c>
      <c r="B1131" t="s">
        <v>199</v>
      </c>
      <c r="C1131" s="4">
        <f>(0.0181224344560457/(0.0328453630665826+0.350336698877979+0.0822572721273277+0.0181224344560457+0.178561789731549)) * 0.185055730518714%</f>
        <v>5.065006833251449E-5</v>
      </c>
      <c r="D1131" t="s">
        <v>256</v>
      </c>
      <c r="E1131" t="s">
        <v>280</v>
      </c>
      <c r="F1131" t="s">
        <v>359</v>
      </c>
      <c r="G1131" s="4" t="s">
        <v>245</v>
      </c>
    </row>
    <row r="1132" spans="1:7" x14ac:dyDescent="0.25">
      <c r="A1132" t="s">
        <v>612</v>
      </c>
      <c r="B1132" t="s">
        <v>199</v>
      </c>
      <c r="C1132" s="4">
        <f>(0.178561789731549/(0.0328453630665826+0.350336698877979+0.0822572721273277+0.0181224344560457+0.178561789731549)) * 0.185055730518714%</f>
        <v>4.990591563961695E-4</v>
      </c>
      <c r="D1132" t="s">
        <v>256</v>
      </c>
      <c r="E1132" t="s">
        <v>362</v>
      </c>
      <c r="F1132" t="s">
        <v>359</v>
      </c>
      <c r="G1132" s="4" t="s">
        <v>245</v>
      </c>
    </row>
    <row r="1133" spans="1:7" x14ac:dyDescent="0.25">
      <c r="A1133" t="s">
        <v>612</v>
      </c>
      <c r="B1133" t="s">
        <v>141</v>
      </c>
      <c r="C1133" s="4">
        <f>(0.0328453630665826/(0.0328453630665826+0.350336698877979+0.0822572721273277+0.0181224344560457+0.178561789731549)) * 0.0568905848645232%</f>
        <v>2.8221196657878143E-5</v>
      </c>
      <c r="D1133" t="s">
        <v>242</v>
      </c>
      <c r="E1133" t="s">
        <v>366</v>
      </c>
      <c r="F1133" t="s">
        <v>359</v>
      </c>
      <c r="G1133" s="4" t="s">
        <v>245</v>
      </c>
    </row>
    <row r="1134" spans="1:7" x14ac:dyDescent="0.25">
      <c r="A1134" t="s">
        <v>612</v>
      </c>
      <c r="B1134" t="s">
        <v>141</v>
      </c>
      <c r="C1134" s="4">
        <f>(0.350336698877979/(0.0328453630665826+0.350336698877979+0.0822572721273277+0.0181224344560457+0.178561789731549)) * 0.0568905848645232%</f>
        <v>3.0101420573324077E-4</v>
      </c>
      <c r="D1134" t="s">
        <v>256</v>
      </c>
      <c r="E1134" t="s">
        <v>364</v>
      </c>
      <c r="F1134" t="s">
        <v>359</v>
      </c>
      <c r="G1134" s="4" t="s">
        <v>245</v>
      </c>
    </row>
    <row r="1135" spans="1:7" x14ac:dyDescent="0.25">
      <c r="A1135" t="s">
        <v>612</v>
      </c>
      <c r="B1135" t="s">
        <v>141</v>
      </c>
      <c r="C1135" s="4">
        <f>(0.0822572721273277/(0.0328453630665826+0.350336698877979+0.0822572721273277+0.0181224344560457+0.178561789731549)) * 0.0568905848645232%</f>
        <v>7.0676602007415203E-5</v>
      </c>
      <c r="D1135" t="s">
        <v>256</v>
      </c>
      <c r="E1135" t="s">
        <v>361</v>
      </c>
      <c r="F1135" t="s">
        <v>359</v>
      </c>
      <c r="G1135" s="4" t="s">
        <v>245</v>
      </c>
    </row>
    <row r="1136" spans="1:7" x14ac:dyDescent="0.25">
      <c r="A1136" t="s">
        <v>612</v>
      </c>
      <c r="B1136" t="s">
        <v>141</v>
      </c>
      <c r="C1136" s="4">
        <f>(0.0181224344560457/(0.0328453630665826+0.350336698877979+0.0822572721273277+0.0181224344560457+0.178561789731549)) * 0.0568905848645232%</f>
        <v>1.5571049882043063E-5</v>
      </c>
      <c r="D1136" t="s">
        <v>256</v>
      </c>
      <c r="E1136" t="s">
        <v>280</v>
      </c>
      <c r="F1136" t="s">
        <v>359</v>
      </c>
      <c r="G1136" s="4" t="s">
        <v>245</v>
      </c>
    </row>
    <row r="1137" spans="1:7" x14ac:dyDescent="0.25">
      <c r="A1137" t="s">
        <v>612</v>
      </c>
      <c r="B1137" t="s">
        <v>141</v>
      </c>
      <c r="C1137" s="4">
        <f>(0.178561789731549/(0.0328453630665826+0.350336698877979+0.0822572721273277+0.0181224344560457+0.178561789731549)) * 0.0568905848645232%</f>
        <v>1.5342279436465482E-4</v>
      </c>
      <c r="D1137" t="s">
        <v>256</v>
      </c>
      <c r="E1137" t="s">
        <v>362</v>
      </c>
      <c r="F1137" t="s">
        <v>359</v>
      </c>
      <c r="G1137" s="4" t="s">
        <v>245</v>
      </c>
    </row>
    <row r="1138" spans="1:7" x14ac:dyDescent="0.25">
      <c r="A1138" t="s">
        <v>612</v>
      </c>
      <c r="B1138" t="s">
        <v>103</v>
      </c>
      <c r="C1138" s="4">
        <f>(0.0328453630665826/(0.0328453630665826+0.350336698877979+0.0822572721273277+0.0181224344560457+0.178561789731549)) * 0.0708644516228291%</f>
        <v>3.515308605216452E-5</v>
      </c>
      <c r="D1138" t="s">
        <v>242</v>
      </c>
      <c r="E1138" t="s">
        <v>366</v>
      </c>
      <c r="F1138" t="s">
        <v>359</v>
      </c>
      <c r="G1138" s="4" t="s">
        <v>245</v>
      </c>
    </row>
    <row r="1139" spans="1:7" x14ac:dyDescent="0.25">
      <c r="A1139" t="s">
        <v>612</v>
      </c>
      <c r="B1139" t="s">
        <v>103</v>
      </c>
      <c r="C1139" s="4">
        <f>(0.350336698877979/(0.0328453630665826+0.350336698877979+0.0822572721273277+0.0181224344560457+0.178561789731549)) * 0.0708644516228291%</f>
        <v>3.7495143828745634E-4</v>
      </c>
      <c r="D1139" t="s">
        <v>256</v>
      </c>
      <c r="E1139" t="s">
        <v>364</v>
      </c>
      <c r="F1139" t="s">
        <v>359</v>
      </c>
      <c r="G1139" s="4" t="s">
        <v>245</v>
      </c>
    </row>
    <row r="1140" spans="1:7" x14ac:dyDescent="0.25">
      <c r="A1140" t="s">
        <v>612</v>
      </c>
      <c r="B1140" t="s">
        <v>103</v>
      </c>
      <c r="C1140" s="4">
        <f>(0.0822572721273277/(0.0328453630665826+0.350336698877979+0.0822572721273277+0.0181224344560457+0.178561789731549)) * 0.0708644516228291%</f>
        <v>8.8036687542364888E-5</v>
      </c>
      <c r="D1140" t="s">
        <v>256</v>
      </c>
      <c r="E1140" t="s">
        <v>361</v>
      </c>
      <c r="F1140" t="s">
        <v>359</v>
      </c>
      <c r="G1140" s="4" t="s">
        <v>245</v>
      </c>
    </row>
    <row r="1141" spans="1:7" x14ac:dyDescent="0.25">
      <c r="A1141" t="s">
        <v>612</v>
      </c>
      <c r="B1141" t="s">
        <v>103</v>
      </c>
      <c r="C1141" s="4">
        <f>(0.0181224344560457/(0.0328453630665826+0.350336698877979+0.0822572721273277+0.0181224344560457+0.178561789731549)) * 0.0708644516228291%</f>
        <v>1.9395720991625763E-5</v>
      </c>
      <c r="D1141" t="s">
        <v>256</v>
      </c>
      <c r="E1141" t="s">
        <v>280</v>
      </c>
      <c r="F1141" t="s">
        <v>359</v>
      </c>
      <c r="G1141" s="4" t="s">
        <v>245</v>
      </c>
    </row>
    <row r="1142" spans="1:7" x14ac:dyDescent="0.25">
      <c r="A1142" t="s">
        <v>612</v>
      </c>
      <c r="B1142" t="s">
        <v>103</v>
      </c>
      <c r="C1142" s="4">
        <f>(0.178561789731549/(0.0328453630665826+0.350336698877979+0.0822572721273277+0.0181224344560457+0.178561789731549)) * 0.0708644516228291%</f>
        <v>1.9110758335467957E-4</v>
      </c>
      <c r="D1142" t="s">
        <v>256</v>
      </c>
      <c r="E1142" t="s">
        <v>362</v>
      </c>
      <c r="F1142" t="s">
        <v>359</v>
      </c>
      <c r="G1142" s="4" t="s">
        <v>245</v>
      </c>
    </row>
    <row r="1143" spans="1:7" x14ac:dyDescent="0.25">
      <c r="A1143" t="s">
        <v>612</v>
      </c>
      <c r="B1143" t="s">
        <v>200</v>
      </c>
      <c r="C1143" s="4">
        <f>(0.0328453630665826/(0.0328453630665826+0.350336698877979+0.0822572721273277+0.0181224344560457+0.178561789731549)) * 1.86901221769487%</f>
        <v>9.2714394617581062E-4</v>
      </c>
      <c r="D1143" t="s">
        <v>242</v>
      </c>
      <c r="E1143" t="s">
        <v>366</v>
      </c>
      <c r="F1143" t="s">
        <v>359</v>
      </c>
      <c r="G1143" s="4" t="s">
        <v>245</v>
      </c>
    </row>
    <row r="1144" spans="1:7" x14ac:dyDescent="0.25">
      <c r="A1144" t="s">
        <v>612</v>
      </c>
      <c r="B1144" t="s">
        <v>200</v>
      </c>
      <c r="C1144" s="4">
        <f>(0.350336698877979/(0.0328453630665826+0.350336698877979+0.0822572721273277+0.0181224344560457+0.178561789731549)) * 1.86901221769487%</f>
        <v>9.8891447425772452E-3</v>
      </c>
      <c r="D1144" t="s">
        <v>256</v>
      </c>
      <c r="E1144" t="s">
        <v>364</v>
      </c>
      <c r="F1144" t="s">
        <v>359</v>
      </c>
      <c r="G1144" s="4" t="s">
        <v>245</v>
      </c>
    </row>
    <row r="1145" spans="1:7" x14ac:dyDescent="0.25">
      <c r="A1145" t="s">
        <v>612</v>
      </c>
      <c r="B1145" t="s">
        <v>200</v>
      </c>
      <c r="C1145" s="4">
        <f>(0.0822572721273277/(0.0328453630665826+0.350336698877979+0.0822572721273277+0.0181224344560457+0.178561789731549)) * 1.86901221769487%</f>
        <v>2.3219208059045834E-3</v>
      </c>
      <c r="D1145" t="s">
        <v>256</v>
      </c>
      <c r="E1145" t="s">
        <v>361</v>
      </c>
      <c r="F1145" t="s">
        <v>359</v>
      </c>
      <c r="G1145" s="4" t="s">
        <v>245</v>
      </c>
    </row>
    <row r="1146" spans="1:7" x14ac:dyDescent="0.25">
      <c r="A1146" t="s">
        <v>612</v>
      </c>
      <c r="B1146" t="s">
        <v>200</v>
      </c>
      <c r="C1146" s="4">
        <f>(0.0181224344560457/(0.0328453630665826+0.350336698877979+0.0822572721273277+0.0181224344560457+0.178561789731549)) * 1.86901221769487%</f>
        <v>5.1155182428126126E-4</v>
      </c>
      <c r="D1146" t="s">
        <v>256</v>
      </c>
      <c r="E1146" t="s">
        <v>280</v>
      </c>
      <c r="F1146" t="s">
        <v>359</v>
      </c>
      <c r="G1146" s="4" t="s">
        <v>245</v>
      </c>
    </row>
    <row r="1147" spans="1:7" x14ac:dyDescent="0.25">
      <c r="A1147" t="s">
        <v>612</v>
      </c>
      <c r="B1147" t="s">
        <v>200</v>
      </c>
      <c r="C1147" s="4">
        <f>(0.178561789731549/(0.0328453630665826+0.350336698877979+0.0822572721273277+0.0181224344560457+0.178561789731549)) * 1.86901221769487%</f>
        <v>5.0403608580098002E-3</v>
      </c>
      <c r="D1147" t="s">
        <v>256</v>
      </c>
      <c r="E1147" t="s">
        <v>362</v>
      </c>
      <c r="F1147" t="s">
        <v>359</v>
      </c>
      <c r="G1147" s="4" t="s">
        <v>245</v>
      </c>
    </row>
    <row r="1148" spans="1:7" x14ac:dyDescent="0.25">
      <c r="A1148" t="s">
        <v>612</v>
      </c>
      <c r="B1148" t="s">
        <v>172</v>
      </c>
      <c r="C1148" s="4">
        <f>(0.0328453630665826/(0.0328453630665826+0.350336698877979+0.0822572721273277+0.0181224344560457+0.178561789731549)) * 0.315494569641995%</f>
        <v>1.5650453085624109E-4</v>
      </c>
      <c r="D1148" t="s">
        <v>242</v>
      </c>
      <c r="E1148" t="s">
        <v>366</v>
      </c>
      <c r="F1148" t="s">
        <v>359</v>
      </c>
      <c r="G1148" s="4" t="s">
        <v>245</v>
      </c>
    </row>
    <row r="1149" spans="1:7" x14ac:dyDescent="0.25">
      <c r="A1149" t="s">
        <v>612</v>
      </c>
      <c r="B1149" t="s">
        <v>172</v>
      </c>
      <c r="C1149" s="4">
        <f>(0.350336698877979/(0.0328453630665826+0.350336698877979+0.0822572721273277+0.0181224344560457+0.178561789731549)) * 0.315494569641995%</f>
        <v>1.6693157140164634E-3</v>
      </c>
      <c r="D1149" t="s">
        <v>256</v>
      </c>
      <c r="E1149" t="s">
        <v>364</v>
      </c>
      <c r="F1149" t="s">
        <v>359</v>
      </c>
      <c r="G1149" s="4" t="s">
        <v>245</v>
      </c>
    </row>
    <row r="1150" spans="1:7" x14ac:dyDescent="0.25">
      <c r="A1150" t="s">
        <v>612</v>
      </c>
      <c r="B1150" t="s">
        <v>172</v>
      </c>
      <c r="C1150" s="4">
        <f>(0.0822572721273277/(0.0328453630665826+0.350336698877979+0.0822572721273277+0.0181224344560457+0.178561789731549)) * 0.315494569641995%</f>
        <v>3.9194682542265514E-4</v>
      </c>
      <c r="D1150" t="s">
        <v>256</v>
      </c>
      <c r="E1150" t="s">
        <v>361</v>
      </c>
      <c r="F1150" t="s">
        <v>359</v>
      </c>
      <c r="G1150" s="4" t="s">
        <v>245</v>
      </c>
    </row>
    <row r="1151" spans="1:7" x14ac:dyDescent="0.25">
      <c r="A1151" t="s">
        <v>612</v>
      </c>
      <c r="B1151" t="s">
        <v>172</v>
      </c>
      <c r="C1151" s="4">
        <f>(0.0181224344560457/(0.0328453630665826+0.350336698877979+0.0822572721273277+0.0181224344560457+0.178561789731549)) * 0.315494569641995%</f>
        <v>8.6351400554376885E-5</v>
      </c>
      <c r="D1151" t="s">
        <v>256</v>
      </c>
      <c r="E1151" t="s">
        <v>280</v>
      </c>
      <c r="F1151" t="s">
        <v>359</v>
      </c>
      <c r="G1151" s="4" t="s">
        <v>245</v>
      </c>
    </row>
    <row r="1152" spans="1:7" x14ac:dyDescent="0.25">
      <c r="A1152" t="s">
        <v>612</v>
      </c>
      <c r="B1152" t="s">
        <v>172</v>
      </c>
      <c r="C1152" s="4">
        <f>(0.178561789731549/(0.0328453630665826+0.350336698877979+0.0822572721273277+0.0181224344560457+0.178561789731549)) * 0.315494569641995%</f>
        <v>8.5082722557021373E-4</v>
      </c>
      <c r="D1152" t="s">
        <v>256</v>
      </c>
      <c r="E1152" t="s">
        <v>362</v>
      </c>
      <c r="F1152" t="s">
        <v>359</v>
      </c>
      <c r="G1152" s="4" t="s">
        <v>245</v>
      </c>
    </row>
    <row r="1153" spans="1:7" x14ac:dyDescent="0.25">
      <c r="A1153" t="s">
        <v>612</v>
      </c>
      <c r="B1153" t="s">
        <v>150</v>
      </c>
      <c r="C1153" s="4">
        <f>(0.0328453630665826/(0.0328453630665826+0.350336698877979+0.0822572721273277+0.0181224344560457+0.178561789731549)) * 4.0372774758215%</f>
        <v>2.0027356350599073E-3</v>
      </c>
      <c r="D1153" t="s">
        <v>242</v>
      </c>
      <c r="E1153" t="s">
        <v>366</v>
      </c>
      <c r="F1153" t="s">
        <v>359</v>
      </c>
      <c r="G1153" s="4" t="s">
        <v>245</v>
      </c>
    </row>
    <row r="1154" spans="1:7" x14ac:dyDescent="0.25">
      <c r="A1154" t="s">
        <v>612</v>
      </c>
      <c r="B1154" t="s">
        <v>150</v>
      </c>
      <c r="C1154" s="4">
        <f>(0.350336698877979/(0.0328453630665826+0.350336698877979+0.0822572721273277+0.0181224344560457+0.178561789731549)) * 4.0372774758215%</f>
        <v>2.1361669520591545E-2</v>
      </c>
      <c r="D1154" t="s">
        <v>256</v>
      </c>
      <c r="E1154" t="s">
        <v>364</v>
      </c>
      <c r="F1154" t="s">
        <v>359</v>
      </c>
      <c r="G1154" s="4" t="s">
        <v>245</v>
      </c>
    </row>
    <row r="1155" spans="1:7" x14ac:dyDescent="0.25">
      <c r="A1155" t="s">
        <v>612</v>
      </c>
      <c r="B1155" t="s">
        <v>150</v>
      </c>
      <c r="C1155" s="4">
        <f>(0.0822572721273277/(0.0328453630665826+0.350336698877979+0.0822572721273277+0.0181224344560457+0.178561789731549)) * 4.0372774758215%</f>
        <v>5.0156111776955186E-3</v>
      </c>
      <c r="D1155" t="s">
        <v>256</v>
      </c>
      <c r="E1155" t="s">
        <v>361</v>
      </c>
      <c r="F1155" t="s">
        <v>359</v>
      </c>
      <c r="G1155" s="4" t="s">
        <v>245</v>
      </c>
    </row>
    <row r="1156" spans="1:7" x14ac:dyDescent="0.25">
      <c r="A1156" t="s">
        <v>612</v>
      </c>
      <c r="B1156" t="s">
        <v>150</v>
      </c>
      <c r="C1156" s="4">
        <f>(0.0181224344560457/(0.0328453630665826+0.350336698877979+0.0822572721273277+0.0181224344560457+0.178561789731549)) * 4.0372774758215%</f>
        <v>1.105009714935585E-3</v>
      </c>
      <c r="D1156" t="s">
        <v>256</v>
      </c>
      <c r="E1156" t="s">
        <v>280</v>
      </c>
      <c r="F1156" t="s">
        <v>359</v>
      </c>
      <c r="G1156" s="4" t="s">
        <v>245</v>
      </c>
    </row>
    <row r="1157" spans="1:7" x14ac:dyDescent="0.25">
      <c r="A1157" t="s">
        <v>612</v>
      </c>
      <c r="B1157" t="s">
        <v>150</v>
      </c>
      <c r="C1157" s="4">
        <f>(0.178561789731549/(0.0328453630665826+0.350336698877979+0.0822572721273277+0.0181224344560457+0.178561789731549)) * 4.0372774758215%</f>
        <v>1.0887748709932444E-2</v>
      </c>
      <c r="D1157" t="s">
        <v>256</v>
      </c>
      <c r="E1157" t="s">
        <v>362</v>
      </c>
      <c r="F1157" t="s">
        <v>359</v>
      </c>
      <c r="G1157" s="4" t="s">
        <v>245</v>
      </c>
    </row>
    <row r="1158" spans="1:7" x14ac:dyDescent="0.25">
      <c r="A1158" t="s">
        <v>612</v>
      </c>
      <c r="B1158" t="s">
        <v>173</v>
      </c>
      <c r="C1158" s="4">
        <f>(0.0328453630665826/(0.0328453630665826+0.350336698877979+0.0822572721273277+0.0181224344560457+0.178561789731549)) * 0.579466159691323%</f>
        <v>2.8745052433855491E-4</v>
      </c>
      <c r="D1158" t="s">
        <v>242</v>
      </c>
      <c r="E1158" t="s">
        <v>366</v>
      </c>
      <c r="F1158" t="s">
        <v>359</v>
      </c>
      <c r="G1158" s="4" t="s">
        <v>245</v>
      </c>
    </row>
    <row r="1159" spans="1:7" x14ac:dyDescent="0.25">
      <c r="A1159" t="s">
        <v>612</v>
      </c>
      <c r="B1159" t="s">
        <v>173</v>
      </c>
      <c r="C1159" s="4">
        <f>(0.350336698877979/(0.0328453630665826+0.350336698877979+0.0822572721273277+0.0181224344560457+0.178561789731549)) * 0.579466159691323%</f>
        <v>3.0660177993274132E-3</v>
      </c>
      <c r="D1159" t="s">
        <v>256</v>
      </c>
      <c r="E1159" t="s">
        <v>364</v>
      </c>
      <c r="F1159" t="s">
        <v>359</v>
      </c>
      <c r="G1159" s="4" t="s">
        <v>245</v>
      </c>
    </row>
    <row r="1160" spans="1:7" x14ac:dyDescent="0.25">
      <c r="A1160" t="s">
        <v>612</v>
      </c>
      <c r="B1160" t="s">
        <v>173</v>
      </c>
      <c r="C1160" s="4">
        <f>(0.0822572721273277/(0.0328453630665826+0.350336698877979+0.0822572721273277+0.0181224344560457+0.178561789731549)) * 0.579466159691323%</f>
        <v>7.1988535963897558E-4</v>
      </c>
      <c r="D1160" t="s">
        <v>256</v>
      </c>
      <c r="E1160" t="s">
        <v>361</v>
      </c>
      <c r="F1160" t="s">
        <v>359</v>
      </c>
      <c r="G1160" s="4" t="s">
        <v>245</v>
      </c>
    </row>
    <row r="1161" spans="1:7" x14ac:dyDescent="0.25">
      <c r="A1161" t="s">
        <v>612</v>
      </c>
      <c r="B1161" t="s">
        <v>173</v>
      </c>
      <c r="C1161" s="4">
        <f>(0.0181224344560457/(0.0328453630665826+0.350336698877979+0.0822572721273277+0.0181224344560457+0.178561789731549)) * 0.579466159691323%</f>
        <v>1.586008739230975E-4</v>
      </c>
      <c r="D1161" t="s">
        <v>256</v>
      </c>
      <c r="E1161" t="s">
        <v>280</v>
      </c>
      <c r="F1161" t="s">
        <v>359</v>
      </c>
      <c r="G1161" s="4" t="s">
        <v>245</v>
      </c>
    </row>
    <row r="1162" spans="1:7" x14ac:dyDescent="0.25">
      <c r="A1162" t="s">
        <v>612</v>
      </c>
      <c r="B1162" t="s">
        <v>173</v>
      </c>
      <c r="C1162" s="4">
        <f>(0.178561789731549/(0.0328453630665826+0.350336698877979+0.0822572721273277+0.0181224344560457+0.178561789731549)) * 0.579466159691323%</f>
        <v>1.5627070396851891E-3</v>
      </c>
      <c r="D1162" t="s">
        <v>256</v>
      </c>
      <c r="E1162" t="s">
        <v>362</v>
      </c>
      <c r="F1162" t="s">
        <v>359</v>
      </c>
      <c r="G1162" s="4" t="s">
        <v>245</v>
      </c>
    </row>
    <row r="1163" spans="1:7" x14ac:dyDescent="0.25">
      <c r="A1163" t="s">
        <v>612</v>
      </c>
      <c r="B1163" t="s">
        <v>161</v>
      </c>
      <c r="C1163" s="4">
        <f>(0.0328453630665826/(0.0328453630665826+0.350336698877979+0.0822572721273277+0.0181224344560457+0.178561789731549)) * 0.00673664616703831%</f>
        <v>3.3417869889589596E-6</v>
      </c>
      <c r="D1163" t="s">
        <v>242</v>
      </c>
      <c r="E1163" t="s">
        <v>366</v>
      </c>
      <c r="F1163" t="s">
        <v>359</v>
      </c>
      <c r="G1163" s="4" t="s">
        <v>245</v>
      </c>
    </row>
    <row r="1164" spans="1:7" x14ac:dyDescent="0.25">
      <c r="A1164" t="s">
        <v>612</v>
      </c>
      <c r="B1164" t="s">
        <v>161</v>
      </c>
      <c r="C1164" s="4">
        <f>(0.350336698877979/(0.0328453630665826+0.350336698877979+0.0822572721273277+0.0181224344560457+0.178561789731549)) * 0.00673664616703831%</f>
        <v>3.5644319707837352E-5</v>
      </c>
      <c r="D1164" t="s">
        <v>256</v>
      </c>
      <c r="E1164" t="s">
        <v>364</v>
      </c>
      <c r="F1164" t="s">
        <v>359</v>
      </c>
      <c r="G1164" s="4" t="s">
        <v>245</v>
      </c>
    </row>
    <row r="1165" spans="1:7" x14ac:dyDescent="0.25">
      <c r="A1165" t="s">
        <v>612</v>
      </c>
      <c r="B1165" t="s">
        <v>161</v>
      </c>
      <c r="C1165" s="4">
        <f>(0.0822572721273277/(0.0328453630665826+0.350336698877979+0.0822572721273277+0.0181224344560457+0.178561789731549)) * 0.00673664616703831%</f>
        <v>8.3691046795592855E-6</v>
      </c>
      <c r="D1165" t="s">
        <v>256</v>
      </c>
      <c r="E1165" t="s">
        <v>361</v>
      </c>
      <c r="F1165" t="s">
        <v>359</v>
      </c>
      <c r="G1165" s="4" t="s">
        <v>245</v>
      </c>
    </row>
    <row r="1166" spans="1:7" x14ac:dyDescent="0.25">
      <c r="A1166" t="s">
        <v>612</v>
      </c>
      <c r="B1166" t="s">
        <v>161</v>
      </c>
      <c r="C1166" s="4">
        <f>(0.0181224344560457/(0.0328453630665826+0.350336698877979+0.0822572721273277+0.0181224344560457+0.178561789731549)) * 0.00673664616703831%</f>
        <v>1.8438315189485945E-6</v>
      </c>
      <c r="D1166" t="s">
        <v>256</v>
      </c>
      <c r="E1166" t="s">
        <v>280</v>
      </c>
      <c r="F1166" t="s">
        <v>359</v>
      </c>
      <c r="G1166" s="4" t="s">
        <v>245</v>
      </c>
    </row>
    <row r="1167" spans="1:7" x14ac:dyDescent="0.25">
      <c r="A1167" t="s">
        <v>612</v>
      </c>
      <c r="B1167" t="s">
        <v>161</v>
      </c>
      <c r="C1167" s="4">
        <f>(0.178561789731549/(0.0328453630665826+0.350336698877979+0.0822572721273277+0.0181224344560457+0.178561789731549)) * 0.00673664616703831%</f>
        <v>1.8167418775078905E-5</v>
      </c>
      <c r="D1167" t="s">
        <v>256</v>
      </c>
      <c r="E1167" t="s">
        <v>362</v>
      </c>
      <c r="F1167" t="s">
        <v>359</v>
      </c>
      <c r="G1167" s="4" t="s">
        <v>245</v>
      </c>
    </row>
    <row r="1168" spans="1:7" x14ac:dyDescent="0.25">
      <c r="A1168" t="s">
        <v>612</v>
      </c>
      <c r="B1168" t="s">
        <v>105</v>
      </c>
      <c r="C1168" s="4">
        <f>(0.0328453630665826/(0.0328453630665826+0.350336698877979+0.0822572721273277+0.0181224344560457+0.178561789731549)) * 0.0142030454103628%</f>
        <v>7.0455759704551165E-6</v>
      </c>
      <c r="D1168" t="s">
        <v>242</v>
      </c>
      <c r="E1168" t="s">
        <v>366</v>
      </c>
      <c r="F1168" t="s">
        <v>359</v>
      </c>
      <c r="G1168" s="4" t="s">
        <v>245</v>
      </c>
    </row>
    <row r="1169" spans="1:7" x14ac:dyDescent="0.25">
      <c r="A1169" t="s">
        <v>612</v>
      </c>
      <c r="B1169" t="s">
        <v>105</v>
      </c>
      <c r="C1169" s="4">
        <f>(0.350336698877979/(0.0328453630665826+0.350336698877979+0.0822572721273277+0.0181224344560457+0.178561789731549)) * 0.0142030454103628%</f>
        <v>7.5149841461018019E-5</v>
      </c>
      <c r="D1169" t="s">
        <v>256</v>
      </c>
      <c r="E1169" t="s">
        <v>364</v>
      </c>
      <c r="F1169" t="s">
        <v>359</v>
      </c>
      <c r="G1169" s="4" t="s">
        <v>245</v>
      </c>
    </row>
    <row r="1170" spans="1:7" x14ac:dyDescent="0.25">
      <c r="A1170" t="s">
        <v>612</v>
      </c>
      <c r="B1170" t="s">
        <v>105</v>
      </c>
      <c r="C1170" s="4">
        <f>(0.0822572721273277/(0.0328453630665826+0.350336698877979+0.0822572721273277+0.0181224344560457+0.178561789731549)) * 0.0142030454103628%</f>
        <v>1.7644799928703808E-5</v>
      </c>
      <c r="D1170" t="s">
        <v>256</v>
      </c>
      <c r="E1170" t="s">
        <v>361</v>
      </c>
      <c r="F1170" t="s">
        <v>359</v>
      </c>
      <c r="G1170" s="4" t="s">
        <v>245</v>
      </c>
    </row>
    <row r="1171" spans="1:7" x14ac:dyDescent="0.25">
      <c r="A1171" t="s">
        <v>612</v>
      </c>
      <c r="B1171" t="s">
        <v>105</v>
      </c>
      <c r="C1171" s="4">
        <f>(0.0181224344560457/(0.0328453630665826+0.350336698877979+0.0822572721273277+0.0181224344560457+0.178561789731549)) * 0.0142030454103628%</f>
        <v>3.8873976966194703E-6</v>
      </c>
      <c r="D1171" t="s">
        <v>256</v>
      </c>
      <c r="E1171" t="s">
        <v>280</v>
      </c>
      <c r="F1171" t="s">
        <v>359</v>
      </c>
      <c r="G1171" s="4" t="s">
        <v>245</v>
      </c>
    </row>
    <row r="1172" spans="1:7" x14ac:dyDescent="0.25">
      <c r="A1172" t="s">
        <v>612</v>
      </c>
      <c r="B1172" t="s">
        <v>105</v>
      </c>
      <c r="C1172" s="4">
        <f>(0.178561789731549/(0.0328453630665826+0.350336698877979+0.0822572721273277+0.0181224344560457+0.178561789731549)) * 0.0142030454103628%</f>
        <v>3.8302839046831607E-5</v>
      </c>
      <c r="D1172" t="s">
        <v>256</v>
      </c>
      <c r="E1172" t="s">
        <v>362</v>
      </c>
      <c r="F1172" t="s">
        <v>359</v>
      </c>
      <c r="G1172" s="4" t="s">
        <v>245</v>
      </c>
    </row>
    <row r="1173" spans="1:7" x14ac:dyDescent="0.25">
      <c r="A1173" t="s">
        <v>612</v>
      </c>
      <c r="B1173" t="s">
        <v>174</v>
      </c>
      <c r="C1173" s="4">
        <f>(0.0328453630665826/(0.0328453630665826+0.350336698877979+0.0822572721273277+0.0181224344560457+0.178561789731549)) * 0.0292926503431558%</f>
        <v>1.4530939485562799E-5</v>
      </c>
      <c r="D1173" t="s">
        <v>242</v>
      </c>
      <c r="E1173" t="s">
        <v>366</v>
      </c>
      <c r="F1173" t="s">
        <v>359</v>
      </c>
      <c r="G1173" s="4" t="s">
        <v>245</v>
      </c>
    </row>
    <row r="1174" spans="1:7" x14ac:dyDescent="0.25">
      <c r="A1174" t="s">
        <v>612</v>
      </c>
      <c r="B1174" t="s">
        <v>174</v>
      </c>
      <c r="C1174" s="4">
        <f>(0.350336698877979/(0.0328453630665826+0.350336698877979+0.0822572721273277+0.0181224344560457+0.178561789731549)) * 0.0292926503431558%</f>
        <v>1.5499056474571691E-4</v>
      </c>
      <c r="D1174" t="s">
        <v>256</v>
      </c>
      <c r="E1174" t="s">
        <v>364</v>
      </c>
      <c r="F1174" t="s">
        <v>359</v>
      </c>
      <c r="G1174" s="4" t="s">
        <v>245</v>
      </c>
    </row>
    <row r="1175" spans="1:7" x14ac:dyDescent="0.25">
      <c r="A1175" t="s">
        <v>612</v>
      </c>
      <c r="B1175" t="s">
        <v>174</v>
      </c>
      <c r="C1175" s="4">
        <f>(0.0822572721273277/(0.0328453630665826+0.350336698877979+0.0822572721273277+0.0181224344560457+0.178561789731549)) * 0.0292926503431558%</f>
        <v>3.639099501219284E-5</v>
      </c>
      <c r="D1175" t="s">
        <v>256</v>
      </c>
      <c r="E1175" t="s">
        <v>361</v>
      </c>
      <c r="F1175" t="s">
        <v>359</v>
      </c>
      <c r="G1175" s="4" t="s">
        <v>245</v>
      </c>
    </row>
    <row r="1176" spans="1:7" x14ac:dyDescent="0.25">
      <c r="A1176" t="s">
        <v>612</v>
      </c>
      <c r="B1176" t="s">
        <v>174</v>
      </c>
      <c r="C1176" s="4">
        <f>(0.0181224344560457/(0.0328453630665826+0.350336698877979+0.0822572721273277+0.0181224344560457+0.178561789731549)) * 0.0292926503431558%</f>
        <v>8.017448243091595E-6</v>
      </c>
      <c r="D1176" t="s">
        <v>256</v>
      </c>
      <c r="E1176" t="s">
        <v>280</v>
      </c>
      <c r="F1176" t="s">
        <v>359</v>
      </c>
      <c r="G1176" s="4" t="s">
        <v>245</v>
      </c>
    </row>
    <row r="1177" spans="1:7" x14ac:dyDescent="0.25">
      <c r="A1177" t="s">
        <v>612</v>
      </c>
      <c r="B1177" t="s">
        <v>174</v>
      </c>
      <c r="C1177" s="4">
        <f>(0.178561789731549/(0.0328453630665826+0.350336698877979+0.0822572721273277+0.0181224344560457+0.178561789731549)) * 0.0292926503431558%</f>
        <v>7.8996555944993858E-5</v>
      </c>
      <c r="D1177" t="s">
        <v>256</v>
      </c>
      <c r="E1177" t="s">
        <v>362</v>
      </c>
      <c r="F1177" t="s">
        <v>359</v>
      </c>
      <c r="G1177" s="4" t="s">
        <v>245</v>
      </c>
    </row>
    <row r="1178" spans="1:7" x14ac:dyDescent="0.25">
      <c r="A1178" t="s">
        <v>612</v>
      </c>
      <c r="B1178" t="s">
        <v>175</v>
      </c>
      <c r="C1178" s="4">
        <f>(0.0328453630665826/(0.0328453630665826+0.350336698877979+0.0822572721273277+0.0181224344560457+0.178561789731549)) * 0.2049580871447%</f>
        <v>1.0167170011887314E-4</v>
      </c>
      <c r="D1178" t="s">
        <v>242</v>
      </c>
      <c r="E1178" t="s">
        <v>366</v>
      </c>
      <c r="F1178" t="s">
        <v>359</v>
      </c>
      <c r="G1178" s="4" t="s">
        <v>245</v>
      </c>
    </row>
    <row r="1179" spans="1:7" x14ac:dyDescent="0.25">
      <c r="A1179" t="s">
        <v>612</v>
      </c>
      <c r="B1179" t="s">
        <v>175</v>
      </c>
      <c r="C1179" s="4">
        <f>(0.350336698877979/(0.0328453630665826+0.350336698877979+0.0822572721273277+0.0181224344560457+0.178561789731549)) * 0.2049580871447%</f>
        <v>1.0844552918094401E-3</v>
      </c>
      <c r="D1179" t="s">
        <v>256</v>
      </c>
      <c r="E1179" t="s">
        <v>364</v>
      </c>
      <c r="F1179" t="s">
        <v>359</v>
      </c>
      <c r="G1179" s="4" t="s">
        <v>245</v>
      </c>
    </row>
    <row r="1180" spans="1:7" x14ac:dyDescent="0.25">
      <c r="A1180" t="s">
        <v>612</v>
      </c>
      <c r="B1180" t="s">
        <v>175</v>
      </c>
      <c r="C1180" s="4">
        <f>(0.0822572721273277/(0.0328453630665826+0.350336698877979+0.0822572721273277+0.0181224344560457+0.178561789731549)) * 0.2049580871447%</f>
        <v>2.5462457782465781E-4</v>
      </c>
      <c r="D1180" t="s">
        <v>256</v>
      </c>
      <c r="E1180" t="s">
        <v>361</v>
      </c>
      <c r="F1180" t="s">
        <v>359</v>
      </c>
      <c r="G1180" s="4" t="s">
        <v>245</v>
      </c>
    </row>
    <row r="1181" spans="1:7" x14ac:dyDescent="0.25">
      <c r="A1181" t="s">
        <v>612</v>
      </c>
      <c r="B1181" t="s">
        <v>175</v>
      </c>
      <c r="C1181" s="4">
        <f>(0.0181224344560457/(0.0328453630665826+0.350336698877979+0.0822572721273277+0.0181224344560457+0.178561789731549)) * 0.2049580871447%</f>
        <v>5.6097377206758316E-5</v>
      </c>
      <c r="D1181" t="s">
        <v>256</v>
      </c>
      <c r="E1181" t="s">
        <v>280</v>
      </c>
      <c r="F1181" t="s">
        <v>359</v>
      </c>
      <c r="G1181" s="4" t="s">
        <v>245</v>
      </c>
    </row>
    <row r="1182" spans="1:7" x14ac:dyDescent="0.25">
      <c r="A1182" t="s">
        <v>612</v>
      </c>
      <c r="B1182" t="s">
        <v>175</v>
      </c>
      <c r="C1182" s="4">
        <f>(0.178561789731549/(0.0328453630665826+0.350336698877979+0.0822572721273277+0.0181224344560457+0.178561789731549)) * 0.2049580871447%</f>
        <v>5.5273192448727091E-4</v>
      </c>
      <c r="D1182" t="s">
        <v>256</v>
      </c>
      <c r="E1182" t="s">
        <v>362</v>
      </c>
      <c r="F1182" t="s">
        <v>359</v>
      </c>
      <c r="G1182" s="4" t="s">
        <v>245</v>
      </c>
    </row>
    <row r="1183" spans="1:7" x14ac:dyDescent="0.25">
      <c r="A1183" t="s">
        <v>612</v>
      </c>
      <c r="B1183" t="s">
        <v>131</v>
      </c>
      <c r="C1183" s="4">
        <f>(0.0328453630665826/(0.0328453630665826+0.350336698877979+0.0822572721273277+0.0181224344560457+0.178561789731549)) * 0.242597665236451%</f>
        <v>1.2034322437858017E-4</v>
      </c>
      <c r="D1183" t="s">
        <v>242</v>
      </c>
      <c r="E1183" t="s">
        <v>366</v>
      </c>
      <c r="F1183" t="s">
        <v>359</v>
      </c>
      <c r="G1183" s="4" t="s">
        <v>245</v>
      </c>
    </row>
    <row r="1184" spans="1:7" x14ac:dyDescent="0.25">
      <c r="A1184" t="s">
        <v>612</v>
      </c>
      <c r="B1184" t="s">
        <v>131</v>
      </c>
      <c r="C1184" s="4">
        <f>(0.350336698877979/(0.0328453630665826+0.350336698877979+0.0822572721273277+0.0181224344560457+0.178561789731549)) * 0.242597665236451%</f>
        <v>1.2836103493713126E-3</v>
      </c>
      <c r="D1184" t="s">
        <v>256</v>
      </c>
      <c r="E1184" t="s">
        <v>364</v>
      </c>
      <c r="F1184" t="s">
        <v>359</v>
      </c>
      <c r="G1184" s="4" t="s">
        <v>245</v>
      </c>
    </row>
    <row r="1185" spans="1:7" x14ac:dyDescent="0.25">
      <c r="A1185" t="s">
        <v>612</v>
      </c>
      <c r="B1185" t="s">
        <v>131</v>
      </c>
      <c r="C1185" s="4">
        <f>(0.0822572721273277/(0.0328453630665826+0.350336698877979+0.0822572721273277+0.0181224344560457+0.178561789731549)) * 0.242597665236451%</f>
        <v>3.013851707567341E-4</v>
      </c>
      <c r="D1185" t="s">
        <v>256</v>
      </c>
      <c r="E1185" t="s">
        <v>361</v>
      </c>
      <c r="F1185" t="s">
        <v>359</v>
      </c>
      <c r="G1185" s="4" t="s">
        <v>245</v>
      </c>
    </row>
    <row r="1186" spans="1:7" x14ac:dyDescent="0.25">
      <c r="A1186" t="s">
        <v>612</v>
      </c>
      <c r="B1186" t="s">
        <v>131</v>
      </c>
      <c r="C1186" s="4">
        <f>(0.0181224344560457/(0.0328453630665826+0.350336698877979+0.0822572721273277+0.0181224344560457+0.178561789731549)) * 0.242597665236451%</f>
        <v>6.639939377771455E-5</v>
      </c>
      <c r="D1186" t="s">
        <v>256</v>
      </c>
      <c r="E1186" t="s">
        <v>280</v>
      </c>
      <c r="F1186" t="s">
        <v>359</v>
      </c>
      <c r="G1186" s="4" t="s">
        <v>245</v>
      </c>
    </row>
    <row r="1187" spans="1:7" x14ac:dyDescent="0.25">
      <c r="A1187" t="s">
        <v>612</v>
      </c>
      <c r="B1187" t="s">
        <v>131</v>
      </c>
      <c r="C1187" s="4">
        <f>(0.178561789731549/(0.0328453630665826+0.350336698877979+0.0822572721273277+0.0181224344560457+0.178561789731549)) * 0.242597665236451%</f>
        <v>6.5423851408016865E-4</v>
      </c>
      <c r="D1187" t="s">
        <v>256</v>
      </c>
      <c r="E1187" t="s">
        <v>362</v>
      </c>
      <c r="F1187" t="s">
        <v>359</v>
      </c>
      <c r="G1187" s="4" t="s">
        <v>245</v>
      </c>
    </row>
    <row r="1188" spans="1:7" x14ac:dyDescent="0.25">
      <c r="A1188" t="s">
        <v>612</v>
      </c>
      <c r="B1188" t="s">
        <v>201</v>
      </c>
      <c r="C1188" s="4">
        <f>(0.0328453630665826/(0.0328453630665826+0.350336698877979+0.0822572721273277+0.0181224344560457+0.178561789731549)) * 0.259544823454336%</f>
        <v>1.2875004751105519E-4</v>
      </c>
      <c r="D1188" t="s">
        <v>242</v>
      </c>
      <c r="E1188" t="s">
        <v>366</v>
      </c>
      <c r="F1188" t="s">
        <v>359</v>
      </c>
      <c r="G1188" s="4" t="s">
        <v>245</v>
      </c>
    </row>
    <row r="1189" spans="1:7" x14ac:dyDescent="0.25">
      <c r="A1189" t="s">
        <v>612</v>
      </c>
      <c r="B1189" t="s">
        <v>201</v>
      </c>
      <c r="C1189" s="4">
        <f>(0.350336698877979/(0.0328453630665826+0.350336698877979+0.0822572721273277+0.0181224344560457+0.178561789731549)) * 0.259544823454336%</f>
        <v>1.3732795869532484E-3</v>
      </c>
      <c r="D1189" t="s">
        <v>256</v>
      </c>
      <c r="E1189" t="s">
        <v>364</v>
      </c>
      <c r="F1189" t="s">
        <v>359</v>
      </c>
      <c r="G1189" s="4" t="s">
        <v>245</v>
      </c>
    </row>
    <row r="1190" spans="1:7" x14ac:dyDescent="0.25">
      <c r="A1190" t="s">
        <v>612</v>
      </c>
      <c r="B1190" t="s">
        <v>201</v>
      </c>
      <c r="C1190" s="4">
        <f>(0.0822572721273277/(0.0328453630665826+0.350336698877979+0.0822572721273277+0.0181224344560457+0.178561789731549)) * 0.259544823454336%</f>
        <v>3.2243905092643993E-4</v>
      </c>
      <c r="D1190" t="s">
        <v>256</v>
      </c>
      <c r="E1190" t="s">
        <v>361</v>
      </c>
      <c r="F1190" t="s">
        <v>359</v>
      </c>
      <c r="G1190" s="4" t="s">
        <v>245</v>
      </c>
    </row>
    <row r="1191" spans="1:7" x14ac:dyDescent="0.25">
      <c r="A1191" t="s">
        <v>612</v>
      </c>
      <c r="B1191" t="s">
        <v>201</v>
      </c>
      <c r="C1191" s="4">
        <f>(0.0181224344560457/(0.0328453630665826+0.350336698877979+0.0822572721273277+0.0181224344560457+0.178561789731549)) * 0.259544823454336%</f>
        <v>7.1037859819116084E-5</v>
      </c>
      <c r="D1191" t="s">
        <v>256</v>
      </c>
      <c r="E1191" t="s">
        <v>280</v>
      </c>
      <c r="F1191" t="s">
        <v>359</v>
      </c>
      <c r="G1191" s="4" t="s">
        <v>245</v>
      </c>
    </row>
    <row r="1192" spans="1:7" x14ac:dyDescent="0.25">
      <c r="A1192" t="s">
        <v>612</v>
      </c>
      <c r="B1192" t="s">
        <v>201</v>
      </c>
      <c r="C1192" s="4">
        <f>(0.178561789731549/(0.0328453630665826+0.350336698877979+0.0822572721273277+0.0181224344560457+0.178561789731549)) * 0.259544823454336%</f>
        <v>6.9994168933350026E-4</v>
      </c>
      <c r="D1192" t="s">
        <v>256</v>
      </c>
      <c r="E1192" t="s">
        <v>362</v>
      </c>
      <c r="F1192" t="s">
        <v>359</v>
      </c>
      <c r="G1192" s="4" t="s">
        <v>245</v>
      </c>
    </row>
    <row r="1193" spans="1:7" x14ac:dyDescent="0.25">
      <c r="A1193" t="s">
        <v>612</v>
      </c>
      <c r="B1193" t="s">
        <v>202</v>
      </c>
      <c r="C1193" s="4">
        <f>(0.0328453630665826/(0.0328453630665826+0.350336698877979+0.0822572721273277+0.0181224344560457+0.178561789731549)) * 0.112876517155138%</f>
        <v>5.5993630515090385E-5</v>
      </c>
      <c r="D1193" t="s">
        <v>242</v>
      </c>
      <c r="E1193" t="s">
        <v>366</v>
      </c>
      <c r="F1193" t="s">
        <v>359</v>
      </c>
      <c r="G1193" s="4" t="s">
        <v>245</v>
      </c>
    </row>
    <row r="1194" spans="1:7" x14ac:dyDescent="0.25">
      <c r="A1194" t="s">
        <v>612</v>
      </c>
      <c r="B1194" t="s">
        <v>202</v>
      </c>
      <c r="C1194" s="4">
        <f>(0.350336698877979/(0.0328453630665826+0.350336698877979+0.0822572721273277+0.0181224344560457+0.178561789731549)) * 0.112876517155138%</f>
        <v>5.9724179736068451E-4</v>
      </c>
      <c r="D1194" t="s">
        <v>256</v>
      </c>
      <c r="E1194" t="s">
        <v>364</v>
      </c>
      <c r="F1194" t="s">
        <v>359</v>
      </c>
      <c r="G1194" s="4" t="s">
        <v>245</v>
      </c>
    </row>
    <row r="1195" spans="1:7" x14ac:dyDescent="0.25">
      <c r="A1195" t="s">
        <v>612</v>
      </c>
      <c r="B1195" t="s">
        <v>202</v>
      </c>
      <c r="C1195" s="4">
        <f>(0.0822572721273277/(0.0328453630665826+0.350336698877979+0.0822572721273277+0.0181224344560457+0.178561789731549)) * 0.112876517155138%</f>
        <v>1.4022933140790669E-4</v>
      </c>
      <c r="D1195" t="s">
        <v>256</v>
      </c>
      <c r="E1195" t="s">
        <v>361</v>
      </c>
      <c r="F1195" t="s">
        <v>359</v>
      </c>
      <c r="G1195" s="4" t="s">
        <v>245</v>
      </c>
    </row>
    <row r="1196" spans="1:7" x14ac:dyDescent="0.25">
      <c r="A1196" t="s">
        <v>612</v>
      </c>
      <c r="B1196" t="s">
        <v>202</v>
      </c>
      <c r="C1196" s="4">
        <f>(0.0181224344560457/(0.0328453630665826+0.350336698877979+0.0822572721273277+0.0181224344560457+0.178561789731549)) * 0.112876517155138%</f>
        <v>3.0894494815256883E-5</v>
      </c>
      <c r="D1196" t="s">
        <v>256</v>
      </c>
      <c r="E1196" t="s">
        <v>280</v>
      </c>
      <c r="F1196" t="s">
        <v>359</v>
      </c>
      <c r="G1196" s="4" t="s">
        <v>245</v>
      </c>
    </row>
    <row r="1197" spans="1:7" x14ac:dyDescent="0.25">
      <c r="A1197" t="s">
        <v>612</v>
      </c>
      <c r="B1197" t="s">
        <v>202</v>
      </c>
      <c r="C1197" s="4">
        <f>(0.178561789731549/(0.0328453630665826+0.350336698877979+0.0822572721273277+0.0181224344560457+0.178561789731549)) * 0.112876517155138%</f>
        <v>3.0440591745244154E-4</v>
      </c>
      <c r="D1197" t="s">
        <v>256</v>
      </c>
      <c r="E1197" t="s">
        <v>362</v>
      </c>
      <c r="F1197" t="s">
        <v>359</v>
      </c>
      <c r="G1197" s="4" t="s">
        <v>245</v>
      </c>
    </row>
    <row r="1198" spans="1:7" x14ac:dyDescent="0.25">
      <c r="A1198" t="s">
        <v>612</v>
      </c>
      <c r="B1198" t="s">
        <v>203</v>
      </c>
      <c r="C1198" s="4">
        <f>(0.0328453630665826/(0.0328453630665826+0.350336698877979+0.0822572721273277+0.0181224344560457+0.178561789731549)) * 0.325674926607045%</f>
        <v>1.6155460823973511E-4</v>
      </c>
      <c r="D1198" t="s">
        <v>242</v>
      </c>
      <c r="E1198" t="s">
        <v>366</v>
      </c>
      <c r="F1198" t="s">
        <v>359</v>
      </c>
      <c r="G1198" s="4" t="s">
        <v>245</v>
      </c>
    </row>
    <row r="1199" spans="1:7" x14ac:dyDescent="0.25">
      <c r="A1199" t="s">
        <v>612</v>
      </c>
      <c r="B1199" t="s">
        <v>203</v>
      </c>
      <c r="C1199" s="4">
        <f>(0.350336698877979/(0.0328453630665826+0.350336698877979+0.0822572721273277+0.0181224344560457+0.178561789731549)) * 0.325674926607045%</f>
        <v>1.7231810780870367E-3</v>
      </c>
      <c r="D1199" t="s">
        <v>256</v>
      </c>
      <c r="E1199" t="s">
        <v>364</v>
      </c>
      <c r="F1199" t="s">
        <v>359</v>
      </c>
      <c r="G1199" s="4" t="s">
        <v>245</v>
      </c>
    </row>
    <row r="1200" spans="1:7" x14ac:dyDescent="0.25">
      <c r="A1200" t="s">
        <v>612</v>
      </c>
      <c r="B1200" t="s">
        <v>203</v>
      </c>
      <c r="C1200" s="4">
        <f>(0.0822572721273277/(0.0328453630665826+0.350336698877979+0.0822572721273277+0.0181224344560457+0.178561789731549)) * 0.325674926607045%</f>
        <v>4.0459413849257129E-4</v>
      </c>
      <c r="D1200" t="s">
        <v>256</v>
      </c>
      <c r="E1200" t="s">
        <v>361</v>
      </c>
      <c r="F1200" t="s">
        <v>359</v>
      </c>
      <c r="G1200" s="4" t="s">
        <v>245</v>
      </c>
    </row>
    <row r="1201" spans="1:7" x14ac:dyDescent="0.25">
      <c r="A1201" t="s">
        <v>612</v>
      </c>
      <c r="B1201" t="s">
        <v>203</v>
      </c>
      <c r="C1201" s="4">
        <f>(0.0181224344560457/(0.0328453630665826+0.350336698877979+0.0822572721273277+0.0181224344560457+0.178561789731549)) * 0.325674926607045%</f>
        <v>8.9137781578535599E-5</v>
      </c>
      <c r="D1201" t="s">
        <v>256</v>
      </c>
      <c r="E1201" t="s">
        <v>280</v>
      </c>
      <c r="F1201" t="s">
        <v>359</v>
      </c>
      <c r="G1201" s="4" t="s">
        <v>245</v>
      </c>
    </row>
    <row r="1202" spans="1:7" x14ac:dyDescent="0.25">
      <c r="A1202" t="s">
        <v>612</v>
      </c>
      <c r="B1202" t="s">
        <v>203</v>
      </c>
      <c r="C1202" s="4">
        <f>(0.178561789731549/(0.0328453630665826+0.350336698877979+0.0822572721273277+0.0181224344560457+0.178561789731549)) * 0.325674926607045%</f>
        <v>8.7828165967257163E-4</v>
      </c>
      <c r="D1202" t="s">
        <v>256</v>
      </c>
      <c r="E1202" t="s">
        <v>362</v>
      </c>
      <c r="F1202" t="s">
        <v>359</v>
      </c>
      <c r="G1202" s="4" t="s">
        <v>245</v>
      </c>
    </row>
    <row r="1203" spans="1:7" x14ac:dyDescent="0.25">
      <c r="A1203" t="s">
        <v>612</v>
      </c>
      <c r="B1203" t="s">
        <v>176</v>
      </c>
      <c r="C1203" s="4">
        <f>(0.0328453630665826/(0.0328453630665826+0.350336698877979+0.0822572721273277+0.0181224344560457+0.178561789731549)) * 0.0197817362827983%</f>
        <v>9.8129465745616924E-6</v>
      </c>
      <c r="D1203" t="s">
        <v>242</v>
      </c>
      <c r="E1203" t="s">
        <v>366</v>
      </c>
      <c r="F1203" t="s">
        <v>359</v>
      </c>
      <c r="G1203" s="4" t="s">
        <v>245</v>
      </c>
    </row>
    <row r="1204" spans="1:7" x14ac:dyDescent="0.25">
      <c r="A1204" t="s">
        <v>612</v>
      </c>
      <c r="B1204" t="s">
        <v>176</v>
      </c>
      <c r="C1204" s="4">
        <f>(0.350336698877979/(0.0328453630665826+0.350336698877979+0.0822572721273277+0.0181224344560457+0.178561789731549)) * 0.0197817362827983%</f>
        <v>1.0466729511343488E-4</v>
      </c>
      <c r="D1204" t="s">
        <v>256</v>
      </c>
      <c r="E1204" t="s">
        <v>364</v>
      </c>
      <c r="F1204" t="s">
        <v>359</v>
      </c>
      <c r="G1204" s="4" t="s">
        <v>245</v>
      </c>
    </row>
    <row r="1205" spans="1:7" x14ac:dyDescent="0.25">
      <c r="A1205" t="s">
        <v>612</v>
      </c>
      <c r="B1205" t="s">
        <v>176</v>
      </c>
      <c r="C1205" s="4">
        <f>(0.0822572721273277/(0.0328453630665826+0.350336698877979+0.0822572721273277+0.0181224344560457+0.178561789731549)) * 0.0197817362827983%</f>
        <v>2.4575347671400639E-5</v>
      </c>
      <c r="D1205" t="s">
        <v>256</v>
      </c>
      <c r="E1205" t="s">
        <v>361</v>
      </c>
      <c r="F1205" t="s">
        <v>359</v>
      </c>
      <c r="G1205" s="4" t="s">
        <v>245</v>
      </c>
    </row>
    <row r="1206" spans="1:7" x14ac:dyDescent="0.25">
      <c r="A1206" t="s">
        <v>612</v>
      </c>
      <c r="B1206" t="s">
        <v>176</v>
      </c>
      <c r="C1206" s="4">
        <f>(0.0181224344560457/(0.0328453630665826+0.350336698877979+0.0822572721273277+0.0181224344560457+0.178561789731549)) * 0.0197817362827983%</f>
        <v>5.4142948810666093E-6</v>
      </c>
      <c r="D1206" t="s">
        <v>256</v>
      </c>
      <c r="E1206" t="s">
        <v>280</v>
      </c>
      <c r="F1206" t="s">
        <v>359</v>
      </c>
      <c r="G1206" s="4" t="s">
        <v>245</v>
      </c>
    </row>
    <row r="1207" spans="1:7" x14ac:dyDescent="0.25">
      <c r="A1207" t="s">
        <v>612</v>
      </c>
      <c r="B1207" t="s">
        <v>176</v>
      </c>
      <c r="C1207" s="4">
        <f>(0.178561789731549/(0.0328453630665826+0.350336698877979+0.0822572721273277+0.0181224344560457+0.178561789731549)) * 0.0197817362827983%</f>
        <v>5.3347478587519193E-5</v>
      </c>
      <c r="D1207" t="s">
        <v>256</v>
      </c>
      <c r="E1207" t="s">
        <v>362</v>
      </c>
      <c r="F1207" t="s">
        <v>359</v>
      </c>
      <c r="G1207" s="4" t="s">
        <v>245</v>
      </c>
    </row>
    <row r="1208" spans="1:7" x14ac:dyDescent="0.25">
      <c r="A1208" t="s">
        <v>612</v>
      </c>
      <c r="B1208" t="s">
        <v>133</v>
      </c>
      <c r="C1208" s="4">
        <f>(0.0328453630665826/(0.0328453630665826+0.350336698877979+0.0822572721273277+0.0181224344560457+0.178561789731549)) * 0.0000180930514781691%</f>
        <v>8.9752560133185838E-9</v>
      </c>
      <c r="D1208" t="s">
        <v>242</v>
      </c>
      <c r="E1208" t="s">
        <v>366</v>
      </c>
      <c r="F1208" t="s">
        <v>359</v>
      </c>
      <c r="G1208" s="4" t="s">
        <v>245</v>
      </c>
    </row>
    <row r="1209" spans="1:7" x14ac:dyDescent="0.25">
      <c r="A1209" t="s">
        <v>612</v>
      </c>
      <c r="B1209" t="s">
        <v>133</v>
      </c>
      <c r="C1209" s="4">
        <f>(0.350336698877979/(0.0328453630665826+0.350336698877979+0.0822572721273277+0.0181224344560457+0.178561789731549)) * 0.0000180930514781691%</f>
        <v>9.5732282115946135E-8</v>
      </c>
      <c r="D1209" t="s">
        <v>256</v>
      </c>
      <c r="E1209" t="s">
        <v>364</v>
      </c>
      <c r="F1209" t="s">
        <v>359</v>
      </c>
      <c r="G1209" s="4" t="s">
        <v>245</v>
      </c>
    </row>
    <row r="1210" spans="1:7" x14ac:dyDescent="0.25">
      <c r="A1210" t="s">
        <v>612</v>
      </c>
      <c r="B1210" t="s">
        <v>133</v>
      </c>
      <c r="C1210" s="4">
        <f>(0.0822572721273277/(0.0328453630665826+0.350336698877979+0.0822572721273277+0.0181224344560457+0.178561789731549)) * 0.0000180930514781691%</f>
        <v>2.2477452138476098E-8</v>
      </c>
      <c r="D1210" t="s">
        <v>256</v>
      </c>
      <c r="E1210" t="s">
        <v>361</v>
      </c>
      <c r="F1210" t="s">
        <v>359</v>
      </c>
      <c r="G1210" s="4" t="s">
        <v>245</v>
      </c>
    </row>
    <row r="1211" spans="1:7" x14ac:dyDescent="0.25">
      <c r="A1211" t="s">
        <v>612</v>
      </c>
      <c r="B1211" t="s">
        <v>133</v>
      </c>
      <c r="C1211" s="4">
        <f>(0.0181224344560457/(0.0328453630665826+0.350336698877979+0.0822572721273277+0.0181224344560457+0.178561789731549)) * 0.0000180930514781691%</f>
        <v>4.9520989765852924E-9</v>
      </c>
      <c r="D1211" t="s">
        <v>256</v>
      </c>
      <c r="E1211" t="s">
        <v>280</v>
      </c>
      <c r="F1211" t="s">
        <v>359</v>
      </c>
      <c r="G1211" s="4" t="s">
        <v>245</v>
      </c>
    </row>
    <row r="1212" spans="1:7" x14ac:dyDescent="0.25">
      <c r="A1212" t="s">
        <v>612</v>
      </c>
      <c r="B1212" t="s">
        <v>133</v>
      </c>
      <c r="C1212" s="4">
        <f>(0.178561789731549/(0.0328453630665826+0.350336698877979+0.0822572721273277+0.0181224344560457+0.178561789731549)) * 0.0000180930514781691%</f>
        <v>4.8793425537364907E-8</v>
      </c>
      <c r="D1212" t="s">
        <v>256</v>
      </c>
      <c r="E1212" t="s">
        <v>362</v>
      </c>
      <c r="F1212" t="s">
        <v>359</v>
      </c>
      <c r="G1212" s="4" t="s">
        <v>245</v>
      </c>
    </row>
    <row r="1213" spans="1:7" x14ac:dyDescent="0.25">
      <c r="A1213" t="s">
        <v>612</v>
      </c>
      <c r="B1213" t="s">
        <v>177</v>
      </c>
      <c r="C1213" s="4">
        <f>(0.0328453630665826/(0.0328453630665826+0.350336698877979+0.0822572721273277+0.0181224344560457+0.178561789731549)) * 0.056733778418379%</f>
        <v>2.8143411105762681E-5</v>
      </c>
      <c r="D1213" t="s">
        <v>242</v>
      </c>
      <c r="E1213" t="s">
        <v>366</v>
      </c>
      <c r="F1213" t="s">
        <v>359</v>
      </c>
      <c r="G1213" s="4" t="s">
        <v>245</v>
      </c>
    </row>
    <row r="1214" spans="1:7" x14ac:dyDescent="0.25">
      <c r="A1214" t="s">
        <v>612</v>
      </c>
      <c r="B1214" t="s">
        <v>177</v>
      </c>
      <c r="C1214" s="4">
        <f>(0.350336698877979/(0.0328453630665826+0.350336698877979+0.0822572721273277+0.0181224344560457+0.178561789731549)) * 0.056733778418379%</f>
        <v>3.0018452595490219E-4</v>
      </c>
      <c r="D1214" t="s">
        <v>256</v>
      </c>
      <c r="E1214" t="s">
        <v>364</v>
      </c>
      <c r="F1214" t="s">
        <v>359</v>
      </c>
      <c r="G1214" s="4" t="s">
        <v>245</v>
      </c>
    </row>
    <row r="1215" spans="1:7" x14ac:dyDescent="0.25">
      <c r="A1215" t="s">
        <v>612</v>
      </c>
      <c r="B1215" t="s">
        <v>177</v>
      </c>
      <c r="C1215" s="4">
        <f>(0.0822572721273277/(0.0328453630665826+0.350336698877979+0.0822572721273277+0.0181224344560457+0.178561789731549)) * 0.056733778418379%</f>
        <v>7.0481797422215003E-5</v>
      </c>
      <c r="D1215" t="s">
        <v>256</v>
      </c>
      <c r="E1215" t="s">
        <v>361</v>
      </c>
      <c r="F1215" t="s">
        <v>359</v>
      </c>
      <c r="G1215" s="4" t="s">
        <v>245</v>
      </c>
    </row>
    <row r="1216" spans="1:7" x14ac:dyDescent="0.25">
      <c r="A1216" t="s">
        <v>612</v>
      </c>
      <c r="B1216" t="s">
        <v>177</v>
      </c>
      <c r="C1216" s="4">
        <f>(0.0181224344560457/(0.0328453630665826+0.350336698877979+0.0822572721273277+0.0181224344560457+0.178561789731549)) * 0.056733778418379%</f>
        <v>1.5528131690912638E-5</v>
      </c>
      <c r="D1216" t="s">
        <v>256</v>
      </c>
      <c r="E1216" t="s">
        <v>280</v>
      </c>
      <c r="F1216" t="s">
        <v>359</v>
      </c>
      <c r="G1216" s="4" t="s">
        <v>245</v>
      </c>
    </row>
    <row r="1217" spans="1:7" x14ac:dyDescent="0.25">
      <c r="A1217" t="s">
        <v>612</v>
      </c>
      <c r="B1217" t="s">
        <v>177</v>
      </c>
      <c r="C1217" s="4">
        <f>(0.178561789731549/(0.0328453630665826+0.350336698877979+0.0822572721273277+0.0181224344560457+0.178561789731549)) * 0.056733778418379%</f>
        <v>1.5299991800999746E-4</v>
      </c>
      <c r="D1217" t="s">
        <v>256</v>
      </c>
      <c r="E1217" t="s">
        <v>362</v>
      </c>
      <c r="F1217" t="s">
        <v>359</v>
      </c>
      <c r="G1217" s="4" t="s">
        <v>245</v>
      </c>
    </row>
    <row r="1218" spans="1:7" x14ac:dyDescent="0.25">
      <c r="A1218" t="s">
        <v>612</v>
      </c>
      <c r="B1218" t="s">
        <v>155</v>
      </c>
      <c r="C1218" s="4">
        <v>1.8044441479864459E-2</v>
      </c>
      <c r="D1218" t="s">
        <v>363</v>
      </c>
      <c r="E1218" t="s">
        <v>361</v>
      </c>
      <c r="F1218" t="s">
        <v>359</v>
      </c>
      <c r="G1218" s="4" t="s">
        <v>245</v>
      </c>
    </row>
    <row r="1219" spans="1:7" x14ac:dyDescent="0.25">
      <c r="A1219" t="s">
        <v>612</v>
      </c>
      <c r="B1219" t="s">
        <v>146</v>
      </c>
      <c r="C1219" s="4">
        <f>(0.0328453630665826/(0.0328453630665826+0.350336698877979+0.0822572721273277+0.0181224344560457+0.178561789731549)) * 3.65013442232596%</f>
        <v>1.810689090390927E-3</v>
      </c>
      <c r="D1219" t="s">
        <v>242</v>
      </c>
      <c r="E1219" t="s">
        <v>366</v>
      </c>
      <c r="F1219" t="s">
        <v>359</v>
      </c>
      <c r="G1219" s="4" t="s">
        <v>245</v>
      </c>
    </row>
    <row r="1220" spans="1:7" x14ac:dyDescent="0.25">
      <c r="A1220" t="s">
        <v>612</v>
      </c>
      <c r="B1220" t="s">
        <v>146</v>
      </c>
      <c r="C1220" s="4">
        <f>(0.350336698877979/(0.0328453630665826+0.350336698877979+0.0822572721273277+0.0181224344560457+0.178561789731549)) * 3.65013442232596%</f>
        <v>1.9313253969395962E-2</v>
      </c>
      <c r="D1220" t="s">
        <v>256</v>
      </c>
      <c r="E1220" t="s">
        <v>364</v>
      </c>
      <c r="F1220" t="s">
        <v>359</v>
      </c>
      <c r="G1220" s="4" t="s">
        <v>245</v>
      </c>
    </row>
    <row r="1221" spans="1:7" x14ac:dyDescent="0.25">
      <c r="A1221" t="s">
        <v>612</v>
      </c>
      <c r="B1221" t="s">
        <v>146</v>
      </c>
      <c r="C1221" s="4">
        <f>(0.0822572721273277/(0.0328453630665826+0.350336698877979+0.0822572721273277+0.0181224344560457+0.178561789731549)) * 3.65013442232596%</f>
        <v>4.5346536418045032E-3</v>
      </c>
      <c r="D1221" t="s">
        <v>256</v>
      </c>
      <c r="E1221" t="s">
        <v>361</v>
      </c>
      <c r="F1221" t="s">
        <v>359</v>
      </c>
      <c r="G1221" s="4" t="s">
        <v>245</v>
      </c>
    </row>
    <row r="1222" spans="1:7" x14ac:dyDescent="0.25">
      <c r="A1222" t="s">
        <v>612</v>
      </c>
      <c r="B1222" t="s">
        <v>146</v>
      </c>
      <c r="C1222" s="4">
        <f>(0.0181224344560457/(0.0328453630665826+0.350336698877979+0.0822572721273277+0.0181224344560457+0.178561789731549)) * 3.65013442232596%</f>
        <v>9.9904800243393152E-4</v>
      </c>
      <c r="D1222" t="s">
        <v>256</v>
      </c>
      <c r="E1222" t="s">
        <v>280</v>
      </c>
      <c r="F1222" t="s">
        <v>359</v>
      </c>
      <c r="G1222" s="4" t="s">
        <v>245</v>
      </c>
    </row>
    <row r="1223" spans="1:7" x14ac:dyDescent="0.25">
      <c r="A1223" t="s">
        <v>612</v>
      </c>
      <c r="B1223" t="s">
        <v>146</v>
      </c>
      <c r="C1223" s="4">
        <f>(0.178561789731549/(0.0328453630665826+0.350336698877979+0.0822572721273277+0.0181224344560457+0.178561789731549)) * 3.65013442232596%</f>
        <v>9.8436995192342763E-3</v>
      </c>
      <c r="D1223" t="s">
        <v>256</v>
      </c>
      <c r="E1223" t="s">
        <v>362</v>
      </c>
      <c r="F1223" t="s">
        <v>359</v>
      </c>
      <c r="G1223" s="4" t="s">
        <v>245</v>
      </c>
    </row>
    <row r="1224" spans="1:7" x14ac:dyDescent="0.25">
      <c r="A1224" t="s">
        <v>612</v>
      </c>
      <c r="B1224" t="s">
        <v>156</v>
      </c>
      <c r="C1224" s="4">
        <f>(0.0328453630665826/(0.0328453630665826+0.350336698877979+0.0822572721273277+0.0181224344560457+0.178561789731549)) * 0.645662604032784%</f>
        <v>3.2028799433928299E-4</v>
      </c>
      <c r="D1224" t="s">
        <v>242</v>
      </c>
      <c r="E1224" t="s">
        <v>366</v>
      </c>
      <c r="F1224" t="s">
        <v>359</v>
      </c>
      <c r="G1224" s="4" t="s">
        <v>245</v>
      </c>
    </row>
    <row r="1225" spans="1:7" x14ac:dyDescent="0.25">
      <c r="A1225" t="s">
        <v>612</v>
      </c>
      <c r="B1225" t="s">
        <v>156</v>
      </c>
      <c r="C1225" s="4">
        <f>(0.350336698877979/(0.0328453630665826+0.350336698877979+0.0822572721273277+0.0181224344560457+0.178561789731549)) * 0.645662604032784%</f>
        <v>3.4162703088289528E-3</v>
      </c>
      <c r="D1225" t="s">
        <v>256</v>
      </c>
      <c r="E1225" t="s">
        <v>364</v>
      </c>
      <c r="F1225" t="s">
        <v>359</v>
      </c>
      <c r="G1225" s="4" t="s">
        <v>245</v>
      </c>
    </row>
    <row r="1226" spans="1:7" x14ac:dyDescent="0.25">
      <c r="A1226" t="s">
        <v>612</v>
      </c>
      <c r="B1226" t="s">
        <v>156</v>
      </c>
      <c r="C1226" s="4">
        <f>(0.0822572721273277/(0.0328453630665826+0.350336698877979+0.0822572721273277+0.0181224344560457+0.178561789731549)) * 0.645662604032784%</f>
        <v>8.0212286452961299E-4</v>
      </c>
      <c r="D1226" t="s">
        <v>256</v>
      </c>
      <c r="E1226" t="s">
        <v>361</v>
      </c>
      <c r="F1226" t="s">
        <v>359</v>
      </c>
      <c r="G1226" s="4" t="s">
        <v>245</v>
      </c>
    </row>
    <row r="1227" spans="1:7" x14ac:dyDescent="0.25">
      <c r="A1227" t="s">
        <v>612</v>
      </c>
      <c r="B1227" t="s">
        <v>156</v>
      </c>
      <c r="C1227" s="4">
        <f>(0.0181224344560457/(0.0328453630665826+0.350336698877979+0.0822572721273277+0.0181224344560457+0.178561789731549)) * 0.645662604032784%</f>
        <v>1.7671895337876414E-4</v>
      </c>
      <c r="D1227" t="s">
        <v>256</v>
      </c>
      <c r="E1227" t="s">
        <v>280</v>
      </c>
      <c r="F1227" t="s">
        <v>359</v>
      </c>
      <c r="G1227" s="4" t="s">
        <v>245</v>
      </c>
    </row>
    <row r="1228" spans="1:7" x14ac:dyDescent="0.25">
      <c r="A1228" t="s">
        <v>612</v>
      </c>
      <c r="B1228" t="s">
        <v>156</v>
      </c>
      <c r="C1228" s="4">
        <f>(0.178561789731549/(0.0328453630665826+0.350336698877979+0.0822572721273277+0.0181224344560457+0.178561789731549)) * 0.645662604032784%</f>
        <v>1.7412259192512273E-3</v>
      </c>
      <c r="D1228" t="s">
        <v>256</v>
      </c>
      <c r="E1228" t="s">
        <v>362</v>
      </c>
      <c r="F1228" t="s">
        <v>359</v>
      </c>
      <c r="G1228" s="4" t="s">
        <v>245</v>
      </c>
    </row>
    <row r="1229" spans="1:7" x14ac:dyDescent="0.25">
      <c r="A1229" t="s">
        <v>612</v>
      </c>
      <c r="B1229" t="s">
        <v>151</v>
      </c>
      <c r="C1229" s="4">
        <f>(0.0328453630665826/(0.0328453630665826+0.350336698877979+0.0822572721273277+0.0181224344560457+0.178561789731549)) * 0.0205959235993159%</f>
        <v>1.0216833095161025E-5</v>
      </c>
      <c r="D1229" t="s">
        <v>242</v>
      </c>
      <c r="E1229" t="s">
        <v>366</v>
      </c>
      <c r="F1229" t="s">
        <v>359</v>
      </c>
      <c r="G1229" s="4" t="s">
        <v>245</v>
      </c>
    </row>
    <row r="1230" spans="1:7" x14ac:dyDescent="0.25">
      <c r="A1230" t="s">
        <v>612</v>
      </c>
      <c r="B1230" t="s">
        <v>151</v>
      </c>
      <c r="C1230" s="4">
        <f>(0.350336698877979/(0.0328453630665826+0.350336698877979+0.0822572721273277+0.0181224344560457+0.178561789731549)) * 0.0205959235993159%</f>
        <v>1.089752478086524E-4</v>
      </c>
      <c r="D1230" t="s">
        <v>256</v>
      </c>
      <c r="E1230" t="s">
        <v>364</v>
      </c>
      <c r="F1230" t="s">
        <v>359</v>
      </c>
      <c r="G1230" s="4" t="s">
        <v>245</v>
      </c>
    </row>
    <row r="1231" spans="1:7" x14ac:dyDescent="0.25">
      <c r="A1231" t="s">
        <v>612</v>
      </c>
      <c r="B1231" t="s">
        <v>151</v>
      </c>
      <c r="C1231" s="4">
        <f>(0.0822572721273277/(0.0328453630665826+0.350336698877979+0.0822572721273277+0.0181224344560457+0.178561789731549)) * 0.0205959235993159%</f>
        <v>2.5586833017632052E-5</v>
      </c>
      <c r="D1231" t="s">
        <v>256</v>
      </c>
      <c r="E1231" t="s">
        <v>361</v>
      </c>
      <c r="F1231" t="s">
        <v>359</v>
      </c>
      <c r="G1231" s="4" t="s">
        <v>245</v>
      </c>
    </row>
    <row r="1232" spans="1:7" x14ac:dyDescent="0.25">
      <c r="A1232" t="s">
        <v>612</v>
      </c>
      <c r="B1232" t="s">
        <v>151</v>
      </c>
      <c r="C1232" s="4">
        <f>(0.0181224344560457/(0.0328453630665826+0.350336698877979+0.0822572721273277+0.0181224344560457+0.178561789731549)) * 0.0205959235993159%</f>
        <v>5.6371393350129451E-6</v>
      </c>
      <c r="D1232" t="s">
        <v>256</v>
      </c>
      <c r="E1232" t="s">
        <v>280</v>
      </c>
      <c r="F1232" t="s">
        <v>359</v>
      </c>
      <c r="G1232" s="4" t="s">
        <v>245</v>
      </c>
    </row>
    <row r="1233" spans="1:7" x14ac:dyDescent="0.25">
      <c r="A1233" t="s">
        <v>612</v>
      </c>
      <c r="B1233" t="s">
        <v>151</v>
      </c>
      <c r="C1233" s="4">
        <f>(0.178561789731549/(0.0328453630665826+0.350336698877979+0.0822572721273277+0.0181224344560457+0.178561789731549)) * 0.0205959235993159%</f>
        <v>5.5543182736700588E-5</v>
      </c>
      <c r="D1233" t="s">
        <v>256</v>
      </c>
      <c r="E1233" t="s">
        <v>362</v>
      </c>
      <c r="F1233" t="s">
        <v>359</v>
      </c>
      <c r="G1233" s="4" t="s">
        <v>245</v>
      </c>
    </row>
    <row r="1234" spans="1:7" x14ac:dyDescent="0.25">
      <c r="A1234" t="s">
        <v>612</v>
      </c>
      <c r="B1234" t="s">
        <v>120</v>
      </c>
      <c r="C1234" s="4">
        <f>(0.0328453630665826/(0.0328453630665826+0.350336698877979+0.0822572721273277+0.0181224344560457+0.178561789731549)) * 0.0178578418089529%</f>
        <v>8.8585776851454428E-6</v>
      </c>
      <c r="D1234" t="s">
        <v>242</v>
      </c>
      <c r="E1234" t="s">
        <v>366</v>
      </c>
      <c r="F1234" t="s">
        <v>359</v>
      </c>
      <c r="G1234" s="4" t="s">
        <v>245</v>
      </c>
    </row>
    <row r="1235" spans="1:7" x14ac:dyDescent="0.25">
      <c r="A1235" t="s">
        <v>612</v>
      </c>
      <c r="B1235" t="s">
        <v>120</v>
      </c>
      <c r="C1235" s="4">
        <f>(0.350336698877979/(0.0328453630665826+0.350336698877979+0.0822572721273277+0.0181224344560457+0.178561789731549)) * 0.0178578418089529%</f>
        <v>9.4487762448438822E-5</v>
      </c>
      <c r="D1235" t="s">
        <v>256</v>
      </c>
      <c r="E1235" t="s">
        <v>364</v>
      </c>
      <c r="F1235" t="s">
        <v>359</v>
      </c>
      <c r="G1235" s="4" t="s">
        <v>245</v>
      </c>
    </row>
    <row r="1236" spans="1:7" x14ac:dyDescent="0.25">
      <c r="A1236" t="s">
        <v>612</v>
      </c>
      <c r="B1236" t="s">
        <v>120</v>
      </c>
      <c r="C1236" s="4">
        <f>(0.0822572721273277/(0.0328453630665826+0.350336698877979+0.0822572721273277+0.0181224344560457+0.178561789731549)) * 0.0178578418089529%</f>
        <v>2.2185245260675909E-5</v>
      </c>
      <c r="D1236" t="s">
        <v>256</v>
      </c>
      <c r="E1236" t="s">
        <v>361</v>
      </c>
      <c r="F1236" t="s">
        <v>359</v>
      </c>
      <c r="G1236" s="4" t="s">
        <v>245</v>
      </c>
    </row>
    <row r="1237" spans="1:7" x14ac:dyDescent="0.25">
      <c r="A1237" t="s">
        <v>612</v>
      </c>
      <c r="B1237" t="s">
        <v>120</v>
      </c>
      <c r="C1237" s="4">
        <f>(0.0181224344560457/(0.0328453630665826+0.350336698877979+0.0822572721273277+0.0181224344560457+0.178561789731549)) * 0.0178578418089529%</f>
        <v>4.8877216898896836E-6</v>
      </c>
      <c r="D1237" t="s">
        <v>256</v>
      </c>
      <c r="E1237" t="s">
        <v>280</v>
      </c>
      <c r="F1237" t="s">
        <v>359</v>
      </c>
      <c r="G1237" s="4" t="s">
        <v>245</v>
      </c>
    </row>
    <row r="1238" spans="1:7" x14ac:dyDescent="0.25">
      <c r="A1238" t="s">
        <v>612</v>
      </c>
      <c r="B1238" t="s">
        <v>120</v>
      </c>
      <c r="C1238" s="4">
        <f>(0.178561789731549/(0.0328453630665826+0.350336698877979+0.0822572721273277+0.0181224344560457+0.178561789731549)) * 0.0178578418089529%</f>
        <v>4.8159111005379162E-5</v>
      </c>
      <c r="D1238" t="s">
        <v>256</v>
      </c>
      <c r="E1238" t="s">
        <v>362</v>
      </c>
      <c r="F1238" t="s">
        <v>359</v>
      </c>
      <c r="G1238" s="4" t="s">
        <v>245</v>
      </c>
    </row>
    <row r="1239" spans="1:7" x14ac:dyDescent="0.25">
      <c r="A1239" t="s">
        <v>612</v>
      </c>
      <c r="B1239" t="s">
        <v>107</v>
      </c>
      <c r="C1239" s="4">
        <f>(0.0328453630665826/(0.0328453630665826+0.350336698877979+0.0822572721273277+0.0181224344560457+0.178561789731549)) * 8.91221498694496%</f>
        <v>4.4210016895204329E-3</v>
      </c>
      <c r="D1239" t="s">
        <v>242</v>
      </c>
      <c r="E1239" t="s">
        <v>366</v>
      </c>
      <c r="F1239" t="s">
        <v>359</v>
      </c>
      <c r="G1239" s="4" t="s">
        <v>245</v>
      </c>
    </row>
    <row r="1240" spans="1:7" x14ac:dyDescent="0.25">
      <c r="A1240" t="s">
        <v>612</v>
      </c>
      <c r="B1240" t="s">
        <v>107</v>
      </c>
      <c r="C1240" s="4">
        <f>(0.350336698877979/(0.0328453630665826+0.350336698877979+0.0822572721273277+0.0181224344560457+0.178561789731549)) * 8.91221498694496%</f>
        <v>4.7155488417065794E-2</v>
      </c>
      <c r="D1240" t="s">
        <v>256</v>
      </c>
      <c r="E1240" t="s">
        <v>364</v>
      </c>
      <c r="F1240" t="s">
        <v>359</v>
      </c>
      <c r="G1240" s="4" t="s">
        <v>245</v>
      </c>
    </row>
    <row r="1241" spans="1:7" x14ac:dyDescent="0.25">
      <c r="A1241" t="s">
        <v>612</v>
      </c>
      <c r="B1241" t="s">
        <v>107</v>
      </c>
      <c r="C1241" s="4">
        <f>(0.0822572721273277/(0.0328453630665826+0.350336698877979+0.0822572721273277+0.0181224344560457+0.178561789731549)) * 8.91221498694496%</f>
        <v>1.107186844953012E-2</v>
      </c>
      <c r="D1241" t="s">
        <v>256</v>
      </c>
      <c r="E1241" t="s">
        <v>361</v>
      </c>
      <c r="F1241" t="s">
        <v>359</v>
      </c>
      <c r="G1241" s="4" t="s">
        <v>245</v>
      </c>
    </row>
    <row r="1242" spans="1:7" x14ac:dyDescent="0.25">
      <c r="A1242" t="s">
        <v>612</v>
      </c>
      <c r="B1242" t="s">
        <v>107</v>
      </c>
      <c r="C1242" s="4">
        <f>(0.0181224344560457/(0.0328453630665826+0.350336698877979+0.0822572721273277+0.0181224344560457+0.178561789731549)) * 8.91221498694496%</f>
        <v>2.4392884068898E-3</v>
      </c>
      <c r="D1242" t="s">
        <v>256</v>
      </c>
      <c r="E1242" t="s">
        <v>280</v>
      </c>
      <c r="F1242" t="s">
        <v>359</v>
      </c>
      <c r="G1242" s="4" t="s">
        <v>245</v>
      </c>
    </row>
    <row r="1243" spans="1:7" x14ac:dyDescent="0.25">
      <c r="A1243" t="s">
        <v>612</v>
      </c>
      <c r="B1243" t="s">
        <v>107</v>
      </c>
      <c r="C1243" s="4">
        <f>(0.178561789731549/(0.0328453630665826+0.350336698877979+0.0822572721273277+0.0181224344560457+0.178561789731549)) * 8.91221498694496%</f>
        <v>2.4034502906443468E-2</v>
      </c>
      <c r="D1243" t="s">
        <v>256</v>
      </c>
      <c r="E1243" t="s">
        <v>362</v>
      </c>
      <c r="F1243" t="s">
        <v>359</v>
      </c>
      <c r="G1243" s="4" t="s">
        <v>245</v>
      </c>
    </row>
    <row r="1244" spans="1:7" x14ac:dyDescent="0.25">
      <c r="A1244" t="s">
        <v>612</v>
      </c>
      <c r="B1244" t="s">
        <v>204</v>
      </c>
      <c r="C1244" s="4">
        <f>(0.0328453630665826/(0.0328453630665826+0.350336698877979+0.0822572721273277+0.0181224344560457+0.178561789731549)) * 0.339739258622741%</f>
        <v>1.6853137391408771E-4</v>
      </c>
      <c r="D1244" t="s">
        <v>242</v>
      </c>
      <c r="E1244" t="s">
        <v>366</v>
      </c>
      <c r="F1244" t="s">
        <v>359</v>
      </c>
      <c r="G1244" s="4" t="s">
        <v>245</v>
      </c>
    </row>
    <row r="1245" spans="1:7" x14ac:dyDescent="0.25">
      <c r="A1245" t="s">
        <v>612</v>
      </c>
      <c r="B1245" t="s">
        <v>204</v>
      </c>
      <c r="C1245" s="4">
        <f>(0.350336698877979/(0.0328453630665826+0.350336698877979+0.0822572721273277+0.0181224344560457+0.178561789731549)) * 0.339739258622741%</f>
        <v>1.7975969720518282E-3</v>
      </c>
      <c r="D1245" t="s">
        <v>256</v>
      </c>
      <c r="E1245" t="s">
        <v>364</v>
      </c>
      <c r="F1245" t="s">
        <v>359</v>
      </c>
      <c r="G1245" s="4" t="s">
        <v>245</v>
      </c>
    </row>
    <row r="1246" spans="1:7" x14ac:dyDescent="0.25">
      <c r="A1246" t="s">
        <v>612</v>
      </c>
      <c r="B1246" t="s">
        <v>204</v>
      </c>
      <c r="C1246" s="4">
        <f>(0.0822572721273277/(0.0328453630665826+0.350336698877979+0.0822572721273277+0.0181224344560457+0.178561789731549)) * 0.339739258622741%</f>
        <v>4.2206661128821245E-4</v>
      </c>
      <c r="D1246" t="s">
        <v>256</v>
      </c>
      <c r="E1246" t="s">
        <v>361</v>
      </c>
      <c r="F1246" t="s">
        <v>359</v>
      </c>
      <c r="G1246" s="4" t="s">
        <v>245</v>
      </c>
    </row>
    <row r="1247" spans="1:7" x14ac:dyDescent="0.25">
      <c r="A1247" t="s">
        <v>612</v>
      </c>
      <c r="B1247" t="s">
        <v>204</v>
      </c>
      <c r="C1247" s="4">
        <f>(0.0181224344560457/(0.0328453630665826+0.350336698877979+0.0822572721273277+0.0181224344560457+0.178561789731549)) * 0.339739258622741%</f>
        <v>9.298721318300102E-5</v>
      </c>
      <c r="D1247" t="s">
        <v>256</v>
      </c>
      <c r="E1247" t="s">
        <v>280</v>
      </c>
      <c r="F1247" t="s">
        <v>359</v>
      </c>
      <c r="G1247" s="4" t="s">
        <v>245</v>
      </c>
    </row>
    <row r="1248" spans="1:7" x14ac:dyDescent="0.25">
      <c r="A1248" t="s">
        <v>612</v>
      </c>
      <c r="B1248" t="s">
        <v>204</v>
      </c>
      <c r="C1248" s="4">
        <f>(0.178561789731549/(0.0328453630665826+0.350336698877979+0.0822572721273277+0.0181224344560457+0.178561789731549)) * 0.339739258622741%</f>
        <v>9.162104157902812E-4</v>
      </c>
      <c r="D1248" t="s">
        <v>256</v>
      </c>
      <c r="E1248" t="s">
        <v>362</v>
      </c>
      <c r="F1248" t="s">
        <v>359</v>
      </c>
      <c r="G1248" s="4" t="s">
        <v>245</v>
      </c>
    </row>
    <row r="1249" spans="1:7" x14ac:dyDescent="0.25">
      <c r="A1249" t="s">
        <v>612</v>
      </c>
      <c r="B1249" t="s">
        <v>108</v>
      </c>
      <c r="C1249" s="4">
        <f>(0.0328453630665826/(0.0328453630665826+0.350336698877979+0.0822572721273277+0.0181224344560457+0.178561789731549)) * 0.34241703024151%</f>
        <v>1.6985971180405882E-4</v>
      </c>
      <c r="D1249" t="s">
        <v>242</v>
      </c>
      <c r="E1249" t="s">
        <v>366</v>
      </c>
      <c r="F1249" t="s">
        <v>359</v>
      </c>
      <c r="G1249" s="4" t="s">
        <v>245</v>
      </c>
    </row>
    <row r="1250" spans="1:7" x14ac:dyDescent="0.25">
      <c r="A1250" t="s">
        <v>612</v>
      </c>
      <c r="B1250" t="s">
        <v>108</v>
      </c>
      <c r="C1250" s="4">
        <f>(0.350336698877979/(0.0328453630665826+0.350336698877979+0.0822572721273277+0.0181224344560457+0.178561789731549)) * 0.34241703024151%</f>
        <v>1.8117653498049876E-3</v>
      </c>
      <c r="D1250" t="s">
        <v>256</v>
      </c>
      <c r="E1250" t="s">
        <v>364</v>
      </c>
      <c r="F1250" t="s">
        <v>359</v>
      </c>
      <c r="G1250" s="4" t="s">
        <v>245</v>
      </c>
    </row>
    <row r="1251" spans="1:7" x14ac:dyDescent="0.25">
      <c r="A1251" t="s">
        <v>612</v>
      </c>
      <c r="B1251" t="s">
        <v>108</v>
      </c>
      <c r="C1251" s="4">
        <f>(0.0822572721273277/(0.0328453630665826+0.350336698877979+0.0822572721273277+0.0181224344560457+0.178561789731549)) * 0.34241703024151%</f>
        <v>4.2539327420470678E-4</v>
      </c>
      <c r="D1251" t="s">
        <v>256</v>
      </c>
      <c r="E1251" t="s">
        <v>361</v>
      </c>
      <c r="F1251" t="s">
        <v>359</v>
      </c>
      <c r="G1251" s="4" t="s">
        <v>245</v>
      </c>
    </row>
    <row r="1252" spans="1:7" x14ac:dyDescent="0.25">
      <c r="A1252" t="s">
        <v>612</v>
      </c>
      <c r="B1252" t="s">
        <v>108</v>
      </c>
      <c r="C1252" s="4">
        <f>(0.0181224344560457/(0.0328453630665826+0.350336698877979+0.0822572721273277+0.0181224344560457+0.178561789731549)) * 0.34241703024151%</f>
        <v>9.3720123831535619E-5</v>
      </c>
      <c r="D1252" t="s">
        <v>256</v>
      </c>
      <c r="E1252" t="s">
        <v>280</v>
      </c>
      <c r="F1252" t="s">
        <v>359</v>
      </c>
      <c r="G1252" s="4" t="s">
        <v>245</v>
      </c>
    </row>
    <row r="1253" spans="1:7" x14ac:dyDescent="0.25">
      <c r="A1253" t="s">
        <v>612</v>
      </c>
      <c r="B1253" t="s">
        <v>108</v>
      </c>
      <c r="C1253" s="4">
        <f>(0.178561789731549/(0.0328453630665826+0.350336698877979+0.0822572721273277+0.0181224344560457+0.178561789731549)) * 0.34241703024151%</f>
        <v>9.2343184276981092E-4</v>
      </c>
      <c r="D1253" t="s">
        <v>256</v>
      </c>
      <c r="E1253" t="s">
        <v>362</v>
      </c>
      <c r="F1253" t="s">
        <v>359</v>
      </c>
      <c r="G1253" s="4" t="s">
        <v>245</v>
      </c>
    </row>
    <row r="1254" spans="1:7" x14ac:dyDescent="0.25">
      <c r="A1254" t="s">
        <v>612</v>
      </c>
      <c r="B1254" t="s">
        <v>205</v>
      </c>
      <c r="C1254" s="4">
        <f>(0.0328453630665826/(0.0328453630665826+0.350336698877979+0.0822572721273277+0.0181224344560457+0.178561789731549)) * 0.458960405829557%</f>
        <v>2.2767232753784851E-4</v>
      </c>
      <c r="D1254" t="s">
        <v>242</v>
      </c>
      <c r="E1254" t="s">
        <v>366</v>
      </c>
      <c r="F1254" t="s">
        <v>359</v>
      </c>
      <c r="G1254" s="4" t="s">
        <v>245</v>
      </c>
    </row>
    <row r="1255" spans="1:7" x14ac:dyDescent="0.25">
      <c r="A1255" t="s">
        <v>612</v>
      </c>
      <c r="B1255" t="s">
        <v>205</v>
      </c>
      <c r="C1255" s="4">
        <f>(0.350336698877979/(0.0328453630665826+0.350336698877979+0.0822572721273277+0.0181224344560457+0.178561789731549)) * 0.458960405829557%</f>
        <v>2.4284088896745046E-3</v>
      </c>
      <c r="D1255" t="s">
        <v>256</v>
      </c>
      <c r="E1255" t="s">
        <v>364</v>
      </c>
      <c r="F1255" t="s">
        <v>359</v>
      </c>
      <c r="G1255" s="4" t="s">
        <v>245</v>
      </c>
    </row>
    <row r="1256" spans="1:7" x14ac:dyDescent="0.25">
      <c r="A1256" t="s">
        <v>612</v>
      </c>
      <c r="B1256" t="s">
        <v>205</v>
      </c>
      <c r="C1256" s="4">
        <f>(0.0822572721273277/(0.0328453630665826+0.350336698877979+0.0822572721273277+0.0181224344560457+0.178561789731549)) * 0.458960405829557%</f>
        <v>5.7017803591267817E-4</v>
      </c>
      <c r="D1256" t="s">
        <v>256</v>
      </c>
      <c r="E1256" t="s">
        <v>361</v>
      </c>
      <c r="F1256" t="s">
        <v>359</v>
      </c>
      <c r="G1256" s="4" t="s">
        <v>245</v>
      </c>
    </row>
    <row r="1257" spans="1:7" x14ac:dyDescent="0.25">
      <c r="A1257" t="s">
        <v>612</v>
      </c>
      <c r="B1257" t="s">
        <v>205</v>
      </c>
      <c r="C1257" s="4">
        <f>(0.0181224344560457/(0.0328453630665826+0.350336698877979+0.0822572721273277+0.0181224344560457+0.178561789731549)) * 0.458960405829557%</f>
        <v>1.256182440393805E-4</v>
      </c>
      <c r="D1257" t="s">
        <v>256</v>
      </c>
      <c r="E1257" t="s">
        <v>280</v>
      </c>
      <c r="F1257" t="s">
        <v>359</v>
      </c>
      <c r="G1257" s="4" t="s">
        <v>245</v>
      </c>
    </row>
    <row r="1258" spans="1:7" x14ac:dyDescent="0.25">
      <c r="A1258" t="s">
        <v>612</v>
      </c>
      <c r="B1258" t="s">
        <v>205</v>
      </c>
      <c r="C1258" s="4">
        <f>(0.178561789731549/(0.0328453630665826+0.350336698877979+0.0822572721273277+0.0181224344560457+0.178561789731549)) * 0.458960405829557%</f>
        <v>1.2377265611311589E-3</v>
      </c>
      <c r="D1258" t="s">
        <v>256</v>
      </c>
      <c r="E1258" t="s">
        <v>362</v>
      </c>
      <c r="F1258" t="s">
        <v>359</v>
      </c>
      <c r="G1258" s="4" t="s">
        <v>245</v>
      </c>
    </row>
    <row r="1259" spans="1:7" x14ac:dyDescent="0.25">
      <c r="A1259" t="s">
        <v>612</v>
      </c>
      <c r="B1259" t="s">
        <v>179</v>
      </c>
      <c r="C1259" s="4">
        <f>(0.0328453630665826/(0.0328453630665826+0.350336698877979+0.0822572721273277+0.0181224344560457+0.178561789731549)) * 0.0593210847797572%</f>
        <v>2.9426872715667252E-5</v>
      </c>
      <c r="D1259" t="s">
        <v>242</v>
      </c>
      <c r="E1259" t="s">
        <v>366</v>
      </c>
      <c r="F1259" t="s">
        <v>359</v>
      </c>
      <c r="G1259" s="4" t="s">
        <v>245</v>
      </c>
    </row>
    <row r="1260" spans="1:7" x14ac:dyDescent="0.25">
      <c r="A1260" t="s">
        <v>612</v>
      </c>
      <c r="B1260" t="s">
        <v>179</v>
      </c>
      <c r="C1260" s="4">
        <f>(0.350336698877979/(0.0328453630665826+0.350336698877979+0.0822572721273277+0.0181224344560457+0.178561789731549)) * 0.0593210847797572%</f>
        <v>3.138742422974826E-4</v>
      </c>
      <c r="D1260" t="s">
        <v>256</v>
      </c>
      <c r="E1260" t="s">
        <v>364</v>
      </c>
      <c r="F1260" t="s">
        <v>359</v>
      </c>
      <c r="G1260" s="4" t="s">
        <v>245</v>
      </c>
    </row>
    <row r="1261" spans="1:7" x14ac:dyDescent="0.25">
      <c r="A1261" t="s">
        <v>612</v>
      </c>
      <c r="B1261" t="s">
        <v>179</v>
      </c>
      <c r="C1261" s="4">
        <f>(0.0822572721273277/(0.0328453630665826+0.350336698877979+0.0822572721273277+0.0181224344560457+0.178561789731549)) * 0.0593210847797572%</f>
        <v>7.3696073078017101E-5</v>
      </c>
      <c r="D1261" t="s">
        <v>256</v>
      </c>
      <c r="E1261" t="s">
        <v>361</v>
      </c>
      <c r="F1261" t="s">
        <v>359</v>
      </c>
      <c r="G1261" s="4" t="s">
        <v>245</v>
      </c>
    </row>
    <row r="1262" spans="1:7" x14ac:dyDescent="0.25">
      <c r="A1262" t="s">
        <v>612</v>
      </c>
      <c r="B1262" t="s">
        <v>179</v>
      </c>
      <c r="C1262" s="4">
        <f>(0.0181224344560457/(0.0328453630665826+0.350336698877979+0.0822572721273277+0.0181224344560457+0.178561789731549)) * 0.0593210847797572%</f>
        <v>1.6236281844564341E-5</v>
      </c>
      <c r="D1262" t="s">
        <v>256</v>
      </c>
      <c r="E1262" t="s">
        <v>280</v>
      </c>
      <c r="F1262" t="s">
        <v>359</v>
      </c>
      <c r="G1262" s="4" t="s">
        <v>245</v>
      </c>
    </row>
    <row r="1263" spans="1:7" x14ac:dyDescent="0.25">
      <c r="A1263" t="s">
        <v>612</v>
      </c>
      <c r="B1263" t="s">
        <v>179</v>
      </c>
      <c r="C1263" s="4">
        <f>(0.178561789731549/(0.0328453630665826+0.350336698877979+0.0822572721273277+0.0181224344560457+0.178561789731549)) * 0.0593210847797572%</f>
        <v>1.599773778618407E-4</v>
      </c>
      <c r="D1263" t="s">
        <v>256</v>
      </c>
      <c r="E1263" t="s">
        <v>362</v>
      </c>
      <c r="F1263" t="s">
        <v>359</v>
      </c>
      <c r="G1263" s="4" t="s">
        <v>245</v>
      </c>
    </row>
    <row r="1264" spans="1:7" x14ac:dyDescent="0.25">
      <c r="A1264" t="s">
        <v>612</v>
      </c>
      <c r="B1264" t="s">
        <v>109</v>
      </c>
      <c r="C1264" s="4">
        <f>(0.0328453630665826/(0.0328453630665826+0.350336698877979+0.0822572721273277+0.0181224344560457+0.178561789731549)) * 0.00489718593342445%</f>
        <v>2.4293026276049032E-6</v>
      </c>
      <c r="D1264" t="s">
        <v>242</v>
      </c>
      <c r="E1264" t="s">
        <v>366</v>
      </c>
      <c r="F1264" t="s">
        <v>359</v>
      </c>
      <c r="G1264" s="4" t="s">
        <v>245</v>
      </c>
    </row>
    <row r="1265" spans="1:7" x14ac:dyDescent="0.25">
      <c r="A1265" t="s">
        <v>612</v>
      </c>
      <c r="B1265" t="s">
        <v>109</v>
      </c>
      <c r="C1265" s="4">
        <f>(0.350336698877979/(0.0328453630665826+0.350336698877979+0.0822572721273277+0.0181224344560457+0.178561789731549)) * 0.00489718593342445%</f>
        <v>2.5911537692716157E-5</v>
      </c>
      <c r="D1265" t="s">
        <v>256</v>
      </c>
      <c r="E1265" t="s">
        <v>364</v>
      </c>
      <c r="F1265" t="s">
        <v>359</v>
      </c>
      <c r="G1265" s="4" t="s">
        <v>245</v>
      </c>
    </row>
    <row r="1266" spans="1:7" x14ac:dyDescent="0.25">
      <c r="A1266" t="s">
        <v>612</v>
      </c>
      <c r="B1266" t="s">
        <v>109</v>
      </c>
      <c r="C1266" s="4">
        <f>(0.0822572721273277/(0.0328453630665826+0.350336698877979+0.0822572721273277+0.0181224344560457+0.178561789731549)) * 0.00489718593342445%</f>
        <v>6.0838970454808806E-6</v>
      </c>
      <c r="D1266" t="s">
        <v>256</v>
      </c>
      <c r="E1266" t="s">
        <v>361</v>
      </c>
      <c r="F1266" t="s">
        <v>359</v>
      </c>
      <c r="G1266" s="4" t="s">
        <v>245</v>
      </c>
    </row>
    <row r="1267" spans="1:7" x14ac:dyDescent="0.25">
      <c r="A1267" t="s">
        <v>612</v>
      </c>
      <c r="B1267" t="s">
        <v>109</v>
      </c>
      <c r="C1267" s="4">
        <f>(0.0181224344560457/(0.0328453630665826+0.350336698877979+0.0822572721273277+0.0181224344560457+0.178561789731549)) * 0.00489718593342445%</f>
        <v>1.3403681229957562E-6</v>
      </c>
      <c r="D1267" t="s">
        <v>256</v>
      </c>
      <c r="E1267" t="s">
        <v>280</v>
      </c>
      <c r="F1267" t="s">
        <v>359</v>
      </c>
      <c r="G1267" s="4" t="s">
        <v>245</v>
      </c>
    </row>
    <row r="1268" spans="1:7" x14ac:dyDescent="0.25">
      <c r="A1268" t="s">
        <v>612</v>
      </c>
      <c r="B1268" t="s">
        <v>109</v>
      </c>
      <c r="C1268" s="4">
        <f>(0.178561789731549/(0.0328453630665826+0.350336698877979+0.0822572721273277+0.0181224344560457+0.178561789731549)) * 0.00489718593342445%</f>
        <v>1.3206753845446805E-5</v>
      </c>
      <c r="D1268" t="s">
        <v>256</v>
      </c>
      <c r="E1268" t="s">
        <v>362</v>
      </c>
      <c r="F1268" t="s">
        <v>359</v>
      </c>
      <c r="G1268" s="4" t="s">
        <v>245</v>
      </c>
    </row>
    <row r="1269" spans="1:7" x14ac:dyDescent="0.25">
      <c r="A1269" t="s">
        <v>612</v>
      </c>
      <c r="B1269" t="s">
        <v>135</v>
      </c>
      <c r="C1269" s="4">
        <f>(0.0328453630665826/(0.0328453630665826+0.350336698877979+0.0822572721273277+0.0181224344560457+0.178561789731549)) * 0.0122791509365174%</f>
        <v>6.0912070810388635E-6</v>
      </c>
      <c r="D1269" t="s">
        <v>242</v>
      </c>
      <c r="E1269" t="s">
        <v>366</v>
      </c>
      <c r="F1269" t="s">
        <v>359</v>
      </c>
      <c r="G1269" s="4" t="s">
        <v>245</v>
      </c>
    </row>
    <row r="1270" spans="1:7" x14ac:dyDescent="0.25">
      <c r="A1270" t="s">
        <v>612</v>
      </c>
      <c r="B1270" t="s">
        <v>135</v>
      </c>
      <c r="C1270" s="4">
        <f>(0.350336698877979/(0.0328453630665826+0.350336698877979+0.0822572721273277+0.0181224344560457+0.178561789731549)) * 0.0122791509365174%</f>
        <v>6.4970308796021939E-5</v>
      </c>
      <c r="D1270" t="s">
        <v>256</v>
      </c>
      <c r="E1270" t="s">
        <v>364</v>
      </c>
      <c r="F1270" t="s">
        <v>359</v>
      </c>
      <c r="G1270" s="4" t="s">
        <v>245</v>
      </c>
    </row>
    <row r="1271" spans="1:7" x14ac:dyDescent="0.25">
      <c r="A1271" t="s">
        <v>612</v>
      </c>
      <c r="B1271" t="s">
        <v>135</v>
      </c>
      <c r="C1271" s="4">
        <f>(0.0822572721273277/(0.0328453630665826+0.350336698877979+0.0822572721273277+0.0181224344560457+0.178561789731549)) * 0.0122791509365174%</f>
        <v>1.5254697517979074E-5</v>
      </c>
      <c r="D1271" t="s">
        <v>256</v>
      </c>
      <c r="E1271" t="s">
        <v>361</v>
      </c>
      <c r="F1271" t="s">
        <v>359</v>
      </c>
      <c r="G1271" s="4" t="s">
        <v>245</v>
      </c>
    </row>
    <row r="1272" spans="1:7" x14ac:dyDescent="0.25">
      <c r="A1272" t="s">
        <v>612</v>
      </c>
      <c r="B1272" t="s">
        <v>135</v>
      </c>
      <c r="C1272" s="4">
        <f>(0.0181224344560457/(0.0328453630665826+0.350336698877979+0.0822572721273277+0.0181224344560457+0.178561789731549)) * 0.0122791509365174%</f>
        <v>3.3608245054425433E-6</v>
      </c>
      <c r="D1272" t="s">
        <v>256</v>
      </c>
      <c r="E1272" t="s">
        <v>280</v>
      </c>
      <c r="F1272" t="s">
        <v>359</v>
      </c>
      <c r="G1272" s="4" t="s">
        <v>245</v>
      </c>
    </row>
    <row r="1273" spans="1:7" x14ac:dyDescent="0.25">
      <c r="A1273" t="s">
        <v>612</v>
      </c>
      <c r="B1273" t="s">
        <v>135</v>
      </c>
      <c r="C1273" s="4">
        <f>(0.178561789731549/(0.0328453630665826+0.350336698877979+0.0822572721273277+0.0181224344560457+0.178561789731549)) * 0.0122791509365174%</f>
        <v>3.3114471464691569E-5</v>
      </c>
      <c r="D1273" t="s">
        <v>256</v>
      </c>
      <c r="E1273" t="s">
        <v>362</v>
      </c>
      <c r="F1273" t="s">
        <v>359</v>
      </c>
      <c r="G1273" s="4" t="s">
        <v>245</v>
      </c>
    </row>
    <row r="1274" spans="1:7" x14ac:dyDescent="0.25">
      <c r="A1274" t="s">
        <v>612</v>
      </c>
      <c r="B1274" t="s">
        <v>137</v>
      </c>
      <c r="C1274" s="4">
        <f>3.37720677179493%*(0.0914092651381309/(0.0914092651381309+0.00171239274195283))</f>
        <v>3.3151040934733873E-2</v>
      </c>
      <c r="D1274" t="s">
        <v>320</v>
      </c>
      <c r="E1274" t="s">
        <v>364</v>
      </c>
      <c r="F1274" t="s">
        <v>359</v>
      </c>
      <c r="G1274" s="4" t="s">
        <v>245</v>
      </c>
    </row>
    <row r="1275" spans="1:7" x14ac:dyDescent="0.25">
      <c r="A1275" t="s">
        <v>612</v>
      </c>
      <c r="B1275" t="s">
        <v>137</v>
      </c>
      <c r="C1275" s="4">
        <f>3.37720677179493%*(0.00171239274195283/(0.0914092651381309+0.00171239274195283))</f>
        <v>6.2102678321542632E-4</v>
      </c>
      <c r="D1275" t="s">
        <v>320</v>
      </c>
      <c r="E1275" t="s">
        <v>337</v>
      </c>
      <c r="F1275" t="s">
        <v>359</v>
      </c>
      <c r="G1275" s="4" t="s">
        <v>245</v>
      </c>
    </row>
    <row r="1276" spans="1:7" x14ac:dyDescent="0.25">
      <c r="A1276" t="s">
        <v>612</v>
      </c>
      <c r="B1276" t="s">
        <v>206</v>
      </c>
      <c r="C1276" s="4">
        <f>(0.0328453630665826/(0.0328453630665826+0.350336698877979+0.0822572721273277+0.0181224344560457+0.178561789731549)) * 0.00603101715938971%</f>
        <v>2.9917520044395329E-6</v>
      </c>
      <c r="D1276" t="s">
        <v>242</v>
      </c>
      <c r="E1276" t="s">
        <v>366</v>
      </c>
      <c r="F1276" t="s">
        <v>359</v>
      </c>
      <c r="G1276" s="4" t="s">
        <v>245</v>
      </c>
    </row>
    <row r="1277" spans="1:7" x14ac:dyDescent="0.25">
      <c r="A1277" t="s">
        <v>612</v>
      </c>
      <c r="B1277" t="s">
        <v>206</v>
      </c>
      <c r="C1277" s="4">
        <f>(0.350336698877979/(0.0328453630665826+0.350336698877979+0.0822572721273277+0.0181224344560457+0.178561789731549)) * 0.00603101715938971%</f>
        <v>3.1910760705315428E-5</v>
      </c>
      <c r="D1277" t="s">
        <v>256</v>
      </c>
      <c r="E1277" t="s">
        <v>364</v>
      </c>
      <c r="F1277" t="s">
        <v>359</v>
      </c>
      <c r="G1277" s="4" t="s">
        <v>245</v>
      </c>
    </row>
    <row r="1278" spans="1:7" x14ac:dyDescent="0.25">
      <c r="A1278" t="s">
        <v>612</v>
      </c>
      <c r="B1278" t="s">
        <v>206</v>
      </c>
      <c r="C1278" s="4">
        <f>(0.0822572721273277/(0.0328453630665826+0.350336698877979+0.0822572721273277+0.0181224344560457+0.178561789731549)) * 0.00603101715938971%</f>
        <v>7.4924840461587126E-6</v>
      </c>
      <c r="D1278" t="s">
        <v>256</v>
      </c>
      <c r="E1278" t="s">
        <v>361</v>
      </c>
      <c r="F1278" t="s">
        <v>359</v>
      </c>
      <c r="G1278" s="4" t="s">
        <v>245</v>
      </c>
    </row>
    <row r="1279" spans="1:7" x14ac:dyDescent="0.25">
      <c r="A1279" t="s">
        <v>612</v>
      </c>
      <c r="B1279" t="s">
        <v>206</v>
      </c>
      <c r="C1279" s="4">
        <f>(0.0181224344560457/(0.0328453630665826+0.350336698877979+0.0822572721273277+0.0181224344560457+0.178561789731549)) * 0.00603101715938971%</f>
        <v>1.650699658861767E-6</v>
      </c>
      <c r="D1279" t="s">
        <v>256</v>
      </c>
      <c r="E1279" t="s">
        <v>280</v>
      </c>
      <c r="F1279" t="s">
        <v>359</v>
      </c>
      <c r="G1279" s="4" t="s">
        <v>245</v>
      </c>
    </row>
    <row r="1280" spans="1:7" x14ac:dyDescent="0.25">
      <c r="A1280" t="s">
        <v>612</v>
      </c>
      <c r="B1280" t="s">
        <v>206</v>
      </c>
      <c r="C1280" s="4">
        <f>(0.178561789731549/(0.0328453630665826+0.350336698877979+0.0822572721273277+0.0181224344560457+0.178561789731549)) * 0.00603101715938971%</f>
        <v>1.6264475179121662E-5</v>
      </c>
      <c r="D1280" t="s">
        <v>256</v>
      </c>
      <c r="E1280" t="s">
        <v>362</v>
      </c>
      <c r="F1280" t="s">
        <v>359</v>
      </c>
      <c r="G1280" s="4" t="s">
        <v>245</v>
      </c>
    </row>
    <row r="1281" spans="1:7" x14ac:dyDescent="0.25">
      <c r="A1281" t="s">
        <v>612</v>
      </c>
      <c r="B1281" t="s">
        <v>121</v>
      </c>
      <c r="C1281" s="4">
        <f>(0.0328453630665826/(0.0328453630665826+0.350336698877979+0.0822572721273277+0.0181224344560457+0.178561789731549)) * 0.0513299870435658%</f>
        <v>2.5462801309784851E-5</v>
      </c>
      <c r="D1281" t="s">
        <v>242</v>
      </c>
      <c r="E1281" t="s">
        <v>366</v>
      </c>
      <c r="F1281" t="s">
        <v>359</v>
      </c>
      <c r="G1281" s="4" t="s">
        <v>245</v>
      </c>
    </row>
    <row r="1282" spans="1:7" x14ac:dyDescent="0.25">
      <c r="A1282" t="s">
        <v>612</v>
      </c>
      <c r="B1282" t="s">
        <v>121</v>
      </c>
      <c r="C1282" s="4">
        <f>(0.350336698877979/(0.0328453630665826+0.350336698877979+0.0822572721273277+0.0181224344560457+0.178561789731549)) * 0.0513299870435658%</f>
        <v>2.7159248436293948E-4</v>
      </c>
      <c r="D1282" t="s">
        <v>256</v>
      </c>
      <c r="E1282" t="s">
        <v>364</v>
      </c>
      <c r="F1282" t="s">
        <v>359</v>
      </c>
      <c r="G1282" s="4" t="s">
        <v>245</v>
      </c>
    </row>
    <row r="1283" spans="1:7" x14ac:dyDescent="0.25">
      <c r="A1283" t="s">
        <v>612</v>
      </c>
      <c r="B1283" t="s">
        <v>121</v>
      </c>
      <c r="C1283" s="4">
        <f>(0.0822572721273277/(0.0328453630665826+0.350336698877979+0.0822572721273277+0.0181224344560457+0.178561789731549)) * 0.0513299870435658%</f>
        <v>6.3768531716856759E-5</v>
      </c>
      <c r="D1283" t="s">
        <v>256</v>
      </c>
      <c r="E1283" t="s">
        <v>361</v>
      </c>
      <c r="F1283" t="s">
        <v>359</v>
      </c>
      <c r="G1283" s="4" t="s">
        <v>245</v>
      </c>
    </row>
    <row r="1284" spans="1:7" x14ac:dyDescent="0.25">
      <c r="A1284" t="s">
        <v>612</v>
      </c>
      <c r="B1284" t="s">
        <v>121</v>
      </c>
      <c r="C1284" s="4">
        <f>(0.0181224344560457/(0.0328453630665826+0.350336698877979+0.0822572721273277+0.0181224344560457+0.178561789731549)) * 0.0513299870435658%</f>
        <v>1.4049104796572491E-5</v>
      </c>
      <c r="D1284" t="s">
        <v>256</v>
      </c>
      <c r="E1284" t="s">
        <v>280</v>
      </c>
      <c r="F1284" t="s">
        <v>359</v>
      </c>
      <c r="G1284" s="4" t="s">
        <v>245</v>
      </c>
    </row>
    <row r="1285" spans="1:7" x14ac:dyDescent="0.25">
      <c r="A1285" t="s">
        <v>612</v>
      </c>
      <c r="B1285" t="s">
        <v>121</v>
      </c>
      <c r="C1285" s="4">
        <f>(0.178561789731549/(0.0328453630665826+0.350336698877979+0.0822572721273277+0.0181224344560457+0.178561789731549)) * 0.0513299870435658%</f>
        <v>1.384269482495044E-4</v>
      </c>
      <c r="D1285" t="s">
        <v>256</v>
      </c>
      <c r="E1285" t="s">
        <v>362</v>
      </c>
      <c r="F1285" t="s">
        <v>359</v>
      </c>
      <c r="G1285" s="4" t="s">
        <v>245</v>
      </c>
    </row>
    <row r="1286" spans="1:7" x14ac:dyDescent="0.25">
      <c r="A1286" t="s">
        <v>612</v>
      </c>
      <c r="B1286" t="s">
        <v>157</v>
      </c>
      <c r="C1286" s="4">
        <f>(0.0328453630665826/(0.0328453630665826+0.350336698877979+0.0822572721273277+0.0181224344560457+0.178561789731549)) * 2.06079856336346%</f>
        <v>1.0222816599169864E-3</v>
      </c>
      <c r="D1286" t="s">
        <v>242</v>
      </c>
      <c r="E1286" t="s">
        <v>366</v>
      </c>
      <c r="F1286" t="s">
        <v>359</v>
      </c>
      <c r="G1286" s="4" t="s">
        <v>245</v>
      </c>
    </row>
    <row r="1287" spans="1:7" x14ac:dyDescent="0.25">
      <c r="A1287" t="s">
        <v>612</v>
      </c>
      <c r="B1287" t="s">
        <v>157</v>
      </c>
      <c r="C1287" s="4">
        <f>(0.350336698877979/(0.0328453630665826+0.350336698877979+0.0822572721273277+0.0181224344560457+0.178561789731549)) * 2.06079856336346%</f>
        <v>1.090390693300626E-2</v>
      </c>
      <c r="D1287" t="s">
        <v>256</v>
      </c>
      <c r="E1287" t="s">
        <v>364</v>
      </c>
      <c r="F1287" t="s">
        <v>359</v>
      </c>
      <c r="G1287" s="4" t="s">
        <v>245</v>
      </c>
    </row>
    <row r="1288" spans="1:7" x14ac:dyDescent="0.25">
      <c r="A1288" t="s">
        <v>612</v>
      </c>
      <c r="B1288" t="s">
        <v>157</v>
      </c>
      <c r="C1288" s="4">
        <f>(0.0822572721273277/(0.0328453630665826+0.350336698877979+0.0822572721273277+0.0181224344560457+0.178561789731549)) * 2.06079856336346%</f>
        <v>2.5601817985724269E-3</v>
      </c>
      <c r="D1288" t="s">
        <v>256</v>
      </c>
      <c r="E1288" t="s">
        <v>361</v>
      </c>
      <c r="F1288" t="s">
        <v>359</v>
      </c>
      <c r="G1288" s="4" t="s">
        <v>245</v>
      </c>
    </row>
    <row r="1289" spans="1:7" x14ac:dyDescent="0.25">
      <c r="A1289" t="s">
        <v>612</v>
      </c>
      <c r="B1289" t="s">
        <v>157</v>
      </c>
      <c r="C1289" s="4">
        <f>(0.0181224344560457/(0.0328453630665826+0.350336698877979+0.0822572721273277+0.0181224344560457+0.178561789731549)) * 2.06079856336346%</f>
        <v>5.6404407343306462E-4</v>
      </c>
      <c r="D1289" t="s">
        <v>256</v>
      </c>
      <c r="E1289" t="s">
        <v>280</v>
      </c>
      <c r="F1289" t="s">
        <v>359</v>
      </c>
      <c r="G1289" s="4" t="s">
        <v>245</v>
      </c>
    </row>
    <row r="1290" spans="1:7" x14ac:dyDescent="0.25">
      <c r="A1290" t="s">
        <v>612</v>
      </c>
      <c r="B1290" t="s">
        <v>157</v>
      </c>
      <c r="C1290" s="4">
        <f>(0.178561789731549/(0.0328453630665826+0.350336698877979+0.0822572721273277+0.0181224344560457+0.178561789731549)) * 2.06079856336346%</f>
        <v>5.5575711687058608E-3</v>
      </c>
      <c r="D1290" t="s">
        <v>256</v>
      </c>
      <c r="E1290" t="s">
        <v>362</v>
      </c>
      <c r="F1290" t="s">
        <v>359</v>
      </c>
      <c r="G1290" s="4" t="s">
        <v>245</v>
      </c>
    </row>
    <row r="1291" spans="1:7" x14ac:dyDescent="0.25">
      <c r="A1291" t="s">
        <v>612</v>
      </c>
      <c r="B1291" t="s">
        <v>207</v>
      </c>
      <c r="C1291" s="4">
        <f>(0.0328453630665826/(0.0328453630665826+0.350336698877979+0.0822572721273277+0.0181224344560457+0.178561789731549)) * 0.710212580689732%</f>
        <v>3.5230871604279929E-4</v>
      </c>
      <c r="D1291" t="s">
        <v>242</v>
      </c>
      <c r="E1291" t="s">
        <v>366</v>
      </c>
      <c r="F1291" t="s">
        <v>359</v>
      </c>
      <c r="G1291" s="4" t="s">
        <v>245</v>
      </c>
    </row>
    <row r="1292" spans="1:7" x14ac:dyDescent="0.25">
      <c r="A1292" t="s">
        <v>612</v>
      </c>
      <c r="B1292" t="s">
        <v>207</v>
      </c>
      <c r="C1292" s="4">
        <f>(0.350336698877979/(0.0328453630665826+0.350336698877979+0.0822572721273277+0.0181224344560457+0.178561789731549)) * 0.710212580689732%</f>
        <v>3.7578111806579437E-3</v>
      </c>
      <c r="D1292" t="s">
        <v>256</v>
      </c>
      <c r="E1292" t="s">
        <v>364</v>
      </c>
      <c r="F1292" t="s">
        <v>359</v>
      </c>
      <c r="G1292" s="4" t="s">
        <v>245</v>
      </c>
    </row>
    <row r="1293" spans="1:7" x14ac:dyDescent="0.25">
      <c r="A1293" t="s">
        <v>612</v>
      </c>
      <c r="B1293" t="s">
        <v>207</v>
      </c>
      <c r="C1293" s="4">
        <f>(0.0822572721273277/(0.0328453630665826+0.350336698877979+0.0822572721273277+0.0181224344560457+0.178561789731549)) * 0.710212580689732%</f>
        <v>8.8231492127564966E-4</v>
      </c>
      <c r="D1293" t="s">
        <v>256</v>
      </c>
      <c r="E1293" t="s">
        <v>361</v>
      </c>
      <c r="F1293" t="s">
        <v>359</v>
      </c>
      <c r="G1293" s="4" t="s">
        <v>245</v>
      </c>
    </row>
    <row r="1294" spans="1:7" x14ac:dyDescent="0.25">
      <c r="A1294" t="s">
        <v>612</v>
      </c>
      <c r="B1294" t="s">
        <v>207</v>
      </c>
      <c r="C1294" s="4">
        <f>(0.0181224344560457/(0.0328453630665826+0.350336698877979+0.0822572721273277+0.0181224344560457+0.178561789731549)) * 0.710212580689732%</f>
        <v>1.9438639182756161E-4</v>
      </c>
      <c r="D1294" t="s">
        <v>256</v>
      </c>
      <c r="E1294" t="s">
        <v>280</v>
      </c>
      <c r="F1294" t="s">
        <v>359</v>
      </c>
      <c r="G1294" s="4" t="s">
        <v>245</v>
      </c>
    </row>
    <row r="1295" spans="1:7" x14ac:dyDescent="0.25">
      <c r="A1295" t="s">
        <v>612</v>
      </c>
      <c r="B1295" t="s">
        <v>207</v>
      </c>
      <c r="C1295" s="4">
        <f>(0.178561789731549/(0.0328453630665826+0.350336698877979+0.0822572721273277+0.0181224344560457+0.178561789731549)) * 0.710212580689732%</f>
        <v>1.9153045970933666E-3</v>
      </c>
      <c r="D1295" t="s">
        <v>256</v>
      </c>
      <c r="E1295" t="s">
        <v>362</v>
      </c>
      <c r="F1295" t="s">
        <v>359</v>
      </c>
      <c r="G1295" s="4" t="s">
        <v>245</v>
      </c>
    </row>
    <row r="1296" spans="1:7" x14ac:dyDescent="0.25">
      <c r="A1296" t="s">
        <v>612</v>
      </c>
      <c r="B1296" t="s">
        <v>138</v>
      </c>
      <c r="C1296" s="4">
        <v>2.4576394924513069E-3</v>
      </c>
      <c r="D1296" t="s">
        <v>313</v>
      </c>
      <c r="E1296" t="s">
        <v>336</v>
      </c>
      <c r="F1296" t="s">
        <v>359</v>
      </c>
      <c r="G1296" s="4" t="s">
        <v>245</v>
      </c>
    </row>
    <row r="1297" spans="1:7" x14ac:dyDescent="0.25">
      <c r="A1297" t="s">
        <v>612</v>
      </c>
      <c r="B1297" t="s">
        <v>208</v>
      </c>
      <c r="C1297" s="4">
        <f>(0.0328453630665826/(0.0328453630665826+0.350336698877979+0.0822572721273277+0.0181224344560457+0.178561789731549)) * 0.000108558308869015%</f>
        <v>5.3851536079911705E-8</v>
      </c>
      <c r="D1297" t="s">
        <v>242</v>
      </c>
      <c r="E1297" t="s">
        <v>366</v>
      </c>
      <c r="F1297" t="s">
        <v>359</v>
      </c>
      <c r="G1297" s="4" t="s">
        <v>245</v>
      </c>
    </row>
    <row r="1298" spans="1:7" x14ac:dyDescent="0.25">
      <c r="A1298" t="s">
        <v>612</v>
      </c>
      <c r="B1298" t="s">
        <v>208</v>
      </c>
      <c r="C1298" s="4">
        <f>(0.350336698877979/(0.0328453630665826+0.350336698877979+0.0822572721273277+0.0181224344560457+0.178561789731549)) * 0.000108558308869015%</f>
        <v>5.743936926956789E-7</v>
      </c>
      <c r="D1298" t="s">
        <v>256</v>
      </c>
      <c r="E1298" t="s">
        <v>364</v>
      </c>
      <c r="F1298" t="s">
        <v>359</v>
      </c>
      <c r="G1298" s="4" t="s">
        <v>245</v>
      </c>
    </row>
    <row r="1299" spans="1:7" x14ac:dyDescent="0.25">
      <c r="A1299" t="s">
        <v>612</v>
      </c>
      <c r="B1299" t="s">
        <v>208</v>
      </c>
      <c r="C1299" s="4">
        <f>(0.0822572721273277/(0.0328453630665826+0.350336698877979+0.0822572721273277+0.0181224344560457+0.178561789731549)) * 0.000108558308869015%</f>
        <v>1.348647128308571E-7</v>
      </c>
      <c r="D1299" t="s">
        <v>256</v>
      </c>
      <c r="E1299" t="s">
        <v>361</v>
      </c>
      <c r="F1299" t="s">
        <v>359</v>
      </c>
      <c r="G1299" s="4" t="s">
        <v>245</v>
      </c>
    </row>
    <row r="1300" spans="1:7" x14ac:dyDescent="0.25">
      <c r="A1300" t="s">
        <v>612</v>
      </c>
      <c r="B1300" t="s">
        <v>208</v>
      </c>
      <c r="C1300" s="4">
        <f>(0.0181224344560457/(0.0328453630665826+0.350336698877979+0.0822572721273277+0.0181224344560457+0.178561789731549)) * 0.000108558308869015%</f>
        <v>2.9712593859511866E-8</v>
      </c>
      <c r="D1300" t="s">
        <v>256</v>
      </c>
      <c r="E1300" t="s">
        <v>280</v>
      </c>
      <c r="F1300" t="s">
        <v>359</v>
      </c>
      <c r="G1300" s="4" t="s">
        <v>245</v>
      </c>
    </row>
    <row r="1301" spans="1:7" x14ac:dyDescent="0.25">
      <c r="A1301" t="s">
        <v>612</v>
      </c>
      <c r="B1301" t="s">
        <v>208</v>
      </c>
      <c r="C1301" s="4">
        <f>(0.178561789731549/(0.0328453630665826+0.350336698877979+0.0822572721273277+0.0181224344560457+0.178561789731549)) * 0.000108558308869015%</f>
        <v>2.9276055322419054E-7</v>
      </c>
      <c r="D1301" t="s">
        <v>256</v>
      </c>
      <c r="E1301" t="s">
        <v>362</v>
      </c>
      <c r="F1301" t="s">
        <v>359</v>
      </c>
      <c r="G1301" s="4" t="s">
        <v>245</v>
      </c>
    </row>
    <row r="1302" spans="1:7" x14ac:dyDescent="0.25">
      <c r="A1302" t="s">
        <v>612</v>
      </c>
      <c r="B1302" t="s">
        <v>139</v>
      </c>
      <c r="C1302" s="4">
        <f>(0.0328453630665826/(0.0328453630665826+0.350336698877979+0.0822572721273277+0.0181224344560457+0.178561789731549)) * 0.22432971426066%</f>
        <v>1.1128120755713304E-4</v>
      </c>
      <c r="D1302" t="s">
        <v>242</v>
      </c>
      <c r="E1302" t="s">
        <v>366</v>
      </c>
      <c r="F1302" t="s">
        <v>359</v>
      </c>
      <c r="G1302" s="4" t="s">
        <v>245</v>
      </c>
    </row>
    <row r="1303" spans="1:7" x14ac:dyDescent="0.25">
      <c r="A1303" t="s">
        <v>612</v>
      </c>
      <c r="B1303" t="s">
        <v>139</v>
      </c>
      <c r="C1303" s="4">
        <f>(0.350336698877979/(0.0328453630665826+0.350336698877979+0.0822572721273277+0.0181224344560457+0.178561789731549)) * 0.22432971426066%</f>
        <v>1.1869526551949146E-3</v>
      </c>
      <c r="D1303" t="s">
        <v>256</v>
      </c>
      <c r="E1303" t="s">
        <v>364</v>
      </c>
      <c r="F1303" t="s">
        <v>359</v>
      </c>
      <c r="G1303" s="4" t="s">
        <v>245</v>
      </c>
    </row>
    <row r="1304" spans="1:7" x14ac:dyDescent="0.25">
      <c r="A1304" t="s">
        <v>612</v>
      </c>
      <c r="B1304" t="s">
        <v>139</v>
      </c>
      <c r="C1304" s="4">
        <f>(0.0822572721273277/(0.0328453630665826+0.350336698877979+0.0822572721273277+0.0181224344560457+0.178561789731549)) * 0.22432971426066%</f>
        <v>2.7869043658091991E-4</v>
      </c>
      <c r="D1304" t="s">
        <v>256</v>
      </c>
      <c r="E1304" t="s">
        <v>361</v>
      </c>
      <c r="F1304" t="s">
        <v>359</v>
      </c>
      <c r="G1304" s="4" t="s">
        <v>245</v>
      </c>
    </row>
    <row r="1305" spans="1:7" x14ac:dyDescent="0.25">
      <c r="A1305" t="s">
        <v>612</v>
      </c>
      <c r="B1305" t="s">
        <v>139</v>
      </c>
      <c r="C1305" s="4">
        <f>(0.0181224344560457/(0.0328453630665826+0.350336698877979+0.0822572721273277+0.0181224344560457+0.178561789731549)) * 0.22432971426066%</f>
        <v>6.1399424511022376E-5</v>
      </c>
      <c r="D1305" t="s">
        <v>256</v>
      </c>
      <c r="E1305" t="s">
        <v>280</v>
      </c>
      <c r="F1305" t="s">
        <v>359</v>
      </c>
      <c r="G1305" s="4" t="s">
        <v>245</v>
      </c>
    </row>
    <row r="1306" spans="1:7" x14ac:dyDescent="0.25">
      <c r="A1306" t="s">
        <v>612</v>
      </c>
      <c r="B1306" t="s">
        <v>139</v>
      </c>
      <c r="C1306" s="4">
        <f>(0.178561789731549/(0.0328453630665826+0.350336698877979+0.0822572721273277+0.0181224344560457+0.178561789731549)) * 0.22432971426066%</f>
        <v>6.0497341876261039E-4</v>
      </c>
      <c r="D1306" t="s">
        <v>256</v>
      </c>
      <c r="E1306" t="s">
        <v>362</v>
      </c>
      <c r="F1306" t="s">
        <v>359</v>
      </c>
      <c r="G1306" s="4" t="s">
        <v>245</v>
      </c>
    </row>
    <row r="1307" spans="1:7" x14ac:dyDescent="0.25">
      <c r="A1307" t="s">
        <v>612</v>
      </c>
      <c r="B1307" t="s">
        <v>111</v>
      </c>
      <c r="C1307" s="4">
        <v>1.485722984164177E-2</v>
      </c>
      <c r="D1307" t="s">
        <v>365</v>
      </c>
      <c r="E1307" t="s">
        <v>358</v>
      </c>
      <c r="F1307" t="s">
        <v>359</v>
      </c>
      <c r="G1307" s="4" t="s">
        <v>245</v>
      </c>
    </row>
    <row r="1308" spans="1:7" x14ac:dyDescent="0.25">
      <c r="A1308" t="s">
        <v>612</v>
      </c>
      <c r="B1308" t="s">
        <v>209</v>
      </c>
      <c r="C1308" s="4">
        <f>(0.0328453630665826/(0.0328453630665826+0.350336698877979+0.0822572721273277+0.0181224344560457+0.178561789731549)) * 0.361861029563383%</f>
        <v>1.7950512026637216E-4</v>
      </c>
      <c r="D1308" t="s">
        <v>242</v>
      </c>
      <c r="E1308" t="s">
        <v>366</v>
      </c>
      <c r="F1308" t="s">
        <v>359</v>
      </c>
      <c r="G1308" s="4" t="s">
        <v>245</v>
      </c>
    </row>
    <row r="1309" spans="1:7" x14ac:dyDescent="0.25">
      <c r="A1309" t="s">
        <v>612</v>
      </c>
      <c r="B1309" t="s">
        <v>209</v>
      </c>
      <c r="C1309" s="4">
        <f>(0.350336698877979/(0.0328453630665826+0.350336698877979+0.0822572721273277+0.0181224344560457+0.178561789731549)) * 0.361861029563383%</f>
        <v>1.9146456423189278E-3</v>
      </c>
      <c r="D1309" t="s">
        <v>256</v>
      </c>
      <c r="E1309" t="s">
        <v>364</v>
      </c>
      <c r="F1309" t="s">
        <v>359</v>
      </c>
      <c r="G1309" s="4" t="s">
        <v>245</v>
      </c>
    </row>
    <row r="1310" spans="1:7" x14ac:dyDescent="0.25">
      <c r="A1310" t="s">
        <v>612</v>
      </c>
      <c r="B1310" t="s">
        <v>209</v>
      </c>
      <c r="C1310" s="4">
        <f>(0.0822572721273277/(0.0328453630665826+0.350336698877979+0.0822572721273277+0.0181224344560457+0.178561789731549)) * 0.361861029563383%</f>
        <v>4.4954904276952321E-4</v>
      </c>
      <c r="D1310" t="s">
        <v>256</v>
      </c>
      <c r="E1310" t="s">
        <v>361</v>
      </c>
      <c r="F1310" t="s">
        <v>359</v>
      </c>
      <c r="G1310" s="4" t="s">
        <v>245</v>
      </c>
    </row>
    <row r="1311" spans="1:7" x14ac:dyDescent="0.25">
      <c r="A1311" t="s">
        <v>612</v>
      </c>
      <c r="B1311" t="s">
        <v>209</v>
      </c>
      <c r="C1311" s="4">
        <f>(0.0181224344560457/(0.0328453630665826+0.350336698877979+0.0822572721273277+0.0181224344560457+0.178561789731549)) * 0.361861029563383%</f>
        <v>9.9041979531706116E-5</v>
      </c>
      <c r="D1311" t="s">
        <v>256</v>
      </c>
      <c r="E1311" t="s">
        <v>280</v>
      </c>
      <c r="F1311" t="s">
        <v>359</v>
      </c>
      <c r="G1311" s="4" t="s">
        <v>245</v>
      </c>
    </row>
    <row r="1312" spans="1:7" x14ac:dyDescent="0.25">
      <c r="A1312" t="s">
        <v>612</v>
      </c>
      <c r="B1312" t="s">
        <v>209</v>
      </c>
      <c r="C1312" s="4">
        <f>(0.178561789731549/(0.0328453630665826+0.350336698877979+0.0822572721273277+0.0181224344560457+0.178561789731549)) * 0.361861029563383%</f>
        <v>9.7586851074730075E-4</v>
      </c>
      <c r="D1312" t="s">
        <v>256</v>
      </c>
      <c r="E1312" t="s">
        <v>362</v>
      </c>
      <c r="F1312" t="s">
        <v>359</v>
      </c>
      <c r="G1312" s="4" t="s">
        <v>245</v>
      </c>
    </row>
    <row r="1313" spans="1:7" x14ac:dyDescent="0.25">
      <c r="A1313" t="s">
        <v>612</v>
      </c>
      <c r="B1313" t="s">
        <v>112</v>
      </c>
      <c r="C1313" s="4">
        <f>(0.0328453630665826/(0.0328453630665826+0.350336698877979+0.0822572721273277+0.0181224344560457+0.178561789731549)) * 1.02816780533276%</f>
        <v>5.1003388171685276E-4</v>
      </c>
      <c r="D1313" t="s">
        <v>242</v>
      </c>
      <c r="E1313" t="s">
        <v>366</v>
      </c>
      <c r="F1313" t="s">
        <v>359</v>
      </c>
      <c r="G1313" s="4" t="s">
        <v>245</v>
      </c>
    </row>
    <row r="1314" spans="1:7" x14ac:dyDescent="0.25">
      <c r="A1314" t="s">
        <v>612</v>
      </c>
      <c r="B1314" t="s">
        <v>112</v>
      </c>
      <c r="C1314" s="4">
        <f>(0.350336698877979/(0.0328453630665826+0.350336698877979+0.0822572721273277+0.0181224344560457+0.178561789731549)) * 1.02816780533276%</f>
        <v>5.4401464850421868E-3</v>
      </c>
      <c r="D1314" t="s">
        <v>256</v>
      </c>
      <c r="E1314" t="s">
        <v>364</v>
      </c>
      <c r="F1314" t="s">
        <v>359</v>
      </c>
      <c r="G1314" s="4" t="s">
        <v>245</v>
      </c>
    </row>
    <row r="1315" spans="1:7" x14ac:dyDescent="0.25">
      <c r="A1315" t="s">
        <v>612</v>
      </c>
      <c r="B1315" t="s">
        <v>112</v>
      </c>
      <c r="C1315" s="4">
        <f>(0.0822572721273277/(0.0328453630665826+0.350336698877979+0.0822572721273277+0.0181224344560457+0.178561789731549)) * 1.02816780533276%</f>
        <v>1.2773186801891402E-3</v>
      </c>
      <c r="D1315" t="s">
        <v>256</v>
      </c>
      <c r="E1315" t="s">
        <v>361</v>
      </c>
      <c r="F1315" t="s">
        <v>359</v>
      </c>
      <c r="G1315" s="4" t="s">
        <v>245</v>
      </c>
    </row>
    <row r="1316" spans="1:7" x14ac:dyDescent="0.25">
      <c r="A1316" t="s">
        <v>612</v>
      </c>
      <c r="B1316" t="s">
        <v>112</v>
      </c>
      <c r="C1316" s="4">
        <f>(0.0181224344560457/(0.0328453630665826+0.350336698877979+0.0822572721273277+0.0181224344560457+0.178561789731549)) * 1.02816780533276%</f>
        <v>2.8141127784275468E-4</v>
      </c>
      <c r="D1316" t="s">
        <v>256</v>
      </c>
      <c r="E1316" t="s">
        <v>280</v>
      </c>
      <c r="F1316" t="s">
        <v>359</v>
      </c>
      <c r="G1316" s="4" t="s">
        <v>245</v>
      </c>
    </row>
    <row r="1317" spans="1:7" x14ac:dyDescent="0.25">
      <c r="A1317" t="s">
        <v>612</v>
      </c>
      <c r="B1317" t="s">
        <v>112</v>
      </c>
      <c r="C1317" s="4">
        <f>(0.178561789731549/(0.0328453630665826+0.350336698877979+0.0822572721273277+0.0181224344560457+0.178561789731549)) * 1.02816780533276%</f>
        <v>2.7727677285366674E-3</v>
      </c>
      <c r="D1317" t="s">
        <v>256</v>
      </c>
      <c r="E1317" t="s">
        <v>362</v>
      </c>
      <c r="F1317" t="s">
        <v>359</v>
      </c>
      <c r="G1317" s="4" t="s">
        <v>245</v>
      </c>
    </row>
    <row r="1318" spans="1:7" x14ac:dyDescent="0.25">
      <c r="A1318" t="s">
        <v>612</v>
      </c>
      <c r="B1318" t="s">
        <v>113</v>
      </c>
      <c r="C1318" s="4">
        <v>6.2896512992529796E-2</v>
      </c>
      <c r="D1318" t="s">
        <v>276</v>
      </c>
      <c r="E1318" t="s">
        <v>358</v>
      </c>
      <c r="F1318" t="s">
        <v>359</v>
      </c>
      <c r="G1318" s="4" t="s">
        <v>245</v>
      </c>
    </row>
    <row r="1319" spans="1:7" x14ac:dyDescent="0.25">
      <c r="A1319" t="s">
        <v>612</v>
      </c>
      <c r="B1319" t="s">
        <v>142</v>
      </c>
      <c r="C1319" s="4">
        <f>(0.0328453630665826/(0.0328453630665826+0.350336698877979+0.0822572721273277+0.0181224344560457+0.178561789731549)) * 0.000241240686375588%</f>
        <v>1.196700801775811E-7</v>
      </c>
      <c r="D1319" t="s">
        <v>242</v>
      </c>
      <c r="E1319" t="s">
        <v>366</v>
      </c>
      <c r="F1319" t="s">
        <v>359</v>
      </c>
      <c r="G1319" s="4" t="s">
        <v>245</v>
      </c>
    </row>
    <row r="1320" spans="1:7" x14ac:dyDescent="0.25">
      <c r="A1320" t="s">
        <v>612</v>
      </c>
      <c r="B1320" t="s">
        <v>142</v>
      </c>
      <c r="C1320" s="4">
        <f>(0.350336698877979/(0.0328453630665826+0.350336698877979+0.0822572721273277+0.0181224344560457+0.178561789731549)) * 0.000241240686375588%</f>
        <v>1.276430428212615E-6</v>
      </c>
      <c r="D1320" t="s">
        <v>256</v>
      </c>
      <c r="E1320" t="s">
        <v>364</v>
      </c>
      <c r="F1320" t="s">
        <v>359</v>
      </c>
      <c r="G1320" s="4" t="s">
        <v>245</v>
      </c>
    </row>
    <row r="1321" spans="1:7" x14ac:dyDescent="0.25">
      <c r="A1321" t="s">
        <v>612</v>
      </c>
      <c r="B1321" t="s">
        <v>142</v>
      </c>
      <c r="C1321" s="4">
        <f>(0.0822572721273277/(0.0328453630665826+0.350336698877979+0.0822572721273277+0.0181224344560457+0.178561789731549)) * 0.000241240686375588%</f>
        <v>2.9969936184634799E-7</v>
      </c>
      <c r="D1321" t="s">
        <v>256</v>
      </c>
      <c r="E1321" t="s">
        <v>361</v>
      </c>
      <c r="F1321" t="s">
        <v>359</v>
      </c>
      <c r="G1321" s="4" t="s">
        <v>245</v>
      </c>
    </row>
    <row r="1322" spans="1:7" x14ac:dyDescent="0.25">
      <c r="A1322" t="s">
        <v>612</v>
      </c>
      <c r="B1322" t="s">
        <v>142</v>
      </c>
      <c r="C1322" s="4">
        <f>(0.0181224344560457/(0.0328453630665826+0.350336698877979+0.0822572721273277+0.0181224344560457+0.178561789731549)) * 0.000241240686375588%</f>
        <v>6.6027986354470559E-8</v>
      </c>
      <c r="D1322" t="s">
        <v>256</v>
      </c>
      <c r="E1322" t="s">
        <v>280</v>
      </c>
      <c r="F1322" t="s">
        <v>359</v>
      </c>
      <c r="G1322" s="4" t="s">
        <v>245</v>
      </c>
    </row>
    <row r="1323" spans="1:7" x14ac:dyDescent="0.25">
      <c r="A1323" t="s">
        <v>612</v>
      </c>
      <c r="B1323" t="s">
        <v>142</v>
      </c>
      <c r="C1323" s="4">
        <f>(0.178561789731549/(0.0328453630665826+0.350336698877979+0.0822572721273277+0.0181224344560457+0.178561789731549)) * 0.000241240686375588%</f>
        <v>6.5057900716486537E-7</v>
      </c>
      <c r="D1323" t="s">
        <v>256</v>
      </c>
      <c r="E1323" t="s">
        <v>362</v>
      </c>
      <c r="F1323" t="s">
        <v>359</v>
      </c>
      <c r="G1323" s="4" t="s">
        <v>245</v>
      </c>
    </row>
    <row r="1324" spans="1:7" x14ac:dyDescent="0.25">
      <c r="A1324" t="s">
        <v>612</v>
      </c>
      <c r="B1324" t="s">
        <v>140</v>
      </c>
      <c r="C1324" s="4">
        <f>(0.0328453630665826/(0.0328453630665826+0.350336698877979+0.0822572721273277+0.0181224344560457+0.178561789731549)) * 0.000946869694024185%</f>
        <v>4.6970506469700698E-7</v>
      </c>
      <c r="D1324" t="s">
        <v>242</v>
      </c>
      <c r="E1324" t="s">
        <v>366</v>
      </c>
      <c r="F1324" t="s">
        <v>359</v>
      </c>
      <c r="G1324" s="4" t="s">
        <v>245</v>
      </c>
    </row>
    <row r="1325" spans="1:7" x14ac:dyDescent="0.25">
      <c r="A1325" t="s">
        <v>612</v>
      </c>
      <c r="B1325" t="s">
        <v>140</v>
      </c>
      <c r="C1325" s="4">
        <f>(0.350336698877979/(0.0328453630665826+0.350336698877979+0.0822572721273277+0.0181224344560457+0.178561789731549)) * 0.000946869694024185%</f>
        <v>5.0099894307345252E-6</v>
      </c>
      <c r="D1325" t="s">
        <v>256</v>
      </c>
      <c r="E1325" t="s">
        <v>364</v>
      </c>
      <c r="F1325" t="s">
        <v>359</v>
      </c>
      <c r="G1325" s="4" t="s">
        <v>245</v>
      </c>
    </row>
    <row r="1326" spans="1:7" x14ac:dyDescent="0.25">
      <c r="A1326" t="s">
        <v>612</v>
      </c>
      <c r="B1326" t="s">
        <v>140</v>
      </c>
      <c r="C1326" s="4">
        <f>(0.0822572721273277/(0.0328453630665826+0.350336698877979+0.0822572721273277+0.0181224344560457+0.178561789731549)) * 0.000946869694024185%</f>
        <v>1.1763199952469186E-6</v>
      </c>
      <c r="D1326" t="s">
        <v>256</v>
      </c>
      <c r="E1326" t="s">
        <v>361</v>
      </c>
      <c r="F1326" t="s">
        <v>359</v>
      </c>
      <c r="G1326" s="4" t="s">
        <v>245</v>
      </c>
    </row>
    <row r="1327" spans="1:7" x14ac:dyDescent="0.25">
      <c r="A1327" t="s">
        <v>612</v>
      </c>
      <c r="B1327" t="s">
        <v>140</v>
      </c>
      <c r="C1327" s="4">
        <f>(0.0181224344560457/(0.0328453630665826+0.350336698877979+0.0822572721273277+0.0181224344560457+0.178561789731549)) * 0.000946869694024185%</f>
        <v>2.5915984644129757E-7</v>
      </c>
      <c r="D1327" t="s">
        <v>256</v>
      </c>
      <c r="E1327" t="s">
        <v>280</v>
      </c>
      <c r="F1327" t="s">
        <v>359</v>
      </c>
      <c r="G1327" s="4" t="s">
        <v>245</v>
      </c>
    </row>
    <row r="1328" spans="1:7" x14ac:dyDescent="0.25">
      <c r="A1328" t="s">
        <v>612</v>
      </c>
      <c r="B1328" t="s">
        <v>140</v>
      </c>
      <c r="C1328" s="4">
        <f>(0.178561789731549/(0.0328453630665826+0.350336698877979+0.0822572721273277+0.0181224344560457+0.178561789731549)) * 0.000946869694024185%</f>
        <v>2.5535226031221025E-6</v>
      </c>
      <c r="D1328" t="s">
        <v>256</v>
      </c>
      <c r="E1328" t="s">
        <v>362</v>
      </c>
      <c r="F1328" t="s">
        <v>359</v>
      </c>
      <c r="G1328" s="4" t="s">
        <v>245</v>
      </c>
    </row>
    <row r="1329" spans="1:7" x14ac:dyDescent="0.25">
      <c r="A1329" t="s">
        <v>612</v>
      </c>
      <c r="B1329" t="s">
        <v>210</v>
      </c>
      <c r="C1329" s="4">
        <f>(0.0328453630665826/(0.0328453630665826+0.350336698877979+0.0822572721273277+0.0181224344560457+0.178561789731549)) * 0.00920936320238809%</f>
        <v>4.568405310779168E-6</v>
      </c>
      <c r="D1329" t="s">
        <v>242</v>
      </c>
      <c r="E1329" t="s">
        <v>366</v>
      </c>
      <c r="F1329" t="s">
        <v>359</v>
      </c>
      <c r="G1329" s="4" t="s">
        <v>245</v>
      </c>
    </row>
    <row r="1330" spans="1:7" x14ac:dyDescent="0.25">
      <c r="A1330" t="s">
        <v>612</v>
      </c>
      <c r="B1330" t="s">
        <v>210</v>
      </c>
      <c r="C1330" s="4">
        <f>(0.350336698877979/(0.0328453630665826+0.350336698877979+0.0822572721273277+0.0181224344560457+0.178561789731549)) * 0.00920936320238809%</f>
        <v>4.8727731597016674E-5</v>
      </c>
      <c r="D1330" t="s">
        <v>256</v>
      </c>
      <c r="E1330" t="s">
        <v>364</v>
      </c>
      <c r="F1330" t="s">
        <v>359</v>
      </c>
      <c r="G1330" s="4" t="s">
        <v>245</v>
      </c>
    </row>
    <row r="1331" spans="1:7" x14ac:dyDescent="0.25">
      <c r="A1331" t="s">
        <v>612</v>
      </c>
      <c r="B1331" t="s">
        <v>210</v>
      </c>
      <c r="C1331" s="4">
        <f>(0.0822572721273277/(0.0328453630665826+0.350336698877979+0.0822572721273277+0.0181224344560457+0.178561789731549)) * 0.00920936320238809%</f>
        <v>1.1441023138484358E-5</v>
      </c>
      <c r="D1331" t="s">
        <v>256</v>
      </c>
      <c r="E1331" t="s">
        <v>361</v>
      </c>
      <c r="F1331" t="s">
        <v>359</v>
      </c>
      <c r="G1331" s="4" t="s">
        <v>245</v>
      </c>
    </row>
    <row r="1332" spans="1:7" x14ac:dyDescent="0.25">
      <c r="A1332" t="s">
        <v>612</v>
      </c>
      <c r="B1332" t="s">
        <v>210</v>
      </c>
      <c r="C1332" s="4">
        <f>(0.0181224344560457/(0.0328453630665826+0.350336698877979+0.0822572721273277+0.0181224344560457+0.178561789731549)) * 0.00920936320238809%</f>
        <v>2.520618379081919E-6</v>
      </c>
      <c r="D1332" t="s">
        <v>256</v>
      </c>
      <c r="E1332" t="s">
        <v>280</v>
      </c>
      <c r="F1332" t="s">
        <v>359</v>
      </c>
      <c r="G1332" s="4" t="s">
        <v>245</v>
      </c>
    </row>
    <row r="1333" spans="1:7" x14ac:dyDescent="0.25">
      <c r="A1333" t="s">
        <v>612</v>
      </c>
      <c r="B1333" t="s">
        <v>210</v>
      </c>
      <c r="C1333" s="4">
        <f>(0.178561789731549/(0.0328453630665826+0.350336698877979+0.0822572721273277+0.0181224344560457+0.178561789731549)) * 0.00920936320238809%</f>
        <v>2.4835853598518788E-5</v>
      </c>
      <c r="D1333" t="s">
        <v>256</v>
      </c>
      <c r="E1333" t="s">
        <v>362</v>
      </c>
      <c r="F1333" t="s">
        <v>359</v>
      </c>
      <c r="G1333" s="4" t="s">
        <v>245</v>
      </c>
    </row>
    <row r="1334" spans="1:7" x14ac:dyDescent="0.25">
      <c r="A1334" t="s">
        <v>612</v>
      </c>
      <c r="B1334" t="s">
        <v>180</v>
      </c>
      <c r="C1334" s="4">
        <f>(0.0328453630665826/(0.0328453630665826+0.350336698877979+0.0822572721273277+0.0181224344560457+0.178561789731549)) * 2.89860334307725%</f>
        <v>1.4378838813657131E-3</v>
      </c>
      <c r="D1334" t="s">
        <v>242</v>
      </c>
      <c r="E1334" t="s">
        <v>366</v>
      </c>
      <c r="F1334" t="s">
        <v>359</v>
      </c>
      <c r="G1334" s="4" t="s">
        <v>245</v>
      </c>
    </row>
    <row r="1335" spans="1:7" x14ac:dyDescent="0.25">
      <c r="A1335" t="s">
        <v>612</v>
      </c>
      <c r="B1335" t="s">
        <v>180</v>
      </c>
      <c r="C1335" s="4">
        <f>(0.350336698877979/(0.0328453630665826+0.350336698877979+0.0822572721273277+0.0181224344560457+0.178561789731549)) * 2.89860334307725%</f>
        <v>1.5336822167145908E-2</v>
      </c>
      <c r="D1335" t="s">
        <v>256</v>
      </c>
      <c r="E1335" t="s">
        <v>364</v>
      </c>
      <c r="F1335" t="s">
        <v>359</v>
      </c>
      <c r="G1335" s="4" t="s">
        <v>245</v>
      </c>
    </row>
    <row r="1336" spans="1:7" x14ac:dyDescent="0.25">
      <c r="A1336" t="s">
        <v>612</v>
      </c>
      <c r="B1336" t="s">
        <v>180</v>
      </c>
      <c r="C1336" s="4">
        <f>(0.0822572721273277/(0.0328453630665826+0.350336698877979+0.0822572721273277+0.0181224344560457+0.178561789731549)) * 2.89860334307725%</f>
        <v>3.6010077123286221E-3</v>
      </c>
      <c r="D1336" t="s">
        <v>256</v>
      </c>
      <c r="E1336" t="s">
        <v>361</v>
      </c>
      <c r="F1336" t="s">
        <v>359</v>
      </c>
      <c r="G1336" s="4" t="s">
        <v>245</v>
      </c>
    </row>
    <row r="1337" spans="1:7" x14ac:dyDescent="0.25">
      <c r="A1337" t="s">
        <v>612</v>
      </c>
      <c r="B1337" t="s">
        <v>180</v>
      </c>
      <c r="C1337" s="4">
        <f>(0.0181224344560457/(0.0328453630665826+0.350336698877979+0.0822572721273277+0.0181224344560457+0.178561789731549)) * 2.89860334307725%</f>
        <v>7.9335266724350848E-4</v>
      </c>
      <c r="D1337" t="s">
        <v>256</v>
      </c>
      <c r="E1337" t="s">
        <v>280</v>
      </c>
      <c r="F1337" t="s">
        <v>359</v>
      </c>
      <c r="G1337" s="4" t="s">
        <v>245</v>
      </c>
    </row>
    <row r="1338" spans="1:7" x14ac:dyDescent="0.25">
      <c r="A1338" t="s">
        <v>612</v>
      </c>
      <c r="B1338" t="s">
        <v>180</v>
      </c>
      <c r="C1338" s="4">
        <f>(0.178561789731549/(0.0328453630665826+0.350336698877979+0.0822572721273277+0.0181224344560457+0.178561789731549)) * 2.89860334307725%</f>
        <v>7.8169670026887513E-3</v>
      </c>
      <c r="D1338" t="s">
        <v>256</v>
      </c>
      <c r="E1338" t="s">
        <v>362</v>
      </c>
      <c r="F1338" t="s">
        <v>359</v>
      </c>
      <c r="G1338" s="4" t="s">
        <v>245</v>
      </c>
    </row>
    <row r="1339" spans="1:7" x14ac:dyDescent="0.25">
      <c r="A1339" t="s">
        <v>612</v>
      </c>
      <c r="B1339" t="s">
        <v>114</v>
      </c>
      <c r="C1339" s="4">
        <f>(0.0328453630665826/(0.0328453630665826+0.350336698877979+0.0822572721273277+0.0181224344560457+0.178561789731549)) * 0.329625242846445%</f>
        <v>1.6351420580264288E-4</v>
      </c>
      <c r="D1339" t="s">
        <v>242</v>
      </c>
      <c r="E1339" t="s">
        <v>366</v>
      </c>
      <c r="F1339" t="s">
        <v>359</v>
      </c>
      <c r="G1339" s="4" t="s">
        <v>245</v>
      </c>
    </row>
    <row r="1340" spans="1:7" x14ac:dyDescent="0.25">
      <c r="A1340" t="s">
        <v>612</v>
      </c>
      <c r="B1340" t="s">
        <v>114</v>
      </c>
      <c r="C1340" s="4">
        <f>(0.350336698877979/(0.0328453630665826+0.350336698877979+0.0822572721273277+0.0181224344560457+0.178561789731549)) * 0.329625242846445%</f>
        <v>1.7440826263490168E-3</v>
      </c>
      <c r="D1340" t="s">
        <v>256</v>
      </c>
      <c r="E1340" t="s">
        <v>364</v>
      </c>
      <c r="F1340" t="s">
        <v>359</v>
      </c>
      <c r="G1340" s="4" t="s">
        <v>245</v>
      </c>
    </row>
    <row r="1341" spans="1:7" x14ac:dyDescent="0.25">
      <c r="A1341" t="s">
        <v>612</v>
      </c>
      <c r="B1341" t="s">
        <v>114</v>
      </c>
      <c r="C1341" s="4">
        <f>(0.0822572721273277/(0.0328453630665826+0.350336698877979+0.0822572721273277+0.0181224344560457+0.178561789731549)) * 0.329625242846445%</f>
        <v>4.0950171554280491E-4</v>
      </c>
      <c r="D1341" t="s">
        <v>256</v>
      </c>
      <c r="E1341" t="s">
        <v>361</v>
      </c>
      <c r="F1341" t="s">
        <v>359</v>
      </c>
      <c r="G1341" s="4" t="s">
        <v>245</v>
      </c>
    </row>
    <row r="1342" spans="1:7" x14ac:dyDescent="0.25">
      <c r="A1342" t="s">
        <v>612</v>
      </c>
      <c r="B1342" t="s">
        <v>114</v>
      </c>
      <c r="C1342" s="4">
        <f>(0.0181224344560457/(0.0328453630665826+0.350336698877979+0.0822572721273277+0.0181224344560457+0.178561789731549)) * 0.329625242846445%</f>
        <v>9.021898985508998E-5</v>
      </c>
      <c r="D1342" t="s">
        <v>256</v>
      </c>
      <c r="E1342" t="s">
        <v>280</v>
      </c>
      <c r="F1342" t="s">
        <v>359</v>
      </c>
      <c r="G1342" s="4" t="s">
        <v>245</v>
      </c>
    </row>
    <row r="1343" spans="1:7" x14ac:dyDescent="0.25">
      <c r="A1343" t="s">
        <v>612</v>
      </c>
      <c r="B1343" t="s">
        <v>114</v>
      </c>
      <c r="C1343" s="4">
        <f>(0.178561789731549/(0.0328453630665826+0.350336698877979+0.0822572721273277+0.0181224344560457+0.178561789731549)) * 0.329625242846445%</f>
        <v>8.8893489091489554E-4</v>
      </c>
      <c r="D1343" t="s">
        <v>256</v>
      </c>
      <c r="E1343" t="s">
        <v>362</v>
      </c>
      <c r="F1343" t="s">
        <v>359</v>
      </c>
      <c r="G1343" s="4" t="s">
        <v>245</v>
      </c>
    </row>
    <row r="1344" spans="1:7" x14ac:dyDescent="0.25">
      <c r="A1344" t="s">
        <v>612</v>
      </c>
      <c r="B1344" t="s">
        <v>115</v>
      </c>
      <c r="C1344" s="4">
        <f>(0.0328453630665826/(0.0328453630665826+0.350336698877979+0.0822572721273277+0.0181224344560457+0.178561789731549)) * 0.0174296395906363%</f>
        <v>8.6461632928302682E-6</v>
      </c>
      <c r="D1344" t="s">
        <v>242</v>
      </c>
      <c r="E1344" t="s">
        <v>366</v>
      </c>
      <c r="F1344" t="s">
        <v>359</v>
      </c>
      <c r="G1344" s="4" t="s">
        <v>245</v>
      </c>
    </row>
    <row r="1345" spans="1:8" x14ac:dyDescent="0.25">
      <c r="A1345" t="s">
        <v>612</v>
      </c>
      <c r="B1345" t="s">
        <v>115</v>
      </c>
      <c r="C1345" s="4">
        <f>(0.350336698877979/(0.0328453630665826+0.350336698877979+0.0822572721273277+0.0181224344560457+0.178561789731549)) * 0.0174296395906363%</f>
        <v>9.222209843836179E-5</v>
      </c>
      <c r="D1345" t="s">
        <v>256</v>
      </c>
      <c r="E1345" t="s">
        <v>364</v>
      </c>
      <c r="F1345" t="s">
        <v>359</v>
      </c>
      <c r="G1345" s="4" t="s">
        <v>245</v>
      </c>
    </row>
    <row r="1346" spans="1:8" x14ac:dyDescent="0.25">
      <c r="A1346" t="s">
        <v>612</v>
      </c>
      <c r="B1346" t="s">
        <v>115</v>
      </c>
      <c r="C1346" s="4">
        <f>(0.0822572721273277/(0.0328453630665826+0.350336698877979+0.0822572721273277+0.0181224344560457+0.178561789731549)) * 0.0174296395906363%</f>
        <v>2.1653278893398726E-5</v>
      </c>
      <c r="D1346" t="s">
        <v>256</v>
      </c>
      <c r="E1346" t="s">
        <v>361</v>
      </c>
      <c r="F1346" t="s">
        <v>359</v>
      </c>
      <c r="G1346" s="4" t="s">
        <v>245</v>
      </c>
    </row>
    <row r="1347" spans="1:8" x14ac:dyDescent="0.25">
      <c r="A1347" t="s">
        <v>612</v>
      </c>
      <c r="B1347" t="s">
        <v>115</v>
      </c>
      <c r="C1347" s="4">
        <f>(0.0181224344560457/(0.0328453630665826+0.350336698877979+0.0822572721273277+0.0181224344560457+0.178561789731549)) * 0.0174296395906363%</f>
        <v>4.7705220141105165E-6</v>
      </c>
      <c r="D1347" t="s">
        <v>256</v>
      </c>
      <c r="E1347" t="s">
        <v>280</v>
      </c>
      <c r="F1347" t="s">
        <v>359</v>
      </c>
      <c r="G1347" s="4" t="s">
        <v>245</v>
      </c>
    </row>
    <row r="1348" spans="1:8" x14ac:dyDescent="0.25">
      <c r="A1348" t="s">
        <v>612</v>
      </c>
      <c r="B1348" t="s">
        <v>115</v>
      </c>
      <c r="C1348" s="4">
        <f>(0.178561789731549/(0.0328453630665826+0.350336698877979+0.0822572721273277+0.0181224344560457+0.178561789731549)) * 0.0174296395906363%</f>
        <v>4.700433326766171E-5</v>
      </c>
      <c r="D1348" t="s">
        <v>256</v>
      </c>
      <c r="E1348" t="s">
        <v>362</v>
      </c>
      <c r="F1348" t="s">
        <v>359</v>
      </c>
      <c r="G1348" s="4" t="s">
        <v>245</v>
      </c>
    </row>
    <row r="1349" spans="1:8" x14ac:dyDescent="0.25">
      <c r="A1349" t="s">
        <v>612</v>
      </c>
      <c r="B1349" t="s">
        <v>143</v>
      </c>
      <c r="C1349" s="4">
        <f>(0.0328453630665826/(0.0328453630665826+0.350336698877979+0.0822572721273277+0.0181224344560457+0.178561789731549)) * 0.126168878974433%</f>
        <v>6.2587451932875158E-5</v>
      </c>
      <c r="D1349" t="s">
        <v>242</v>
      </c>
      <c r="E1349" t="s">
        <v>366</v>
      </c>
      <c r="F1349" t="s">
        <v>359</v>
      </c>
      <c r="G1349" s="4" t="s">
        <v>245</v>
      </c>
    </row>
    <row r="1350" spans="1:8" x14ac:dyDescent="0.25">
      <c r="A1350" t="s">
        <v>612</v>
      </c>
      <c r="B1350" t="s">
        <v>143</v>
      </c>
      <c r="C1350" s="4">
        <f>(0.350336698877979/(0.0328453630665826+0.350336698877979+0.0822572721273277+0.0181224344560457+0.178561789731549)) * 0.126168878974433%</f>
        <v>6.6757311395520018E-4</v>
      </c>
      <c r="D1350" t="s">
        <v>256</v>
      </c>
      <c r="E1350" t="s">
        <v>364</v>
      </c>
      <c r="F1350" t="s">
        <v>359</v>
      </c>
      <c r="G1350" s="4" t="s">
        <v>245</v>
      </c>
    </row>
    <row r="1351" spans="1:8" x14ac:dyDescent="0.25">
      <c r="A1351" t="s">
        <v>612</v>
      </c>
      <c r="B1351" t="s">
        <v>143</v>
      </c>
      <c r="C1351" s="4">
        <f>(0.0822572721273277/(0.0328453630665826+0.350336698877979+0.0822572721273277+0.0181224344560457+0.178561789731549)) * 0.126168878974433%</f>
        <v>1.5674276624564058E-4</v>
      </c>
      <c r="D1351" t="s">
        <v>256</v>
      </c>
      <c r="E1351" t="s">
        <v>361</v>
      </c>
      <c r="F1351" t="s">
        <v>359</v>
      </c>
      <c r="G1351" s="4" t="s">
        <v>245</v>
      </c>
    </row>
    <row r="1352" spans="1:8" x14ac:dyDescent="0.25">
      <c r="A1352" t="s">
        <v>612</v>
      </c>
      <c r="B1352" t="s">
        <v>143</v>
      </c>
      <c r="C1352" s="4">
        <f>(0.0181224344560457/(0.0328453630665826+0.350336698877979+0.0822572721273277+0.0181224344560457+0.178561789731549)) * 0.126168878974433%</f>
        <v>3.4532636863388239E-5</v>
      </c>
      <c r="D1352" t="s">
        <v>256</v>
      </c>
      <c r="E1352" t="s">
        <v>280</v>
      </c>
      <c r="F1352" t="s">
        <v>359</v>
      </c>
      <c r="G1352" s="4" t="s">
        <v>245</v>
      </c>
    </row>
    <row r="1353" spans="1:8" x14ac:dyDescent="0.25">
      <c r="A1353" t="s">
        <v>612</v>
      </c>
      <c r="B1353" t="s">
        <v>143</v>
      </c>
      <c r="C1353" s="4">
        <f>(0.178561789731549/(0.0328453630665826+0.350336698877979+0.0822572721273277+0.0181224344560457+0.178561789731549)) * 0.126168878974433%</f>
        <v>3.4025282074722591E-4</v>
      </c>
      <c r="D1353" t="s">
        <v>256</v>
      </c>
      <c r="E1353" t="s">
        <v>362</v>
      </c>
      <c r="F1353" t="s">
        <v>359</v>
      </c>
      <c r="G1353" s="4" t="s">
        <v>245</v>
      </c>
    </row>
    <row r="1354" spans="1:8" x14ac:dyDescent="0.25">
      <c r="A1354" t="s">
        <v>612</v>
      </c>
      <c r="B1354" t="s">
        <v>158</v>
      </c>
      <c r="C1354" s="4">
        <f>(0.0328453630665826/(0.0328453630665826+0.350336698877979+0.0822572721273277+0.0181224344560457+0.178561789731549)) * 0.848938037390015%</f>
        <v>4.2112499564891785E-4</v>
      </c>
      <c r="D1354" t="s">
        <v>242</v>
      </c>
      <c r="E1354" t="s">
        <v>366</v>
      </c>
      <c r="F1354" t="s">
        <v>359</v>
      </c>
      <c r="G1354" s="4" t="s">
        <v>245</v>
      </c>
    </row>
    <row r="1355" spans="1:8" x14ac:dyDescent="0.25">
      <c r="A1355" t="s">
        <v>612</v>
      </c>
      <c r="B1355" t="s">
        <v>158</v>
      </c>
      <c r="C1355" s="4">
        <f>(0.350336698877979/(0.0328453630665826+0.350336698877979+0.0822572721273277+0.0181224344560457+0.178561789731549)) * 0.848938037390015%</f>
        <v>4.4918224984016137E-3</v>
      </c>
      <c r="D1355" t="s">
        <v>256</v>
      </c>
      <c r="E1355" t="s">
        <v>364</v>
      </c>
      <c r="F1355" t="s">
        <v>359</v>
      </c>
      <c r="G1355" s="4" t="s">
        <v>245</v>
      </c>
    </row>
    <row r="1356" spans="1:8" x14ac:dyDescent="0.25">
      <c r="A1356" t="s">
        <v>612</v>
      </c>
      <c r="B1356" t="s">
        <v>158</v>
      </c>
      <c r="C1356" s="4">
        <f>(0.0822572721273277/(0.0328453630665826+0.350336698877979+0.0822572721273277+0.0181224344560457+0.178561789731549)) * 0.848938037390015%</f>
        <v>1.0546570393053934E-3</v>
      </c>
      <c r="D1356" t="s">
        <v>256</v>
      </c>
      <c r="E1356" t="s">
        <v>361</v>
      </c>
      <c r="F1356" t="s">
        <v>359</v>
      </c>
      <c r="G1356" s="4" t="s">
        <v>245</v>
      </c>
    </row>
    <row r="1357" spans="1:8" x14ac:dyDescent="0.25">
      <c r="A1357" t="s">
        <v>612</v>
      </c>
      <c r="B1357" t="s">
        <v>158</v>
      </c>
      <c r="C1357" s="4">
        <f>(0.0181224344560457/(0.0328453630665826+0.350336698877979+0.0822572721273277+0.0181224344560457+0.178561789731549)) * 0.848938037390015%</f>
        <v>2.3235578538070021E-4</v>
      </c>
      <c r="D1357" t="s">
        <v>256</v>
      </c>
      <c r="E1357" t="s">
        <v>280</v>
      </c>
      <c r="F1357" t="s">
        <v>359</v>
      </c>
      <c r="G1357" s="4" t="s">
        <v>245</v>
      </c>
    </row>
    <row r="1358" spans="1:8" x14ac:dyDescent="0.25">
      <c r="A1358" t="s">
        <v>612</v>
      </c>
      <c r="B1358" t="s">
        <v>158</v>
      </c>
      <c r="C1358" s="4">
        <f>(0.178561789731549/(0.0328453630665826+0.350336698877979+0.0822572721273277+0.0181224344560457+0.178561789731549)) * 0.848938037390015%</f>
        <v>2.2894200551635251E-3</v>
      </c>
      <c r="D1358" t="s">
        <v>256</v>
      </c>
      <c r="E1358" t="s">
        <v>362</v>
      </c>
      <c r="F1358" t="s">
        <v>359</v>
      </c>
      <c r="G1358" s="4" t="s">
        <v>245</v>
      </c>
    </row>
    <row r="1359" spans="1:8" x14ac:dyDescent="0.25">
      <c r="A1359" t="s">
        <v>343</v>
      </c>
      <c r="B1359" t="s">
        <v>181</v>
      </c>
      <c r="C1359" s="4">
        <v>1.828702309123199E-2</v>
      </c>
      <c r="D1359" t="s">
        <v>254</v>
      </c>
      <c r="E1359" t="s">
        <v>344</v>
      </c>
      <c r="F1359" t="s">
        <v>343</v>
      </c>
      <c r="G1359" t="s">
        <v>245</v>
      </c>
      <c r="H1359" t="s">
        <v>351</v>
      </c>
    </row>
    <row r="1360" spans="1:8" x14ac:dyDescent="0.25">
      <c r="A1360" t="s">
        <v>350</v>
      </c>
      <c r="B1360" t="s">
        <v>181</v>
      </c>
      <c r="D1360" t="s">
        <v>254</v>
      </c>
      <c r="E1360" t="s">
        <v>349</v>
      </c>
      <c r="F1360" t="s">
        <v>350</v>
      </c>
      <c r="G1360" t="s">
        <v>245</v>
      </c>
    </row>
    <row r="1361" spans="1:7" x14ac:dyDescent="0.25">
      <c r="A1361" t="s">
        <v>346</v>
      </c>
      <c r="B1361" t="s">
        <v>181</v>
      </c>
      <c r="D1361" t="s">
        <v>254</v>
      </c>
      <c r="E1361" t="s">
        <v>345</v>
      </c>
      <c r="F1361" t="s">
        <v>346</v>
      </c>
      <c r="G1361" t="s">
        <v>245</v>
      </c>
    </row>
    <row r="1362" spans="1:7" x14ac:dyDescent="0.25">
      <c r="A1362" t="s">
        <v>348</v>
      </c>
      <c r="B1362" t="s">
        <v>181</v>
      </c>
      <c r="D1362" t="s">
        <v>254</v>
      </c>
      <c r="E1362" t="s">
        <v>347</v>
      </c>
      <c r="F1362" t="s">
        <v>348</v>
      </c>
      <c r="G1362" t="s">
        <v>245</v>
      </c>
    </row>
    <row r="1363" spans="1:7" x14ac:dyDescent="0.25">
      <c r="A1363" t="s">
        <v>343</v>
      </c>
      <c r="B1363" t="s">
        <v>85</v>
      </c>
      <c r="C1363" s="4">
        <v>8.3704449717884016E-2</v>
      </c>
      <c r="D1363" t="s">
        <v>254</v>
      </c>
      <c r="E1363" t="s">
        <v>344</v>
      </c>
      <c r="F1363" t="s">
        <v>343</v>
      </c>
      <c r="G1363" t="s">
        <v>245</v>
      </c>
    </row>
    <row r="1364" spans="1:7" x14ac:dyDescent="0.25">
      <c r="A1364" t="s">
        <v>350</v>
      </c>
      <c r="B1364" t="s">
        <v>85</v>
      </c>
      <c r="D1364" t="s">
        <v>254</v>
      </c>
      <c r="E1364" t="s">
        <v>349</v>
      </c>
      <c r="F1364" t="s">
        <v>350</v>
      </c>
      <c r="G1364" t="s">
        <v>245</v>
      </c>
    </row>
    <row r="1365" spans="1:7" x14ac:dyDescent="0.25">
      <c r="A1365" t="s">
        <v>346</v>
      </c>
      <c r="B1365" t="s">
        <v>85</v>
      </c>
      <c r="D1365" t="s">
        <v>254</v>
      </c>
      <c r="E1365" t="s">
        <v>345</v>
      </c>
      <c r="F1365" t="s">
        <v>346</v>
      </c>
      <c r="G1365" t="s">
        <v>245</v>
      </c>
    </row>
    <row r="1366" spans="1:7" x14ac:dyDescent="0.25">
      <c r="A1366" t="s">
        <v>348</v>
      </c>
      <c r="B1366" t="s">
        <v>85</v>
      </c>
      <c r="D1366" t="s">
        <v>254</v>
      </c>
      <c r="E1366" t="s">
        <v>347</v>
      </c>
      <c r="F1366" t="s">
        <v>348</v>
      </c>
      <c r="G1366" t="s">
        <v>245</v>
      </c>
    </row>
    <row r="1367" spans="1:7" x14ac:dyDescent="0.25">
      <c r="A1367" t="s">
        <v>343</v>
      </c>
      <c r="B1367" t="s">
        <v>116</v>
      </c>
      <c r="C1367" s="4">
        <v>9.3384664953835485E-3</v>
      </c>
      <c r="D1367" t="s">
        <v>254</v>
      </c>
      <c r="E1367" t="s">
        <v>344</v>
      </c>
      <c r="F1367" t="s">
        <v>343</v>
      </c>
      <c r="G1367" t="s">
        <v>245</v>
      </c>
    </row>
    <row r="1368" spans="1:7" x14ac:dyDescent="0.25">
      <c r="A1368" t="s">
        <v>350</v>
      </c>
      <c r="B1368" t="s">
        <v>116</v>
      </c>
      <c r="D1368" t="s">
        <v>254</v>
      </c>
      <c r="E1368" t="s">
        <v>349</v>
      </c>
      <c r="F1368" t="s">
        <v>350</v>
      </c>
      <c r="G1368" t="s">
        <v>245</v>
      </c>
    </row>
    <row r="1369" spans="1:7" x14ac:dyDescent="0.25">
      <c r="A1369" t="s">
        <v>346</v>
      </c>
      <c r="B1369" t="s">
        <v>116</v>
      </c>
      <c r="D1369" t="s">
        <v>254</v>
      </c>
      <c r="E1369" t="s">
        <v>345</v>
      </c>
      <c r="F1369" t="s">
        <v>346</v>
      </c>
      <c r="G1369" t="s">
        <v>245</v>
      </c>
    </row>
    <row r="1370" spans="1:7" x14ac:dyDescent="0.25">
      <c r="A1370" t="s">
        <v>348</v>
      </c>
      <c r="B1370" t="s">
        <v>116</v>
      </c>
      <c r="D1370" t="s">
        <v>254</v>
      </c>
      <c r="E1370" t="s">
        <v>347</v>
      </c>
      <c r="F1370" t="s">
        <v>348</v>
      </c>
      <c r="G1370" t="s">
        <v>245</v>
      </c>
    </row>
    <row r="1371" spans="1:7" x14ac:dyDescent="0.25">
      <c r="A1371" t="s">
        <v>343</v>
      </c>
      <c r="B1371" t="s">
        <v>86</v>
      </c>
      <c r="C1371" s="4">
        <v>0.63977923351248933</v>
      </c>
      <c r="D1371" t="s">
        <v>254</v>
      </c>
      <c r="E1371" t="s">
        <v>344</v>
      </c>
      <c r="F1371" t="s">
        <v>343</v>
      </c>
      <c r="G1371" t="s">
        <v>245</v>
      </c>
    </row>
    <row r="1372" spans="1:7" x14ac:dyDescent="0.25">
      <c r="A1372" t="s">
        <v>350</v>
      </c>
      <c r="B1372" t="s">
        <v>86</v>
      </c>
      <c r="D1372" t="s">
        <v>254</v>
      </c>
      <c r="E1372" t="s">
        <v>349</v>
      </c>
      <c r="F1372" t="s">
        <v>350</v>
      </c>
      <c r="G1372" t="s">
        <v>245</v>
      </c>
    </row>
    <row r="1373" spans="1:7" x14ac:dyDescent="0.25">
      <c r="A1373" t="s">
        <v>346</v>
      </c>
      <c r="B1373" t="s">
        <v>86</v>
      </c>
      <c r="D1373" t="s">
        <v>254</v>
      </c>
      <c r="E1373" t="s">
        <v>345</v>
      </c>
      <c r="F1373" t="s">
        <v>346</v>
      </c>
      <c r="G1373" t="s">
        <v>245</v>
      </c>
    </row>
    <row r="1374" spans="1:7" x14ac:dyDescent="0.25">
      <c r="A1374" t="s">
        <v>348</v>
      </c>
      <c r="B1374" t="s">
        <v>86</v>
      </c>
      <c r="D1374" t="s">
        <v>254</v>
      </c>
      <c r="E1374" t="s">
        <v>347</v>
      </c>
      <c r="F1374" t="s">
        <v>348</v>
      </c>
      <c r="G1374" t="s">
        <v>245</v>
      </c>
    </row>
    <row r="1375" spans="1:7" x14ac:dyDescent="0.25">
      <c r="A1375" t="s">
        <v>343</v>
      </c>
      <c r="B1375" t="s">
        <v>117</v>
      </c>
      <c r="C1375" s="4">
        <v>2.0259675727895491E-4</v>
      </c>
      <c r="D1375" t="s">
        <v>254</v>
      </c>
      <c r="E1375" t="s">
        <v>344</v>
      </c>
      <c r="F1375" t="s">
        <v>343</v>
      </c>
      <c r="G1375" t="s">
        <v>245</v>
      </c>
    </row>
    <row r="1376" spans="1:7" x14ac:dyDescent="0.25">
      <c r="A1376" t="s">
        <v>350</v>
      </c>
      <c r="B1376" t="s">
        <v>117</v>
      </c>
      <c r="D1376" t="s">
        <v>254</v>
      </c>
      <c r="E1376" t="s">
        <v>349</v>
      </c>
      <c r="F1376" t="s">
        <v>350</v>
      </c>
      <c r="G1376" t="s">
        <v>245</v>
      </c>
    </row>
    <row r="1377" spans="1:7" x14ac:dyDescent="0.25">
      <c r="A1377" t="s">
        <v>346</v>
      </c>
      <c r="B1377" t="s">
        <v>117</v>
      </c>
      <c r="D1377" t="s">
        <v>254</v>
      </c>
      <c r="E1377" t="s">
        <v>345</v>
      </c>
      <c r="F1377" t="s">
        <v>346</v>
      </c>
      <c r="G1377" t="s">
        <v>245</v>
      </c>
    </row>
    <row r="1378" spans="1:7" x14ac:dyDescent="0.25">
      <c r="A1378" t="s">
        <v>348</v>
      </c>
      <c r="B1378" t="s">
        <v>117</v>
      </c>
      <c r="D1378" t="s">
        <v>254</v>
      </c>
      <c r="E1378" t="s">
        <v>347</v>
      </c>
      <c r="F1378" t="s">
        <v>348</v>
      </c>
      <c r="G1378" t="s">
        <v>245</v>
      </c>
    </row>
    <row r="1379" spans="1:7" x14ac:dyDescent="0.25">
      <c r="A1379" t="s">
        <v>343</v>
      </c>
      <c r="B1379" t="s">
        <v>97</v>
      </c>
      <c r="C1379" s="4">
        <v>2.8921220250932082E-2</v>
      </c>
      <c r="D1379" t="s">
        <v>254</v>
      </c>
      <c r="E1379" t="s">
        <v>344</v>
      </c>
      <c r="F1379" t="s">
        <v>343</v>
      </c>
      <c r="G1379" t="s">
        <v>245</v>
      </c>
    </row>
    <row r="1380" spans="1:7" x14ac:dyDescent="0.25">
      <c r="A1380" t="s">
        <v>350</v>
      </c>
      <c r="B1380" t="s">
        <v>97</v>
      </c>
      <c r="D1380" t="s">
        <v>254</v>
      </c>
      <c r="E1380" t="s">
        <v>349</v>
      </c>
      <c r="F1380" t="s">
        <v>350</v>
      </c>
      <c r="G1380" t="s">
        <v>245</v>
      </c>
    </row>
    <row r="1381" spans="1:7" x14ac:dyDescent="0.25">
      <c r="A1381" t="s">
        <v>346</v>
      </c>
      <c r="B1381" t="s">
        <v>97</v>
      </c>
      <c r="D1381" t="s">
        <v>254</v>
      </c>
      <c r="E1381" t="s">
        <v>345</v>
      </c>
      <c r="F1381" t="s">
        <v>346</v>
      </c>
      <c r="G1381" t="s">
        <v>245</v>
      </c>
    </row>
    <row r="1382" spans="1:7" x14ac:dyDescent="0.25">
      <c r="A1382" t="s">
        <v>348</v>
      </c>
      <c r="B1382" t="s">
        <v>97</v>
      </c>
      <c r="D1382" t="s">
        <v>254</v>
      </c>
      <c r="E1382" t="s">
        <v>347</v>
      </c>
      <c r="F1382" t="s">
        <v>348</v>
      </c>
      <c r="G1382" t="s">
        <v>245</v>
      </c>
    </row>
    <row r="1383" spans="1:7" x14ac:dyDescent="0.25">
      <c r="A1383" t="s">
        <v>343</v>
      </c>
      <c r="B1383" t="s">
        <v>149</v>
      </c>
      <c r="C1383" s="4">
        <v>5.153777158850608E-2</v>
      </c>
      <c r="D1383" t="s">
        <v>254</v>
      </c>
      <c r="E1383" t="s">
        <v>344</v>
      </c>
      <c r="F1383" t="s">
        <v>343</v>
      </c>
      <c r="G1383" t="s">
        <v>245</v>
      </c>
    </row>
    <row r="1384" spans="1:7" x14ac:dyDescent="0.25">
      <c r="A1384" t="s">
        <v>350</v>
      </c>
      <c r="B1384" t="s">
        <v>149</v>
      </c>
      <c r="D1384" t="s">
        <v>254</v>
      </c>
      <c r="E1384" t="s">
        <v>349</v>
      </c>
      <c r="F1384" t="s">
        <v>350</v>
      </c>
      <c r="G1384" t="s">
        <v>245</v>
      </c>
    </row>
    <row r="1385" spans="1:7" x14ac:dyDescent="0.25">
      <c r="A1385" t="s">
        <v>346</v>
      </c>
      <c r="B1385" t="s">
        <v>149</v>
      </c>
      <c r="D1385" t="s">
        <v>254</v>
      </c>
      <c r="E1385" t="s">
        <v>345</v>
      </c>
      <c r="F1385" t="s">
        <v>346</v>
      </c>
      <c r="G1385" t="s">
        <v>245</v>
      </c>
    </row>
    <row r="1386" spans="1:7" x14ac:dyDescent="0.25">
      <c r="A1386" t="s">
        <v>348</v>
      </c>
      <c r="B1386" t="s">
        <v>149</v>
      </c>
      <c r="D1386" t="s">
        <v>254</v>
      </c>
      <c r="E1386" t="s">
        <v>347</v>
      </c>
      <c r="F1386" t="s">
        <v>348</v>
      </c>
      <c r="G1386" t="s">
        <v>245</v>
      </c>
    </row>
    <row r="1387" spans="1:7" x14ac:dyDescent="0.25">
      <c r="A1387" t="s">
        <v>343</v>
      </c>
      <c r="B1387" t="s">
        <v>141</v>
      </c>
      <c r="C1387" s="4">
        <v>4.8329989598255962E-2</v>
      </c>
      <c r="D1387" t="s">
        <v>254</v>
      </c>
      <c r="E1387" t="s">
        <v>344</v>
      </c>
      <c r="F1387" t="s">
        <v>343</v>
      </c>
      <c r="G1387" t="s">
        <v>245</v>
      </c>
    </row>
    <row r="1388" spans="1:7" x14ac:dyDescent="0.25">
      <c r="A1388" t="s">
        <v>350</v>
      </c>
      <c r="B1388" t="s">
        <v>141</v>
      </c>
      <c r="D1388" t="s">
        <v>254</v>
      </c>
      <c r="E1388" t="s">
        <v>349</v>
      </c>
      <c r="F1388" t="s">
        <v>350</v>
      </c>
      <c r="G1388" t="s">
        <v>245</v>
      </c>
    </row>
    <row r="1389" spans="1:7" x14ac:dyDescent="0.25">
      <c r="A1389" t="s">
        <v>346</v>
      </c>
      <c r="B1389" t="s">
        <v>141</v>
      </c>
      <c r="D1389" t="s">
        <v>254</v>
      </c>
      <c r="E1389" t="s">
        <v>345</v>
      </c>
      <c r="F1389" t="s">
        <v>346</v>
      </c>
      <c r="G1389" t="s">
        <v>245</v>
      </c>
    </row>
    <row r="1390" spans="1:7" x14ac:dyDescent="0.25">
      <c r="A1390" t="s">
        <v>348</v>
      </c>
      <c r="B1390" t="s">
        <v>141</v>
      </c>
      <c r="D1390" t="s">
        <v>254</v>
      </c>
      <c r="E1390" t="s">
        <v>347</v>
      </c>
      <c r="F1390" t="s">
        <v>348</v>
      </c>
      <c r="G1390" t="s">
        <v>245</v>
      </c>
    </row>
    <row r="1391" spans="1:7" x14ac:dyDescent="0.25">
      <c r="A1391" t="s">
        <v>343</v>
      </c>
      <c r="B1391" t="s">
        <v>150</v>
      </c>
      <c r="C1391" s="4">
        <v>3.6597149321451919E-3</v>
      </c>
      <c r="D1391" t="s">
        <v>254</v>
      </c>
      <c r="E1391" t="s">
        <v>344</v>
      </c>
      <c r="F1391" t="s">
        <v>343</v>
      </c>
      <c r="G1391" t="s">
        <v>245</v>
      </c>
    </row>
    <row r="1392" spans="1:7" x14ac:dyDescent="0.25">
      <c r="A1392" t="s">
        <v>350</v>
      </c>
      <c r="B1392" t="s">
        <v>150</v>
      </c>
      <c r="D1392" t="s">
        <v>254</v>
      </c>
      <c r="E1392" t="s">
        <v>349</v>
      </c>
      <c r="F1392" t="s">
        <v>350</v>
      </c>
      <c r="G1392" t="s">
        <v>245</v>
      </c>
    </row>
    <row r="1393" spans="1:7" x14ac:dyDescent="0.25">
      <c r="A1393" t="s">
        <v>346</v>
      </c>
      <c r="B1393" t="s">
        <v>150</v>
      </c>
      <c r="D1393" t="s">
        <v>254</v>
      </c>
      <c r="E1393" t="s">
        <v>345</v>
      </c>
      <c r="F1393" t="s">
        <v>346</v>
      </c>
      <c r="G1393" t="s">
        <v>245</v>
      </c>
    </row>
    <row r="1394" spans="1:7" x14ac:dyDescent="0.25">
      <c r="A1394" t="s">
        <v>348</v>
      </c>
      <c r="B1394" t="s">
        <v>150</v>
      </c>
      <c r="D1394" t="s">
        <v>254</v>
      </c>
      <c r="E1394" t="s">
        <v>347</v>
      </c>
      <c r="F1394" t="s">
        <v>348</v>
      </c>
      <c r="G1394" t="s">
        <v>245</v>
      </c>
    </row>
    <row r="1395" spans="1:7" x14ac:dyDescent="0.25">
      <c r="A1395" t="s">
        <v>343</v>
      </c>
      <c r="B1395" t="s">
        <v>105</v>
      </c>
      <c r="C1395" s="4">
        <v>5.6274448230397303E-2</v>
      </c>
      <c r="D1395" t="s">
        <v>254</v>
      </c>
      <c r="E1395" t="s">
        <v>344</v>
      </c>
      <c r="F1395" t="s">
        <v>343</v>
      </c>
      <c r="G1395" t="s">
        <v>245</v>
      </c>
    </row>
    <row r="1396" spans="1:7" x14ac:dyDescent="0.25">
      <c r="A1396" t="s">
        <v>350</v>
      </c>
      <c r="B1396" t="s">
        <v>105</v>
      </c>
      <c r="D1396" t="s">
        <v>254</v>
      </c>
      <c r="E1396" t="s">
        <v>349</v>
      </c>
      <c r="F1396" t="s">
        <v>350</v>
      </c>
      <c r="G1396" t="s">
        <v>245</v>
      </c>
    </row>
    <row r="1397" spans="1:7" x14ac:dyDescent="0.25">
      <c r="A1397" t="s">
        <v>346</v>
      </c>
      <c r="B1397" t="s">
        <v>105</v>
      </c>
      <c r="D1397" t="s">
        <v>254</v>
      </c>
      <c r="E1397" t="s">
        <v>345</v>
      </c>
      <c r="F1397" t="s">
        <v>346</v>
      </c>
      <c r="G1397" t="s">
        <v>245</v>
      </c>
    </row>
    <row r="1398" spans="1:7" x14ac:dyDescent="0.25">
      <c r="A1398" t="s">
        <v>348</v>
      </c>
      <c r="B1398" t="s">
        <v>105</v>
      </c>
      <c r="D1398" t="s">
        <v>254</v>
      </c>
      <c r="E1398" t="s">
        <v>347</v>
      </c>
      <c r="F1398" t="s">
        <v>348</v>
      </c>
      <c r="G1398" t="s">
        <v>245</v>
      </c>
    </row>
    <row r="1399" spans="1:7" x14ac:dyDescent="0.25">
      <c r="A1399" t="s">
        <v>343</v>
      </c>
      <c r="B1399" t="s">
        <v>175</v>
      </c>
      <c r="C1399" s="4">
        <v>1.0080077256896781E-3</v>
      </c>
      <c r="D1399" t="s">
        <v>254</v>
      </c>
      <c r="E1399" t="s">
        <v>344</v>
      </c>
      <c r="F1399" t="s">
        <v>343</v>
      </c>
      <c r="G1399" t="s">
        <v>245</v>
      </c>
    </row>
    <row r="1400" spans="1:7" x14ac:dyDescent="0.25">
      <c r="A1400" t="s">
        <v>350</v>
      </c>
      <c r="B1400" t="s">
        <v>175</v>
      </c>
      <c r="D1400" t="s">
        <v>254</v>
      </c>
      <c r="E1400" t="s">
        <v>349</v>
      </c>
      <c r="F1400" t="s">
        <v>350</v>
      </c>
      <c r="G1400" t="s">
        <v>245</v>
      </c>
    </row>
    <row r="1401" spans="1:7" x14ac:dyDescent="0.25">
      <c r="A1401" t="s">
        <v>346</v>
      </c>
      <c r="B1401" t="s">
        <v>175</v>
      </c>
      <c r="D1401" t="s">
        <v>254</v>
      </c>
      <c r="E1401" t="s">
        <v>345</v>
      </c>
      <c r="F1401" t="s">
        <v>346</v>
      </c>
      <c r="G1401" t="s">
        <v>245</v>
      </c>
    </row>
    <row r="1402" spans="1:7" x14ac:dyDescent="0.25">
      <c r="A1402" t="s">
        <v>348</v>
      </c>
      <c r="B1402" t="s">
        <v>175</v>
      </c>
      <c r="D1402" t="s">
        <v>254</v>
      </c>
      <c r="E1402" t="s">
        <v>347</v>
      </c>
      <c r="F1402" t="s">
        <v>348</v>
      </c>
      <c r="G1402" t="s">
        <v>245</v>
      </c>
    </row>
    <row r="1403" spans="1:7" x14ac:dyDescent="0.25">
      <c r="A1403" t="s">
        <v>343</v>
      </c>
      <c r="B1403" t="s">
        <v>132</v>
      </c>
      <c r="C1403" s="4">
        <v>8.3171300356623609E-3</v>
      </c>
      <c r="D1403" t="s">
        <v>254</v>
      </c>
      <c r="E1403" t="s">
        <v>344</v>
      </c>
      <c r="F1403" t="s">
        <v>343</v>
      </c>
      <c r="G1403" t="s">
        <v>245</v>
      </c>
    </row>
    <row r="1404" spans="1:7" x14ac:dyDescent="0.25">
      <c r="A1404" t="s">
        <v>350</v>
      </c>
      <c r="B1404" t="s">
        <v>132</v>
      </c>
      <c r="D1404" t="s">
        <v>254</v>
      </c>
      <c r="E1404" t="s">
        <v>349</v>
      </c>
      <c r="F1404" t="s">
        <v>350</v>
      </c>
      <c r="G1404" t="s">
        <v>245</v>
      </c>
    </row>
    <row r="1405" spans="1:7" x14ac:dyDescent="0.25">
      <c r="A1405" t="s">
        <v>346</v>
      </c>
      <c r="B1405" t="s">
        <v>132</v>
      </c>
      <c r="D1405" t="s">
        <v>254</v>
      </c>
      <c r="E1405" t="s">
        <v>345</v>
      </c>
      <c r="F1405" t="s">
        <v>346</v>
      </c>
      <c r="G1405" t="s">
        <v>245</v>
      </c>
    </row>
    <row r="1406" spans="1:7" x14ac:dyDescent="0.25">
      <c r="A1406" t="s">
        <v>348</v>
      </c>
      <c r="B1406" t="s">
        <v>132</v>
      </c>
      <c r="D1406" t="s">
        <v>254</v>
      </c>
      <c r="E1406" t="s">
        <v>347</v>
      </c>
      <c r="F1406" t="s">
        <v>348</v>
      </c>
      <c r="G1406" t="s">
        <v>245</v>
      </c>
    </row>
    <row r="1407" spans="1:7" x14ac:dyDescent="0.25">
      <c r="A1407" t="s">
        <v>343</v>
      </c>
      <c r="B1407" t="s">
        <v>106</v>
      </c>
      <c r="C1407" s="4">
        <v>3.2699827490638341E-4</v>
      </c>
      <c r="D1407" t="s">
        <v>254</v>
      </c>
      <c r="E1407" t="s">
        <v>344</v>
      </c>
      <c r="F1407" t="s">
        <v>343</v>
      </c>
      <c r="G1407" t="s">
        <v>245</v>
      </c>
    </row>
    <row r="1408" spans="1:7" x14ac:dyDescent="0.25">
      <c r="A1408" t="s">
        <v>350</v>
      </c>
      <c r="B1408" t="s">
        <v>106</v>
      </c>
      <c r="D1408" t="s">
        <v>254</v>
      </c>
      <c r="E1408" t="s">
        <v>349</v>
      </c>
      <c r="F1408" t="s">
        <v>350</v>
      </c>
      <c r="G1408" t="s">
        <v>245</v>
      </c>
    </row>
    <row r="1409" spans="1:7" x14ac:dyDescent="0.25">
      <c r="A1409" t="s">
        <v>346</v>
      </c>
      <c r="B1409" t="s">
        <v>106</v>
      </c>
      <c r="D1409" t="s">
        <v>254</v>
      </c>
      <c r="E1409" t="s">
        <v>345</v>
      </c>
      <c r="F1409" t="s">
        <v>346</v>
      </c>
      <c r="G1409" t="s">
        <v>245</v>
      </c>
    </row>
    <row r="1410" spans="1:7" x14ac:dyDescent="0.25">
      <c r="A1410" t="s">
        <v>348</v>
      </c>
      <c r="B1410" t="s">
        <v>106</v>
      </c>
      <c r="D1410" t="s">
        <v>254</v>
      </c>
      <c r="E1410" t="s">
        <v>347</v>
      </c>
      <c r="F1410" t="s">
        <v>348</v>
      </c>
      <c r="G1410" t="s">
        <v>245</v>
      </c>
    </row>
    <row r="1411" spans="1:7" x14ac:dyDescent="0.25">
      <c r="A1411" t="s">
        <v>343</v>
      </c>
      <c r="B1411" t="s">
        <v>107</v>
      </c>
      <c r="C1411" s="4">
        <v>2.0081959274142022E-2</v>
      </c>
      <c r="D1411" t="s">
        <v>254</v>
      </c>
      <c r="E1411" t="s">
        <v>344</v>
      </c>
      <c r="F1411" t="s">
        <v>343</v>
      </c>
      <c r="G1411" t="s">
        <v>245</v>
      </c>
    </row>
    <row r="1412" spans="1:7" x14ac:dyDescent="0.25">
      <c r="A1412" t="s">
        <v>350</v>
      </c>
      <c r="B1412" t="s">
        <v>107</v>
      </c>
      <c r="D1412" t="s">
        <v>254</v>
      </c>
      <c r="E1412" t="s">
        <v>349</v>
      </c>
      <c r="F1412" t="s">
        <v>350</v>
      </c>
      <c r="G1412" t="s">
        <v>245</v>
      </c>
    </row>
    <row r="1413" spans="1:7" x14ac:dyDescent="0.25">
      <c r="A1413" t="s">
        <v>346</v>
      </c>
      <c r="B1413" t="s">
        <v>107</v>
      </c>
      <c r="D1413" t="s">
        <v>254</v>
      </c>
      <c r="E1413" t="s">
        <v>345</v>
      </c>
      <c r="F1413" t="s">
        <v>346</v>
      </c>
      <c r="G1413" t="s">
        <v>245</v>
      </c>
    </row>
    <row r="1414" spans="1:7" x14ac:dyDescent="0.25">
      <c r="A1414" t="s">
        <v>348</v>
      </c>
      <c r="B1414" t="s">
        <v>107</v>
      </c>
      <c r="D1414" t="s">
        <v>254</v>
      </c>
      <c r="E1414" t="s">
        <v>347</v>
      </c>
      <c r="F1414" t="s">
        <v>348</v>
      </c>
      <c r="G1414" t="s">
        <v>245</v>
      </c>
    </row>
    <row r="1415" spans="1:7" x14ac:dyDescent="0.25">
      <c r="A1415" t="s">
        <v>343</v>
      </c>
      <c r="B1415" t="s">
        <v>211</v>
      </c>
      <c r="C1415" s="4">
        <v>3.4777332835016399E-3</v>
      </c>
      <c r="D1415" t="s">
        <v>254</v>
      </c>
      <c r="E1415" t="s">
        <v>344</v>
      </c>
      <c r="F1415" t="s">
        <v>343</v>
      </c>
      <c r="G1415" t="s">
        <v>245</v>
      </c>
    </row>
    <row r="1416" spans="1:7" x14ac:dyDescent="0.25">
      <c r="A1416" t="s">
        <v>350</v>
      </c>
      <c r="B1416" t="s">
        <v>211</v>
      </c>
      <c r="D1416" t="s">
        <v>254</v>
      </c>
      <c r="E1416" t="s">
        <v>349</v>
      </c>
      <c r="F1416" t="s">
        <v>350</v>
      </c>
      <c r="G1416" t="s">
        <v>245</v>
      </c>
    </row>
    <row r="1417" spans="1:7" x14ac:dyDescent="0.25">
      <c r="A1417" t="s">
        <v>346</v>
      </c>
      <c r="B1417" t="s">
        <v>211</v>
      </c>
      <c r="D1417" t="s">
        <v>254</v>
      </c>
      <c r="E1417" t="s">
        <v>345</v>
      </c>
      <c r="F1417" t="s">
        <v>346</v>
      </c>
      <c r="G1417" t="s">
        <v>245</v>
      </c>
    </row>
    <row r="1418" spans="1:7" x14ac:dyDescent="0.25">
      <c r="A1418" t="s">
        <v>348</v>
      </c>
      <c r="B1418" t="s">
        <v>211</v>
      </c>
      <c r="D1418" t="s">
        <v>254</v>
      </c>
      <c r="E1418" t="s">
        <v>347</v>
      </c>
      <c r="F1418" t="s">
        <v>348</v>
      </c>
      <c r="G1418" t="s">
        <v>245</v>
      </c>
    </row>
    <row r="1419" spans="1:7" x14ac:dyDescent="0.25">
      <c r="A1419" t="s">
        <v>343</v>
      </c>
      <c r="B1419" t="s">
        <v>112</v>
      </c>
      <c r="C1419" s="4">
        <v>1.2490445519155079E-2</v>
      </c>
      <c r="D1419" t="s">
        <v>254</v>
      </c>
      <c r="E1419" t="s">
        <v>344</v>
      </c>
      <c r="F1419" t="s">
        <v>343</v>
      </c>
      <c r="G1419" t="s">
        <v>245</v>
      </c>
    </row>
    <row r="1420" spans="1:7" x14ac:dyDescent="0.25">
      <c r="A1420" t="s">
        <v>350</v>
      </c>
      <c r="B1420" t="s">
        <v>112</v>
      </c>
      <c r="D1420" t="s">
        <v>254</v>
      </c>
      <c r="E1420" t="s">
        <v>349</v>
      </c>
      <c r="F1420" t="s">
        <v>350</v>
      </c>
      <c r="G1420" t="s">
        <v>245</v>
      </c>
    </row>
    <row r="1421" spans="1:7" x14ac:dyDescent="0.25">
      <c r="A1421" t="s">
        <v>346</v>
      </c>
      <c r="B1421" t="s">
        <v>112</v>
      </c>
      <c r="D1421" t="s">
        <v>254</v>
      </c>
      <c r="E1421" t="s">
        <v>345</v>
      </c>
      <c r="F1421" t="s">
        <v>346</v>
      </c>
      <c r="G1421" t="s">
        <v>245</v>
      </c>
    </row>
    <row r="1422" spans="1:7" x14ac:dyDescent="0.25">
      <c r="A1422" t="s">
        <v>348</v>
      </c>
      <c r="B1422" t="s">
        <v>112</v>
      </c>
      <c r="D1422" t="s">
        <v>254</v>
      </c>
      <c r="E1422" t="s">
        <v>347</v>
      </c>
      <c r="F1422" t="s">
        <v>348</v>
      </c>
      <c r="G1422" t="s">
        <v>245</v>
      </c>
    </row>
    <row r="1423" spans="1:7" x14ac:dyDescent="0.25">
      <c r="A1423" t="s">
        <v>343</v>
      </c>
      <c r="B1423" t="s">
        <v>122</v>
      </c>
      <c r="C1423" s="4">
        <v>1.383611450697635E-2</v>
      </c>
      <c r="D1423" t="s">
        <v>254</v>
      </c>
      <c r="E1423" t="s">
        <v>344</v>
      </c>
      <c r="F1423" t="s">
        <v>343</v>
      </c>
      <c r="G1423" t="s">
        <v>245</v>
      </c>
    </row>
    <row r="1424" spans="1:7" x14ac:dyDescent="0.25">
      <c r="A1424" t="s">
        <v>350</v>
      </c>
      <c r="B1424" t="s">
        <v>122</v>
      </c>
      <c r="D1424" t="s">
        <v>254</v>
      </c>
      <c r="E1424" t="s">
        <v>349</v>
      </c>
      <c r="F1424" t="s">
        <v>350</v>
      </c>
      <c r="G1424" t="s">
        <v>245</v>
      </c>
    </row>
    <row r="1425" spans="1:8" x14ac:dyDescent="0.25">
      <c r="A1425" t="s">
        <v>346</v>
      </c>
      <c r="B1425" t="s">
        <v>122</v>
      </c>
      <c r="D1425" t="s">
        <v>254</v>
      </c>
      <c r="E1425" t="s">
        <v>345</v>
      </c>
      <c r="F1425" t="s">
        <v>346</v>
      </c>
      <c r="G1425" t="s">
        <v>245</v>
      </c>
    </row>
    <row r="1426" spans="1:8" x14ac:dyDescent="0.25">
      <c r="A1426" t="s">
        <v>348</v>
      </c>
      <c r="B1426" t="s">
        <v>122</v>
      </c>
      <c r="D1426" t="s">
        <v>254</v>
      </c>
      <c r="E1426" t="s">
        <v>347</v>
      </c>
      <c r="F1426" t="s">
        <v>348</v>
      </c>
      <c r="G1426" t="s">
        <v>245</v>
      </c>
    </row>
    <row r="1427" spans="1:8" x14ac:dyDescent="0.25">
      <c r="A1427" t="s">
        <v>343</v>
      </c>
      <c r="B1427" t="s">
        <v>158</v>
      </c>
      <c r="C1427" s="4">
        <v>4.2669720546207972E-4</v>
      </c>
      <c r="D1427" t="s">
        <v>254</v>
      </c>
      <c r="E1427" t="s">
        <v>344</v>
      </c>
      <c r="F1427" t="s">
        <v>343</v>
      </c>
      <c r="G1427" t="s">
        <v>245</v>
      </c>
    </row>
    <row r="1428" spans="1:8" x14ac:dyDescent="0.25">
      <c r="A1428" t="s">
        <v>350</v>
      </c>
      <c r="B1428" t="s">
        <v>158</v>
      </c>
      <c r="D1428" t="s">
        <v>254</v>
      </c>
      <c r="E1428" t="s">
        <v>349</v>
      </c>
      <c r="F1428" t="s">
        <v>350</v>
      </c>
      <c r="G1428" t="s">
        <v>245</v>
      </c>
    </row>
    <row r="1429" spans="1:8" x14ac:dyDescent="0.25">
      <c r="A1429" t="s">
        <v>346</v>
      </c>
      <c r="B1429" t="s">
        <v>158</v>
      </c>
      <c r="D1429" t="s">
        <v>254</v>
      </c>
      <c r="E1429" t="s">
        <v>345</v>
      </c>
      <c r="F1429" t="s">
        <v>346</v>
      </c>
      <c r="G1429" t="s">
        <v>245</v>
      </c>
    </row>
    <row r="1430" spans="1:8" x14ac:dyDescent="0.25">
      <c r="A1430" t="s">
        <v>348</v>
      </c>
      <c r="B1430" t="s">
        <v>158</v>
      </c>
      <c r="D1430" t="s">
        <v>254</v>
      </c>
      <c r="E1430" t="s">
        <v>347</v>
      </c>
      <c r="F1430" t="s">
        <v>348</v>
      </c>
      <c r="G1430" t="s">
        <v>245</v>
      </c>
    </row>
    <row r="1431" spans="1:8" x14ac:dyDescent="0.25">
      <c r="A1431" t="s">
        <v>30</v>
      </c>
      <c r="B1431" t="s">
        <v>163</v>
      </c>
      <c r="C1431" s="4">
        <v>2.5086079685194301E-2</v>
      </c>
      <c r="D1431" t="s">
        <v>333</v>
      </c>
      <c r="E1431" t="s">
        <v>369</v>
      </c>
      <c r="F1431" t="s">
        <v>370</v>
      </c>
      <c r="G1431" t="s">
        <v>245</v>
      </c>
      <c r="H1431" t="s">
        <v>368</v>
      </c>
    </row>
    <row r="1432" spans="1:8" x14ac:dyDescent="0.25">
      <c r="A1432" t="s">
        <v>30</v>
      </c>
      <c r="B1432" t="s">
        <v>163</v>
      </c>
      <c r="C1432" s="4">
        <f>(0.97265536032572/(0.97265536032572+0.0269012130849672)) *2.50860796851943%</f>
        <v>2.4410934332715482E-2</v>
      </c>
      <c r="D1432" t="s">
        <v>256</v>
      </c>
      <c r="E1432" t="s">
        <v>280</v>
      </c>
      <c r="F1432" t="s">
        <v>371</v>
      </c>
      <c r="G1432" t="s">
        <v>245</v>
      </c>
      <c r="H1432" t="s">
        <v>372</v>
      </c>
    </row>
    <row r="1433" spans="1:8" s="6" customFormat="1" x14ac:dyDescent="0.25">
      <c r="A1433" t="s">
        <v>30</v>
      </c>
      <c r="B1433" t="s">
        <v>163</v>
      </c>
      <c r="C1433" s="4">
        <f>(0.0269012130849672/(0.97265536032572+0.0269012130849672)) * 2.50860796851943%</f>
        <v>6.7514535247881896E-4</v>
      </c>
      <c r="D1433" s="6" t="s">
        <v>333</v>
      </c>
      <c r="E1433" s="6" t="s">
        <v>356</v>
      </c>
      <c r="F1433" s="6" t="s">
        <v>371</v>
      </c>
      <c r="G1433" t="s">
        <v>245</v>
      </c>
    </row>
    <row r="1434" spans="1:8" x14ac:dyDescent="0.25">
      <c r="A1434" t="s">
        <v>30</v>
      </c>
      <c r="B1434" t="s">
        <v>85</v>
      </c>
      <c r="C1434" s="4">
        <v>6.1485489424495804E-3</v>
      </c>
      <c r="D1434" t="s">
        <v>256</v>
      </c>
      <c r="E1434" t="s">
        <v>369</v>
      </c>
      <c r="F1434" t="s">
        <v>370</v>
      </c>
      <c r="G1434" t="s">
        <v>245</v>
      </c>
    </row>
    <row r="1435" spans="1:8" x14ac:dyDescent="0.25">
      <c r="A1435" t="s">
        <v>30</v>
      </c>
      <c r="B1435" t="s">
        <v>85</v>
      </c>
      <c r="C1435" s="4">
        <f>(0.97265536032572/(0.97265536032572+0.0269012130849672)) * 0.614854894244958%</f>
        <v>5.9830721403714383E-3</v>
      </c>
      <c r="D1435" t="s">
        <v>256</v>
      </c>
      <c r="E1435" t="s">
        <v>280</v>
      </c>
      <c r="F1435" t="s">
        <v>371</v>
      </c>
      <c r="G1435" t="s">
        <v>245</v>
      </c>
    </row>
    <row r="1436" spans="1:8" x14ac:dyDescent="0.25">
      <c r="A1436" t="s">
        <v>30</v>
      </c>
      <c r="B1436" t="s">
        <v>85</v>
      </c>
      <c r="C1436" s="4">
        <f>(0.0269012130849672/(0.97265536032572+0.0269012130849672)) *0.614854894244958%</f>
        <v>1.6547680207814179E-4</v>
      </c>
      <c r="D1436" t="s">
        <v>256</v>
      </c>
      <c r="E1436" s="6" t="s">
        <v>356</v>
      </c>
      <c r="F1436" s="6" t="s">
        <v>371</v>
      </c>
      <c r="G1436" t="s">
        <v>245</v>
      </c>
    </row>
    <row r="1437" spans="1:8" x14ac:dyDescent="0.25">
      <c r="A1437" t="s">
        <v>30</v>
      </c>
      <c r="B1437" t="s">
        <v>116</v>
      </c>
      <c r="C1437" s="4">
        <v>7.1569109690113097E-2</v>
      </c>
      <c r="D1437" t="s">
        <v>256</v>
      </c>
      <c r="E1437" t="s">
        <v>369</v>
      </c>
      <c r="F1437" t="s">
        <v>370</v>
      </c>
      <c r="G1437" t="s">
        <v>245</v>
      </c>
    </row>
    <row r="1438" spans="1:8" x14ac:dyDescent="0.25">
      <c r="A1438" t="s">
        <v>30</v>
      </c>
      <c r="B1438" t="s">
        <v>116</v>
      </c>
      <c r="C1438" s="4">
        <f>(0.97265536032572/(0.97265536032572+0.0269012130849672)) * 7.15691096901131%</f>
        <v>6.9642959713923536E-2</v>
      </c>
      <c r="D1438" t="s">
        <v>256</v>
      </c>
      <c r="E1438" t="s">
        <v>280</v>
      </c>
      <c r="F1438" t="s">
        <v>371</v>
      </c>
      <c r="G1438" t="s">
        <v>245</v>
      </c>
    </row>
    <row r="1439" spans="1:8" x14ac:dyDescent="0.25">
      <c r="A1439" t="s">
        <v>30</v>
      </c>
      <c r="B1439" t="s">
        <v>116</v>
      </c>
      <c r="C1439" s="4">
        <f>(0.0269012130849672/(0.97265536032572+0.0269012130849672)) * 7.15691096901131%</f>
        <v>1.9261499761895702E-3</v>
      </c>
      <c r="D1439" t="s">
        <v>256</v>
      </c>
      <c r="E1439" s="6" t="s">
        <v>356</v>
      </c>
      <c r="F1439" s="6" t="s">
        <v>371</v>
      </c>
      <c r="G1439" t="s">
        <v>245</v>
      </c>
    </row>
    <row r="1440" spans="1:8" x14ac:dyDescent="0.25">
      <c r="A1440" t="s">
        <v>30</v>
      </c>
      <c r="B1440" t="s">
        <v>86</v>
      </c>
      <c r="C1440" s="4">
        <v>0.61362518445646796</v>
      </c>
      <c r="D1440" t="s">
        <v>256</v>
      </c>
      <c r="E1440" t="s">
        <v>369</v>
      </c>
      <c r="F1440" t="s">
        <v>370</v>
      </c>
      <c r="G1440" t="s">
        <v>245</v>
      </c>
    </row>
    <row r="1441" spans="1:7" x14ac:dyDescent="0.25">
      <c r="A1441" t="s">
        <v>30</v>
      </c>
      <c r="B1441" t="s">
        <v>86</v>
      </c>
      <c r="C1441" s="4">
        <f>(0.97265536032572/(0.97265536032572+0.0269012130849672)) *61.3625184456468%</f>
        <v>0.59711059960906943</v>
      </c>
      <c r="D1441" t="s">
        <v>256</v>
      </c>
      <c r="E1441" t="s">
        <v>280</v>
      </c>
      <c r="F1441" t="s">
        <v>371</v>
      </c>
      <c r="G1441" t="s">
        <v>245</v>
      </c>
    </row>
    <row r="1442" spans="1:7" x14ac:dyDescent="0.25">
      <c r="A1442" t="s">
        <v>30</v>
      </c>
      <c r="B1442" t="s">
        <v>86</v>
      </c>
      <c r="C1442" s="4">
        <f>(0.0269012130849672/(0.97265536032572+0.0269012130849672)) * 61.3625184456468%</f>
        <v>1.6514584847398549E-2</v>
      </c>
      <c r="D1442" t="s">
        <v>256</v>
      </c>
      <c r="E1442" s="6" t="s">
        <v>356</v>
      </c>
      <c r="F1442" s="6" t="s">
        <v>371</v>
      </c>
      <c r="G1442" t="s">
        <v>245</v>
      </c>
    </row>
    <row r="1443" spans="1:7" x14ac:dyDescent="0.25">
      <c r="A1443" t="s">
        <v>30</v>
      </c>
      <c r="B1443" t="s">
        <v>91</v>
      </c>
      <c r="C1443" s="4">
        <v>4.5745204131824903E-2</v>
      </c>
      <c r="D1443" t="s">
        <v>333</v>
      </c>
      <c r="E1443" t="s">
        <v>369</v>
      </c>
      <c r="F1443" t="s">
        <v>370</v>
      </c>
      <c r="G1443" t="s">
        <v>245</v>
      </c>
    </row>
    <row r="1444" spans="1:7" x14ac:dyDescent="0.25">
      <c r="A1444" t="s">
        <v>30</v>
      </c>
      <c r="B1444" t="s">
        <v>91</v>
      </c>
      <c r="C1444" s="4">
        <f>(0.97265536032572/(0.97265536032572+0.0269012130849672)) * 4.57452041318249%</f>
        <v>4.4514056724363524E-2</v>
      </c>
      <c r="D1444" t="s">
        <v>256</v>
      </c>
      <c r="E1444" t="s">
        <v>280</v>
      </c>
      <c r="F1444" t="s">
        <v>371</v>
      </c>
      <c r="G1444" t="s">
        <v>245</v>
      </c>
    </row>
    <row r="1445" spans="1:7" x14ac:dyDescent="0.25">
      <c r="A1445" t="s">
        <v>30</v>
      </c>
      <c r="B1445" t="s">
        <v>91</v>
      </c>
      <c r="C1445" s="4">
        <f>(0.0269012130849672/(0.97265536032572+0.0269012130849672)) * 4.57452041318249%</f>
        <v>1.2311474074613755E-3</v>
      </c>
      <c r="D1445" s="6" t="s">
        <v>333</v>
      </c>
      <c r="E1445" s="6" t="s">
        <v>356</v>
      </c>
      <c r="F1445" s="6" t="s">
        <v>371</v>
      </c>
      <c r="G1445" t="s">
        <v>245</v>
      </c>
    </row>
    <row r="1446" spans="1:7" x14ac:dyDescent="0.25">
      <c r="A1446" t="s">
        <v>30</v>
      </c>
      <c r="B1446" t="s">
        <v>182</v>
      </c>
      <c r="C1446" s="4">
        <v>6.1485489424495804E-3</v>
      </c>
      <c r="D1446" t="s">
        <v>333</v>
      </c>
      <c r="E1446" t="s">
        <v>369</v>
      </c>
      <c r="F1446" t="s">
        <v>370</v>
      </c>
      <c r="G1446" t="s">
        <v>245</v>
      </c>
    </row>
    <row r="1447" spans="1:7" x14ac:dyDescent="0.25">
      <c r="A1447" t="s">
        <v>30</v>
      </c>
      <c r="B1447" t="s">
        <v>182</v>
      </c>
      <c r="C1447" s="4">
        <f>(0.97265536032572/(0.97265536032572+0.0269012130849672)) * 0.614854894244958%</f>
        <v>5.9830721403714383E-3</v>
      </c>
      <c r="D1447" t="s">
        <v>256</v>
      </c>
      <c r="E1447" t="s">
        <v>280</v>
      </c>
      <c r="F1447" t="s">
        <v>371</v>
      </c>
      <c r="G1447" t="s">
        <v>245</v>
      </c>
    </row>
    <row r="1448" spans="1:7" x14ac:dyDescent="0.25">
      <c r="A1448" t="s">
        <v>30</v>
      </c>
      <c r="B1448" t="s">
        <v>182</v>
      </c>
      <c r="C1448" s="4">
        <f>(0.0269012130849672/(0.97265536032572+0.0269012130849672)) * 0.614854894244958%</f>
        <v>1.6547680207814179E-4</v>
      </c>
      <c r="D1448" s="6" t="s">
        <v>333</v>
      </c>
      <c r="E1448" s="6" t="s">
        <v>356</v>
      </c>
      <c r="F1448" s="6" t="s">
        <v>371</v>
      </c>
      <c r="G1448" t="s">
        <v>245</v>
      </c>
    </row>
    <row r="1449" spans="1:7" x14ac:dyDescent="0.25">
      <c r="A1449" t="s">
        <v>30</v>
      </c>
      <c r="B1449" t="s">
        <v>119</v>
      </c>
      <c r="C1449" s="4">
        <v>8.6079685194294098E-2</v>
      </c>
      <c r="D1449" t="s">
        <v>256</v>
      </c>
      <c r="E1449" t="s">
        <v>369</v>
      </c>
      <c r="F1449" t="s">
        <v>370</v>
      </c>
      <c r="G1449" t="s">
        <v>245</v>
      </c>
    </row>
    <row r="1450" spans="1:7" x14ac:dyDescent="0.25">
      <c r="A1450" t="s">
        <v>30</v>
      </c>
      <c r="B1450" t="s">
        <v>119</v>
      </c>
      <c r="C1450" s="4">
        <f>(0.97265536032572/(0.97265536032572+0.0269012130849672)) * 8.60796851942941%</f>
        <v>8.3763009965200114E-2</v>
      </c>
      <c r="D1450" t="s">
        <v>256</v>
      </c>
      <c r="E1450" t="s">
        <v>280</v>
      </c>
      <c r="F1450" t="s">
        <v>371</v>
      </c>
      <c r="G1450" t="s">
        <v>245</v>
      </c>
    </row>
    <row r="1451" spans="1:7" x14ac:dyDescent="0.25">
      <c r="A1451" t="s">
        <v>30</v>
      </c>
      <c r="B1451" t="s">
        <v>119</v>
      </c>
      <c r="C1451" s="4">
        <f>(0.0269012130849672/(0.97265536032572+0.0269012130849672)) * 8.60796851942941%</f>
        <v>2.3166752290939845E-3</v>
      </c>
      <c r="D1451" t="s">
        <v>256</v>
      </c>
      <c r="E1451" s="6" t="s">
        <v>356</v>
      </c>
      <c r="F1451" s="6" t="s">
        <v>371</v>
      </c>
      <c r="G1451" t="s">
        <v>245</v>
      </c>
    </row>
    <row r="1452" spans="1:7" x14ac:dyDescent="0.25">
      <c r="A1452" t="s">
        <v>30</v>
      </c>
      <c r="B1452" t="s">
        <v>148</v>
      </c>
      <c r="C1452" s="4">
        <v>0.122970978848992</v>
      </c>
      <c r="D1452" t="s">
        <v>256</v>
      </c>
      <c r="E1452" t="s">
        <v>369</v>
      </c>
      <c r="F1452" t="s">
        <v>370</v>
      </c>
      <c r="G1452" t="s">
        <v>245</v>
      </c>
    </row>
    <row r="1453" spans="1:7" x14ac:dyDescent="0.25">
      <c r="A1453" t="s">
        <v>30</v>
      </c>
      <c r="B1453" t="s">
        <v>148</v>
      </c>
      <c r="C1453" s="4">
        <f>(0.97265536032572/(0.97265536032572+0.0269012130849672)) * 12.2970978848992%</f>
        <v>0.11966144280742916</v>
      </c>
      <c r="D1453" t="s">
        <v>256</v>
      </c>
      <c r="E1453" t="s">
        <v>280</v>
      </c>
      <c r="F1453" t="s">
        <v>371</v>
      </c>
      <c r="G1453" t="s">
        <v>245</v>
      </c>
    </row>
    <row r="1454" spans="1:7" x14ac:dyDescent="0.25">
      <c r="A1454" t="s">
        <v>30</v>
      </c>
      <c r="B1454" t="s">
        <v>148</v>
      </c>
      <c r="C1454" s="4">
        <f>(0.0269012130849672/(0.97265536032572+0.0269012130849672)) *12.2970978848992%</f>
        <v>3.3095360415628466E-3</v>
      </c>
      <c r="D1454" t="s">
        <v>256</v>
      </c>
      <c r="E1454" s="6" t="s">
        <v>356</v>
      </c>
      <c r="F1454" s="6" t="s">
        <v>371</v>
      </c>
      <c r="G1454" t="s">
        <v>245</v>
      </c>
    </row>
    <row r="1455" spans="1:7" x14ac:dyDescent="0.25">
      <c r="A1455" t="s">
        <v>30</v>
      </c>
      <c r="B1455" t="s">
        <v>146</v>
      </c>
      <c r="C1455" s="4">
        <v>1.40186915887851E-2</v>
      </c>
      <c r="D1455" t="s">
        <v>256</v>
      </c>
      <c r="E1455" t="s">
        <v>369</v>
      </c>
      <c r="F1455" t="s">
        <v>370</v>
      </c>
      <c r="G1455" t="s">
        <v>245</v>
      </c>
    </row>
    <row r="1456" spans="1:7" x14ac:dyDescent="0.25">
      <c r="A1456" t="s">
        <v>30</v>
      </c>
      <c r="B1456" t="s">
        <v>146</v>
      </c>
      <c r="C1456" s="4">
        <f>(0.97265536032572/(0.97265536032572+0.0269012130849672)) * 1.40186915887851%</f>
        <v>1.3641404480046934E-2</v>
      </c>
      <c r="D1456" t="s">
        <v>256</v>
      </c>
      <c r="E1456" t="s">
        <v>280</v>
      </c>
      <c r="F1456" t="s">
        <v>371</v>
      </c>
      <c r="G1456" t="s">
        <v>245</v>
      </c>
    </row>
    <row r="1457" spans="1:8" x14ac:dyDescent="0.25">
      <c r="A1457" t="s">
        <v>30</v>
      </c>
      <c r="B1457" t="s">
        <v>146</v>
      </c>
      <c r="C1457" s="4">
        <f>(0.0269012130849672/(0.97265536032572+0.0269012130849672)) * 1.40186915887851%</f>
        <v>3.7728710873816482E-4</v>
      </c>
      <c r="D1457" t="s">
        <v>256</v>
      </c>
      <c r="E1457" s="6" t="s">
        <v>356</v>
      </c>
      <c r="F1457" s="6" t="s">
        <v>371</v>
      </c>
      <c r="G1457" t="s">
        <v>245</v>
      </c>
    </row>
    <row r="1458" spans="1:8" x14ac:dyDescent="0.25">
      <c r="A1458" t="s">
        <v>30</v>
      </c>
      <c r="B1458" t="s">
        <v>107</v>
      </c>
      <c r="C1458" s="4">
        <v>8.6079685194294202E-3</v>
      </c>
      <c r="D1458" t="s">
        <v>256</v>
      </c>
      <c r="E1458" t="s">
        <v>369</v>
      </c>
      <c r="F1458" t="s">
        <v>370</v>
      </c>
      <c r="G1458" t="s">
        <v>245</v>
      </c>
    </row>
    <row r="1459" spans="1:8" x14ac:dyDescent="0.25">
      <c r="A1459" t="s">
        <v>30</v>
      </c>
      <c r="B1459" t="s">
        <v>107</v>
      </c>
      <c r="C1459" s="4">
        <f>(0.97265536032572/(0.97265536032572+0.0269012130849672)) * 0.860796851942942%</f>
        <v>8.3763009965200225E-3</v>
      </c>
      <c r="D1459" t="s">
        <v>256</v>
      </c>
      <c r="E1459" t="s">
        <v>280</v>
      </c>
      <c r="F1459" t="s">
        <v>371</v>
      </c>
      <c r="G1459" t="s">
        <v>245</v>
      </c>
    </row>
    <row r="1460" spans="1:8" x14ac:dyDescent="0.25">
      <c r="A1460" t="s">
        <v>30</v>
      </c>
      <c r="B1460" t="s">
        <v>107</v>
      </c>
      <c r="C1460" s="4">
        <f>(0.0269012130849672/(0.97265536032572+0.0269012130849672)) * 0.860796851942942%</f>
        <v>2.3166752290939874E-4</v>
      </c>
      <c r="D1460" t="s">
        <v>256</v>
      </c>
      <c r="E1460" s="6" t="s">
        <v>356</v>
      </c>
      <c r="F1460" s="6" t="s">
        <v>371</v>
      </c>
      <c r="G1460" t="s">
        <v>245</v>
      </c>
    </row>
    <row r="1461" spans="1:8" x14ac:dyDescent="0.25">
      <c r="A1461" t="s">
        <v>515</v>
      </c>
      <c r="B1461" t="s">
        <v>183</v>
      </c>
      <c r="C1461" s="4">
        <v>2.6783205307300429E-4</v>
      </c>
      <c r="D1461" t="s">
        <v>256</v>
      </c>
      <c r="E1461" t="s">
        <v>508</v>
      </c>
      <c r="F1461" t="s">
        <v>515</v>
      </c>
      <c r="G1461" t="s">
        <v>245</v>
      </c>
      <c r="H1461" t="s">
        <v>507</v>
      </c>
    </row>
    <row r="1462" spans="1:8" x14ac:dyDescent="0.25">
      <c r="A1462" t="s">
        <v>515</v>
      </c>
      <c r="B1462" t="s">
        <v>83</v>
      </c>
      <c r="C1462" s="4">
        <v>0.29341971785810372</v>
      </c>
      <c r="D1462" t="s">
        <v>256</v>
      </c>
      <c r="E1462" t="s">
        <v>508</v>
      </c>
      <c r="F1462" t="s">
        <v>515</v>
      </c>
      <c r="G1462" t="s">
        <v>245</v>
      </c>
    </row>
    <row r="1463" spans="1:8" x14ac:dyDescent="0.25">
      <c r="A1463" t="s">
        <v>515</v>
      </c>
      <c r="B1463" t="s">
        <v>181</v>
      </c>
      <c r="C1463" s="4">
        <v>9.927026603377769E-4</v>
      </c>
      <c r="D1463" t="s">
        <v>256</v>
      </c>
      <c r="E1463" t="s">
        <v>508</v>
      </c>
      <c r="F1463" t="s">
        <v>515</v>
      </c>
      <c r="G1463" t="s">
        <v>245</v>
      </c>
    </row>
    <row r="1464" spans="1:8" x14ac:dyDescent="0.25">
      <c r="A1464" t="s">
        <v>515</v>
      </c>
      <c r="B1464" t="s">
        <v>212</v>
      </c>
      <c r="C1464" s="4">
        <v>9.5730274931144284E-6</v>
      </c>
      <c r="D1464" t="s">
        <v>256</v>
      </c>
      <c r="E1464" t="s">
        <v>508</v>
      </c>
      <c r="F1464" t="s">
        <v>515</v>
      </c>
      <c r="G1464" t="s">
        <v>245</v>
      </c>
    </row>
    <row r="1465" spans="1:8" x14ac:dyDescent="0.25">
      <c r="A1465" t="s">
        <v>515</v>
      </c>
      <c r="B1465" t="s">
        <v>144</v>
      </c>
      <c r="C1465" s="4">
        <v>1.5806157015486439E-5</v>
      </c>
      <c r="D1465" t="s">
        <v>256</v>
      </c>
      <c r="E1465" t="s">
        <v>508</v>
      </c>
      <c r="F1465" t="s">
        <v>515</v>
      </c>
      <c r="G1465" t="s">
        <v>245</v>
      </c>
    </row>
    <row r="1466" spans="1:8" x14ac:dyDescent="0.25">
      <c r="A1466" t="s">
        <v>515</v>
      </c>
      <c r="B1466" t="s">
        <v>84</v>
      </c>
      <c r="C1466" s="4">
        <v>4.7977246154582532E-4</v>
      </c>
      <c r="D1466" t="s">
        <v>256</v>
      </c>
      <c r="E1466" t="s">
        <v>508</v>
      </c>
      <c r="F1466" t="s">
        <v>515</v>
      </c>
      <c r="G1466" t="s">
        <v>245</v>
      </c>
    </row>
    <row r="1467" spans="1:8" x14ac:dyDescent="0.25">
      <c r="A1467" t="s">
        <v>515</v>
      </c>
      <c r="B1467" t="s">
        <v>85</v>
      </c>
      <c r="C1467" s="4">
        <v>0.13678655690146471</v>
      </c>
      <c r="D1467" t="s">
        <v>446</v>
      </c>
      <c r="E1467" t="s">
        <v>448</v>
      </c>
      <c r="F1467" t="s">
        <v>515</v>
      </c>
      <c r="G1467" t="s">
        <v>245</v>
      </c>
    </row>
    <row r="1468" spans="1:8" x14ac:dyDescent="0.25">
      <c r="A1468" t="s">
        <v>515</v>
      </c>
      <c r="B1468" t="s">
        <v>116</v>
      </c>
      <c r="C1468" s="4">
        <v>1.8119540239443479E-2</v>
      </c>
      <c r="D1468" t="s">
        <v>288</v>
      </c>
      <c r="E1468" t="s">
        <v>516</v>
      </c>
      <c r="F1468" t="s">
        <v>515</v>
      </c>
      <c r="G1468" t="s">
        <v>245</v>
      </c>
    </row>
    <row r="1469" spans="1:8" x14ac:dyDescent="0.25">
      <c r="A1469" t="s">
        <v>515</v>
      </c>
      <c r="B1469" t="s">
        <v>145</v>
      </c>
      <c r="C1469" s="4">
        <v>4.8928721136570494E-3</v>
      </c>
      <c r="D1469" t="s">
        <v>256</v>
      </c>
      <c r="E1469" t="s">
        <v>508</v>
      </c>
      <c r="F1469" t="s">
        <v>515</v>
      </c>
      <c r="G1469" t="s">
        <v>245</v>
      </c>
    </row>
    <row r="1470" spans="1:8" x14ac:dyDescent="0.25">
      <c r="A1470" t="s">
        <v>515</v>
      </c>
      <c r="B1470" t="s">
        <v>86</v>
      </c>
      <c r="C1470" s="4">
        <f xml:space="preserve"> (0.0075812778161116/ (0.330538489833607 * 0.909423121018547  + 0.0075812778161116 + 0.0053783839453516 + 0.000498720250908245 + 4.29106402225506E-07)) * 0.292492156922487</f>
        <v>7.060680505088698E-3</v>
      </c>
      <c r="D1470" t="s">
        <v>254</v>
      </c>
      <c r="E1470" t="s">
        <v>557</v>
      </c>
      <c r="F1470" t="s">
        <v>515</v>
      </c>
      <c r="G1470" t="s">
        <v>245</v>
      </c>
    </row>
    <row r="1471" spans="1:8" x14ac:dyDescent="0.25">
      <c r="A1471" t="s">
        <v>515</v>
      </c>
      <c r="B1471" t="s">
        <v>86</v>
      </c>
      <c r="C1471" s="4">
        <f xml:space="preserve"> (0.0053783839453516/ (0.330538489833607 * 0.909423121018547  + 0.0075812778161116 + 0.0053783839453516 + 0.000498720250908245 + 4.29106402225506E-07))* 0.292492156922487</f>
        <v>5.0090567306638155E-3</v>
      </c>
      <c r="D1471" t="s">
        <v>452</v>
      </c>
      <c r="E1471" t="s">
        <v>558</v>
      </c>
      <c r="F1471" t="s">
        <v>515</v>
      </c>
      <c r="G1471" t="s">
        <v>245</v>
      </c>
    </row>
    <row r="1472" spans="1:8" x14ac:dyDescent="0.25">
      <c r="A1472" t="s">
        <v>515</v>
      </c>
      <c r="B1472" t="s">
        <v>86</v>
      </c>
      <c r="C1472" s="4">
        <f xml:space="preserve"> (0.000498720250908245/ (0.330538489833607 * 0.909423121018547  + 0.0075812778161116 + 0.0053783839453516 + 0.000498720250908245 + 4.29106402225506E-07))* 0.292492156922487</f>
        <v>4.644737257349117E-4</v>
      </c>
      <c r="D1472" t="s">
        <v>452</v>
      </c>
      <c r="E1472" t="s">
        <v>451</v>
      </c>
      <c r="F1472" t="s">
        <v>515</v>
      </c>
      <c r="G1472" t="s">
        <v>245</v>
      </c>
    </row>
    <row r="1473" spans="1:8" x14ac:dyDescent="0.25">
      <c r="A1473" t="s">
        <v>515</v>
      </c>
      <c r="B1473" t="s">
        <v>86</v>
      </c>
      <c r="C1473" s="4">
        <f xml:space="preserve"> (4.29106402225506E-07/ (0.330538489833607 * 0.909423121018547  + 0.0075812778161116 + 0.0053783839453516 + 0.000498720250908245 + 4.29106402225506E-07))* 0.292492156922487</f>
        <v>3.9964017706402167E-7</v>
      </c>
      <c r="D1473" t="s">
        <v>561</v>
      </c>
      <c r="E1473" t="s">
        <v>559</v>
      </c>
      <c r="F1473" t="s">
        <v>515</v>
      </c>
      <c r="G1473" t="s">
        <v>245</v>
      </c>
    </row>
    <row r="1474" spans="1:8" x14ac:dyDescent="0.25">
      <c r="A1474" t="s">
        <v>515</v>
      </c>
      <c r="B1474" t="s">
        <v>86</v>
      </c>
      <c r="C1474" s="4">
        <f xml:space="preserve"> (0.330538489833607 * 0.909423121018547 / (0.330538489833607 * 0.909423121018547  + 0.0075812778161116 + 0.0053783839453516 + 0.000498720250908245 + 4.29106402225506E-07))* 0.292492156922487</f>
        <v>0.27995754632082243</v>
      </c>
      <c r="D1474" t="s">
        <v>256</v>
      </c>
      <c r="E1474" t="s">
        <v>508</v>
      </c>
      <c r="F1474" t="s">
        <v>515</v>
      </c>
      <c r="G1474" t="s">
        <v>245</v>
      </c>
      <c r="H1474" t="s">
        <v>560</v>
      </c>
    </row>
    <row r="1475" spans="1:8" x14ac:dyDescent="0.25">
      <c r="A1475" t="s">
        <v>515</v>
      </c>
      <c r="B1475" t="s">
        <v>87</v>
      </c>
      <c r="C1475" s="4">
        <v>2.253439506276323E-4</v>
      </c>
      <c r="D1475" t="s">
        <v>256</v>
      </c>
      <c r="E1475" t="s">
        <v>508</v>
      </c>
      <c r="F1475" t="s">
        <v>515</v>
      </c>
      <c r="G1475" t="s">
        <v>245</v>
      </c>
    </row>
    <row r="1476" spans="1:8" x14ac:dyDescent="0.25">
      <c r="A1476" t="s">
        <v>515</v>
      </c>
      <c r="B1476" t="s">
        <v>128</v>
      </c>
      <c r="C1476" s="4">
        <v>9.2224579238873056E-5</v>
      </c>
      <c r="D1476" t="s">
        <v>256</v>
      </c>
      <c r="E1476" t="s">
        <v>508</v>
      </c>
      <c r="F1476" t="s">
        <v>515</v>
      </c>
      <c r="G1476" t="s">
        <v>245</v>
      </c>
    </row>
    <row r="1477" spans="1:8" x14ac:dyDescent="0.25">
      <c r="A1477" t="s">
        <v>515</v>
      </c>
      <c r="B1477" t="s">
        <v>117</v>
      </c>
      <c r="C1477" s="4">
        <v>1.5220605155840319E-4</v>
      </c>
      <c r="D1477" t="s">
        <v>256</v>
      </c>
      <c r="E1477" t="s">
        <v>508</v>
      </c>
      <c r="F1477" t="s">
        <v>515</v>
      </c>
      <c r="G1477" t="s">
        <v>245</v>
      </c>
    </row>
    <row r="1478" spans="1:8" x14ac:dyDescent="0.25">
      <c r="A1478" t="s">
        <v>515</v>
      </c>
      <c r="B1478" t="s">
        <v>196</v>
      </c>
      <c r="C1478" s="4">
        <v>8.2111499066212875E-7</v>
      </c>
      <c r="D1478" t="s">
        <v>256</v>
      </c>
      <c r="E1478" t="s">
        <v>508</v>
      </c>
      <c r="F1478" t="s">
        <v>515</v>
      </c>
      <c r="G1478" t="s">
        <v>245</v>
      </c>
    </row>
    <row r="1479" spans="1:8" x14ac:dyDescent="0.25">
      <c r="A1479" t="s">
        <v>515</v>
      </c>
      <c r="B1479" t="s">
        <v>94</v>
      </c>
      <c r="C1479" s="4">
        <v>1.546844983859123E-4</v>
      </c>
      <c r="D1479" t="s">
        <v>256</v>
      </c>
      <c r="E1479" t="s">
        <v>508</v>
      </c>
      <c r="F1479" t="s">
        <v>515</v>
      </c>
      <c r="G1479" t="s">
        <v>245</v>
      </c>
    </row>
    <row r="1480" spans="1:8" x14ac:dyDescent="0.25">
      <c r="A1480" t="s">
        <v>515</v>
      </c>
      <c r="B1480" t="s">
        <v>97</v>
      </c>
      <c r="C1480" s="4">
        <v>6.8199334161939323E-2</v>
      </c>
      <c r="D1480" t="s">
        <v>308</v>
      </c>
      <c r="E1480" t="s">
        <v>508</v>
      </c>
      <c r="F1480" t="s">
        <v>515</v>
      </c>
      <c r="G1480" t="s">
        <v>245</v>
      </c>
    </row>
    <row r="1481" spans="1:8" x14ac:dyDescent="0.25">
      <c r="A1481" t="s">
        <v>515</v>
      </c>
      <c r="B1481" t="s">
        <v>98</v>
      </c>
      <c r="C1481" s="4">
        <v>8.8592228027528153E-4</v>
      </c>
      <c r="D1481" t="s">
        <v>256</v>
      </c>
      <c r="E1481" t="s">
        <v>508</v>
      </c>
      <c r="F1481" t="s">
        <v>515</v>
      </c>
      <c r="G1481" t="s">
        <v>245</v>
      </c>
    </row>
    <row r="1482" spans="1:8" x14ac:dyDescent="0.25">
      <c r="A1482" t="s">
        <v>515</v>
      </c>
      <c r="B1482" t="s">
        <v>99</v>
      </c>
      <c r="C1482" s="4">
        <v>3.0378349741597348E-2</v>
      </c>
      <c r="D1482" t="s">
        <v>256</v>
      </c>
      <c r="E1482" t="s">
        <v>508</v>
      </c>
      <c r="F1482" t="s">
        <v>515</v>
      </c>
      <c r="G1482" t="s">
        <v>245</v>
      </c>
    </row>
    <row r="1483" spans="1:8" x14ac:dyDescent="0.25">
      <c r="A1483" t="s">
        <v>515</v>
      </c>
      <c r="B1483" t="s">
        <v>102</v>
      </c>
      <c r="C1483" s="4">
        <v>1.631396013432844E-2</v>
      </c>
      <c r="D1483" t="s">
        <v>256</v>
      </c>
      <c r="E1483" t="s">
        <v>508</v>
      </c>
      <c r="F1483" t="s">
        <v>515</v>
      </c>
      <c r="G1483" t="s">
        <v>245</v>
      </c>
    </row>
    <row r="1484" spans="1:8" x14ac:dyDescent="0.25">
      <c r="A1484" t="s">
        <v>515</v>
      </c>
      <c r="B1484" t="s">
        <v>148</v>
      </c>
      <c r="C1484" s="4">
        <v>1.3859108342627449E-4</v>
      </c>
      <c r="D1484" t="s">
        <v>256</v>
      </c>
      <c r="E1484" t="s">
        <v>508</v>
      </c>
      <c r="F1484" t="s">
        <v>515</v>
      </c>
      <c r="G1484" t="s">
        <v>245</v>
      </c>
    </row>
    <row r="1485" spans="1:8" x14ac:dyDescent="0.25">
      <c r="A1485" t="s">
        <v>515</v>
      </c>
      <c r="B1485" t="s">
        <v>149</v>
      </c>
      <c r="C1485" s="4">
        <v>1.0631319060895421E-3</v>
      </c>
      <c r="D1485" t="s">
        <v>256</v>
      </c>
      <c r="E1485" t="s">
        <v>508</v>
      </c>
      <c r="F1485" t="s">
        <v>515</v>
      </c>
      <c r="G1485" t="s">
        <v>245</v>
      </c>
    </row>
    <row r="1486" spans="1:8" x14ac:dyDescent="0.25">
      <c r="A1486" t="s">
        <v>515</v>
      </c>
      <c r="B1486" t="s">
        <v>171</v>
      </c>
      <c r="C1486" s="4">
        <v>3.4560893237714599E-4</v>
      </c>
      <c r="D1486" t="s">
        <v>256</v>
      </c>
      <c r="E1486" t="s">
        <v>508</v>
      </c>
      <c r="F1486" t="s">
        <v>515</v>
      </c>
      <c r="G1486" t="s">
        <v>245</v>
      </c>
    </row>
    <row r="1487" spans="1:8" x14ac:dyDescent="0.25">
      <c r="A1487" t="s">
        <v>515</v>
      </c>
      <c r="B1487" t="s">
        <v>199</v>
      </c>
      <c r="C1487" s="4">
        <v>1.3272189571443009E-3</v>
      </c>
      <c r="D1487" t="s">
        <v>256</v>
      </c>
      <c r="E1487" t="s">
        <v>508</v>
      </c>
      <c r="F1487" t="s">
        <v>515</v>
      </c>
      <c r="G1487" t="s">
        <v>245</v>
      </c>
    </row>
    <row r="1488" spans="1:8" x14ac:dyDescent="0.25">
      <c r="A1488" t="s">
        <v>515</v>
      </c>
      <c r="B1488" t="s">
        <v>213</v>
      </c>
      <c r="C1488" s="4">
        <v>1.3269626128274799E-6</v>
      </c>
      <c r="D1488" t="s">
        <v>256</v>
      </c>
      <c r="E1488" t="s">
        <v>508</v>
      </c>
      <c r="F1488" t="s">
        <v>515</v>
      </c>
      <c r="G1488" t="s">
        <v>245</v>
      </c>
    </row>
    <row r="1489" spans="1:8" x14ac:dyDescent="0.25">
      <c r="A1489" t="s">
        <v>515</v>
      </c>
      <c r="B1489" t="s">
        <v>103</v>
      </c>
      <c r="C1489" s="4">
        <v>1.3991561941616331E-3</v>
      </c>
      <c r="D1489" t="s">
        <v>256</v>
      </c>
      <c r="E1489" t="s">
        <v>508</v>
      </c>
      <c r="F1489" t="s">
        <v>515</v>
      </c>
      <c r="G1489" t="s">
        <v>245</v>
      </c>
    </row>
    <row r="1490" spans="1:8" x14ac:dyDescent="0.25">
      <c r="A1490" t="s">
        <v>515</v>
      </c>
      <c r="B1490" t="s">
        <v>172</v>
      </c>
      <c r="C1490" s="4">
        <v>3.8627905538410261E-3</v>
      </c>
      <c r="D1490" t="s">
        <v>256</v>
      </c>
      <c r="E1490" t="s">
        <v>508</v>
      </c>
      <c r="F1490" t="s">
        <v>515</v>
      </c>
      <c r="G1490" t="s">
        <v>245</v>
      </c>
    </row>
    <row r="1491" spans="1:8" x14ac:dyDescent="0.25">
      <c r="A1491" t="s">
        <v>515</v>
      </c>
      <c r="B1491" t="s">
        <v>150</v>
      </c>
      <c r="C1491" s="4">
        <v>7.7308814072056019E-3</v>
      </c>
      <c r="D1491" t="s">
        <v>256</v>
      </c>
      <c r="E1491" t="s">
        <v>508</v>
      </c>
      <c r="F1491" t="s">
        <v>515</v>
      </c>
      <c r="G1491" t="s">
        <v>245</v>
      </c>
    </row>
    <row r="1492" spans="1:8" x14ac:dyDescent="0.25">
      <c r="A1492" t="s">
        <v>515</v>
      </c>
      <c r="B1492" t="s">
        <v>173</v>
      </c>
      <c r="C1492" s="4">
        <v>2.638862092838758E-3</v>
      </c>
      <c r="D1492" t="s">
        <v>256</v>
      </c>
      <c r="E1492" t="s">
        <v>508</v>
      </c>
      <c r="F1492" t="s">
        <v>515</v>
      </c>
      <c r="G1492" t="s">
        <v>245</v>
      </c>
    </row>
    <row r="1493" spans="1:8" x14ac:dyDescent="0.25">
      <c r="A1493" t="s">
        <v>515</v>
      </c>
      <c r="B1493" t="s">
        <v>161</v>
      </c>
      <c r="C1493" s="4">
        <v>1.9425891078307059E-5</v>
      </c>
      <c r="D1493" t="s">
        <v>256</v>
      </c>
      <c r="E1493" t="s">
        <v>508</v>
      </c>
      <c r="F1493" t="s">
        <v>515</v>
      </c>
      <c r="G1493" t="s">
        <v>245</v>
      </c>
    </row>
    <row r="1494" spans="1:8" x14ac:dyDescent="0.25">
      <c r="A1494" t="s">
        <v>515</v>
      </c>
      <c r="B1494" t="s">
        <v>175</v>
      </c>
      <c r="C1494" s="4">
        <v>1.0571427941557651E-5</v>
      </c>
      <c r="D1494" t="s">
        <v>256</v>
      </c>
      <c r="E1494" t="s">
        <v>508</v>
      </c>
      <c r="F1494" t="s">
        <v>515</v>
      </c>
      <c r="G1494" t="s">
        <v>245</v>
      </c>
    </row>
    <row r="1495" spans="1:8" x14ac:dyDescent="0.25">
      <c r="A1495" t="s">
        <v>515</v>
      </c>
      <c r="B1495" t="s">
        <v>214</v>
      </c>
      <c r="C1495" s="4">
        <v>9.2611806303556921E-8</v>
      </c>
      <c r="D1495" t="s">
        <v>256</v>
      </c>
      <c r="E1495" t="s">
        <v>508</v>
      </c>
      <c r="F1495" t="s">
        <v>515</v>
      </c>
      <c r="G1495" t="s">
        <v>245</v>
      </c>
    </row>
    <row r="1496" spans="1:8" x14ac:dyDescent="0.25">
      <c r="A1496" t="s">
        <v>515</v>
      </c>
      <c r="B1496" t="s">
        <v>131</v>
      </c>
      <c r="C1496" s="4">
        <v>1.2912731850324511E-3</v>
      </c>
      <c r="D1496" t="s">
        <v>256</v>
      </c>
      <c r="E1496" t="s">
        <v>508</v>
      </c>
      <c r="F1496" t="s">
        <v>515</v>
      </c>
      <c r="G1496" t="s">
        <v>245</v>
      </c>
    </row>
    <row r="1497" spans="1:8" x14ac:dyDescent="0.25">
      <c r="A1497" t="s">
        <v>515</v>
      </c>
      <c r="B1497" t="s">
        <v>203</v>
      </c>
      <c r="C1497" s="4">
        <v>4.1930237320850831E-7</v>
      </c>
      <c r="D1497" t="s">
        <v>256</v>
      </c>
      <c r="E1497" t="s">
        <v>508</v>
      </c>
      <c r="F1497" t="s">
        <v>515</v>
      </c>
      <c r="G1497" t="s">
        <v>245</v>
      </c>
    </row>
    <row r="1498" spans="1:8" x14ac:dyDescent="0.25">
      <c r="A1498" t="s">
        <v>515</v>
      </c>
      <c r="B1498" t="s">
        <v>132</v>
      </c>
      <c r="C1498" s="4">
        <v>5.5647607650235163E-4</v>
      </c>
      <c r="D1498" t="s">
        <v>256</v>
      </c>
      <c r="E1498" t="s">
        <v>508</v>
      </c>
      <c r="F1498" t="s">
        <v>515</v>
      </c>
      <c r="G1498" t="s">
        <v>245</v>
      </c>
    </row>
    <row r="1499" spans="1:8" x14ac:dyDescent="0.25">
      <c r="A1499" t="s">
        <v>515</v>
      </c>
      <c r="B1499" t="s">
        <v>106</v>
      </c>
      <c r="C1499" s="4">
        <v>2.0559956528862279E-4</v>
      </c>
      <c r="D1499" t="s">
        <v>256</v>
      </c>
      <c r="E1499" t="s">
        <v>508</v>
      </c>
      <c r="F1499" t="s">
        <v>515</v>
      </c>
      <c r="G1499" t="s">
        <v>245</v>
      </c>
    </row>
    <row r="1500" spans="1:8" x14ac:dyDescent="0.25">
      <c r="A1500" t="s">
        <v>515</v>
      </c>
      <c r="B1500" t="s">
        <v>146</v>
      </c>
      <c r="C1500" s="4">
        <v>3.1948540709724111E-3</v>
      </c>
      <c r="D1500" t="s">
        <v>256</v>
      </c>
      <c r="E1500" t="s">
        <v>508</v>
      </c>
      <c r="F1500" t="s">
        <v>515</v>
      </c>
      <c r="G1500" t="s">
        <v>245</v>
      </c>
    </row>
    <row r="1501" spans="1:8" x14ac:dyDescent="0.25">
      <c r="A1501" t="s">
        <v>515</v>
      </c>
      <c r="B1501" t="s">
        <v>156</v>
      </c>
      <c r="C1501" s="4">
        <v>7.7659033200789611E-6</v>
      </c>
      <c r="D1501" t="s">
        <v>256</v>
      </c>
      <c r="E1501" t="s">
        <v>508</v>
      </c>
      <c r="F1501" t="s">
        <v>515</v>
      </c>
      <c r="G1501" t="s">
        <v>245</v>
      </c>
    </row>
    <row r="1502" spans="1:8" x14ac:dyDescent="0.25">
      <c r="A1502" t="s">
        <v>515</v>
      </c>
      <c r="B1502" t="s">
        <v>107</v>
      </c>
      <c r="C1502" s="4">
        <f xml:space="preserve"> (0.475037028128714*0.000121381571398847/(0.0423830486231445*0.909423121018547+0.475037028128714*0.000121381571398847)) * 3.15848209093803%</f>
        <v>4.717927348909763E-5</v>
      </c>
      <c r="D1502" t="s">
        <v>256</v>
      </c>
      <c r="E1502" t="s">
        <v>448</v>
      </c>
      <c r="F1502" t="s">
        <v>515</v>
      </c>
      <c r="G1502" t="s">
        <v>245</v>
      </c>
      <c r="H1502" t="s">
        <v>581</v>
      </c>
    </row>
    <row r="1503" spans="1:8" x14ac:dyDescent="0.25">
      <c r="A1503" t="s">
        <v>515</v>
      </c>
      <c r="B1503" t="s">
        <v>107</v>
      </c>
      <c r="C1503" s="4">
        <f xml:space="preserve"> (0.0423830486231445*0.909423121018547/(0.0423830486231445*0.909423121018547+0.475037028128714*0.000121381571398847)) * 3.15848209093803%</f>
        <v>3.1537641635891199E-2</v>
      </c>
      <c r="D1503" t="s">
        <v>256</v>
      </c>
      <c r="E1503" t="s">
        <v>508</v>
      </c>
      <c r="F1503" t="s">
        <v>515</v>
      </c>
      <c r="G1503" t="s">
        <v>245</v>
      </c>
      <c r="H1503" t="s">
        <v>582</v>
      </c>
    </row>
    <row r="1504" spans="1:8" x14ac:dyDescent="0.25">
      <c r="A1504" t="s">
        <v>515</v>
      </c>
      <c r="B1504" t="s">
        <v>109</v>
      </c>
      <c r="C1504" s="4">
        <v>6.3327501385463422E-4</v>
      </c>
      <c r="D1504" t="s">
        <v>256</v>
      </c>
      <c r="E1504" t="s">
        <v>508</v>
      </c>
      <c r="F1504" t="s">
        <v>515</v>
      </c>
      <c r="G1504" t="s">
        <v>245</v>
      </c>
    </row>
    <row r="1505" spans="1:7" x14ac:dyDescent="0.25">
      <c r="A1505" t="s">
        <v>515</v>
      </c>
      <c r="B1505" t="s">
        <v>137</v>
      </c>
      <c r="C1505" s="4">
        <v>2.2592365535860168E-2</v>
      </c>
      <c r="D1505" t="s">
        <v>256</v>
      </c>
      <c r="E1505" t="s">
        <v>508</v>
      </c>
      <c r="F1505" t="s">
        <v>515</v>
      </c>
      <c r="G1505" t="s">
        <v>245</v>
      </c>
    </row>
    <row r="1506" spans="1:7" x14ac:dyDescent="0.25">
      <c r="A1506" t="s">
        <v>515</v>
      </c>
      <c r="B1506" t="s">
        <v>121</v>
      </c>
      <c r="C1506" s="4">
        <v>4.5176490879783862E-6</v>
      </c>
      <c r="D1506" t="s">
        <v>256</v>
      </c>
      <c r="E1506" t="s">
        <v>508</v>
      </c>
      <c r="F1506" t="s">
        <v>515</v>
      </c>
      <c r="G1506" t="s">
        <v>245</v>
      </c>
    </row>
    <row r="1507" spans="1:7" x14ac:dyDescent="0.25">
      <c r="A1507" t="s">
        <v>515</v>
      </c>
      <c r="B1507" t="s">
        <v>138</v>
      </c>
      <c r="C1507" s="4">
        <v>1.206799600871666E-2</v>
      </c>
      <c r="D1507" t="s">
        <v>256</v>
      </c>
      <c r="E1507" t="s">
        <v>508</v>
      </c>
      <c r="F1507" t="s">
        <v>515</v>
      </c>
      <c r="G1507" t="s">
        <v>245</v>
      </c>
    </row>
    <row r="1508" spans="1:7" x14ac:dyDescent="0.25">
      <c r="A1508" t="s">
        <v>515</v>
      </c>
      <c r="B1508" t="s">
        <v>215</v>
      </c>
      <c r="C1508" s="4">
        <v>2.9425900948079559E-5</v>
      </c>
      <c r="D1508" t="s">
        <v>256</v>
      </c>
      <c r="E1508" t="s">
        <v>508</v>
      </c>
      <c r="F1508" t="s">
        <v>515</v>
      </c>
      <c r="G1508" t="s">
        <v>245</v>
      </c>
    </row>
    <row r="1509" spans="1:7" x14ac:dyDescent="0.25">
      <c r="A1509" t="s">
        <v>515</v>
      </c>
      <c r="B1509" t="s">
        <v>216</v>
      </c>
      <c r="C1509" s="4">
        <v>6.4515643095601743E-5</v>
      </c>
      <c r="D1509" t="s">
        <v>256</v>
      </c>
      <c r="E1509" t="s">
        <v>508</v>
      </c>
      <c r="F1509" t="s">
        <v>515</v>
      </c>
      <c r="G1509" t="s">
        <v>245</v>
      </c>
    </row>
    <row r="1510" spans="1:7" x14ac:dyDescent="0.25">
      <c r="A1510" t="s">
        <v>515</v>
      </c>
      <c r="B1510" t="s">
        <v>112</v>
      </c>
      <c r="C1510" s="4">
        <v>5.0095616988426479E-3</v>
      </c>
      <c r="D1510" t="s">
        <v>256</v>
      </c>
      <c r="E1510" t="s">
        <v>508</v>
      </c>
      <c r="F1510" t="s">
        <v>515</v>
      </c>
      <c r="G1510" t="s">
        <v>245</v>
      </c>
    </row>
    <row r="1511" spans="1:7" x14ac:dyDescent="0.25">
      <c r="A1511" t="s">
        <v>515</v>
      </c>
      <c r="B1511" t="s">
        <v>113</v>
      </c>
      <c r="C1511" s="4">
        <v>1.4914695774740069E-2</v>
      </c>
      <c r="D1511" t="s">
        <v>256</v>
      </c>
      <c r="E1511" t="s">
        <v>508</v>
      </c>
      <c r="F1511" t="s">
        <v>515</v>
      </c>
      <c r="G1511" t="s">
        <v>245</v>
      </c>
    </row>
    <row r="1512" spans="1:7" x14ac:dyDescent="0.25">
      <c r="A1512" t="s">
        <v>515</v>
      </c>
      <c r="B1512" t="s">
        <v>142</v>
      </c>
      <c r="C1512" s="4">
        <v>4.4014809685732282E-7</v>
      </c>
      <c r="D1512" t="s">
        <v>256</v>
      </c>
      <c r="E1512" t="s">
        <v>508</v>
      </c>
      <c r="F1512" t="s">
        <v>515</v>
      </c>
      <c r="G1512" t="s">
        <v>245</v>
      </c>
    </row>
    <row r="1513" spans="1:7" x14ac:dyDescent="0.25">
      <c r="A1513" t="s">
        <v>515</v>
      </c>
      <c r="B1513" t="s">
        <v>122</v>
      </c>
      <c r="C1513" s="4">
        <v>2.2917046394299409E-2</v>
      </c>
      <c r="D1513" t="s">
        <v>256</v>
      </c>
      <c r="E1513" t="s">
        <v>508</v>
      </c>
      <c r="F1513" t="s">
        <v>515</v>
      </c>
      <c r="G1513" t="s">
        <v>245</v>
      </c>
    </row>
    <row r="1514" spans="1:7" x14ac:dyDescent="0.25">
      <c r="A1514" t="s">
        <v>515</v>
      </c>
      <c r="B1514" t="s">
        <v>114</v>
      </c>
      <c r="C1514" s="4">
        <v>8.2348333592757934E-4</v>
      </c>
      <c r="D1514" t="s">
        <v>256</v>
      </c>
      <c r="E1514" t="s">
        <v>508</v>
      </c>
      <c r="F1514" t="s">
        <v>515</v>
      </c>
      <c r="G1514" t="s">
        <v>245</v>
      </c>
    </row>
    <row r="1515" spans="1:7" x14ac:dyDescent="0.25">
      <c r="A1515" t="s">
        <v>515</v>
      </c>
      <c r="B1515" t="s">
        <v>115</v>
      </c>
      <c r="C1515" s="4">
        <v>1.6844329555743341E-3</v>
      </c>
      <c r="D1515" t="s">
        <v>256</v>
      </c>
      <c r="E1515" t="s">
        <v>508</v>
      </c>
      <c r="F1515" t="s">
        <v>515</v>
      </c>
      <c r="G1515" t="s">
        <v>245</v>
      </c>
    </row>
    <row r="1516" spans="1:7" x14ac:dyDescent="0.25">
      <c r="A1516" t="s">
        <v>584</v>
      </c>
      <c r="B1516" t="s">
        <v>183</v>
      </c>
      <c r="C1516" s="4">
        <v>1.0480653387665039E-3</v>
      </c>
      <c r="D1516" t="s">
        <v>256</v>
      </c>
      <c r="E1516" t="s">
        <v>583</v>
      </c>
      <c r="F1516" t="s">
        <v>584</v>
      </c>
      <c r="G1516" t="s">
        <v>245</v>
      </c>
    </row>
    <row r="1517" spans="1:7" x14ac:dyDescent="0.25">
      <c r="A1517" t="s">
        <v>584</v>
      </c>
      <c r="B1517" t="s">
        <v>124</v>
      </c>
      <c r="C1517" s="4">
        <v>2.3577103183334818E-3</v>
      </c>
      <c r="D1517" t="s">
        <v>256</v>
      </c>
      <c r="E1517" t="s">
        <v>583</v>
      </c>
      <c r="F1517" t="s">
        <v>584</v>
      </c>
      <c r="G1517" t="s">
        <v>245</v>
      </c>
    </row>
    <row r="1518" spans="1:7" x14ac:dyDescent="0.25">
      <c r="A1518" t="s">
        <v>584</v>
      </c>
      <c r="B1518" t="s">
        <v>83</v>
      </c>
      <c r="C1518" s="4">
        <v>2.7371973097451881E-3</v>
      </c>
      <c r="D1518" t="s">
        <v>256</v>
      </c>
      <c r="E1518" t="s">
        <v>583</v>
      </c>
      <c r="F1518" t="s">
        <v>584</v>
      </c>
      <c r="G1518" t="s">
        <v>245</v>
      </c>
    </row>
    <row r="1519" spans="1:7" x14ac:dyDescent="0.25">
      <c r="A1519" t="s">
        <v>584</v>
      </c>
      <c r="B1519" t="s">
        <v>181</v>
      </c>
      <c r="C1519" s="4">
        <v>4.1855653820683427E-3</v>
      </c>
      <c r="D1519" t="s">
        <v>256</v>
      </c>
      <c r="E1519" t="s">
        <v>583</v>
      </c>
      <c r="F1519" t="s">
        <v>584</v>
      </c>
      <c r="G1519" t="s">
        <v>245</v>
      </c>
    </row>
    <row r="1520" spans="1:7" x14ac:dyDescent="0.25">
      <c r="A1520" t="s">
        <v>584</v>
      </c>
      <c r="B1520" t="s">
        <v>125</v>
      </c>
      <c r="C1520" s="4">
        <v>2.0087918993024669E-7</v>
      </c>
      <c r="D1520" t="s">
        <v>256</v>
      </c>
      <c r="E1520" t="s">
        <v>583</v>
      </c>
      <c r="F1520" t="s">
        <v>584</v>
      </c>
      <c r="G1520" t="s">
        <v>245</v>
      </c>
    </row>
    <row r="1521" spans="1:8" x14ac:dyDescent="0.25">
      <c r="A1521" t="s">
        <v>584</v>
      </c>
      <c r="B1521" t="s">
        <v>126</v>
      </c>
      <c r="C1521" s="4">
        <v>1.0349645220319231E-3</v>
      </c>
      <c r="D1521" t="s">
        <v>256</v>
      </c>
      <c r="E1521" t="s">
        <v>583</v>
      </c>
      <c r="F1521" t="s">
        <v>584</v>
      </c>
      <c r="G1521" t="s">
        <v>245</v>
      </c>
    </row>
    <row r="1522" spans="1:8" x14ac:dyDescent="0.25">
      <c r="A1522" t="s">
        <v>584</v>
      </c>
      <c r="B1522" t="s">
        <v>163</v>
      </c>
      <c r="C1522" s="4">
        <v>3.2548251353915329E-3</v>
      </c>
      <c r="D1522" t="s">
        <v>333</v>
      </c>
      <c r="E1522" t="s">
        <v>583</v>
      </c>
      <c r="F1522" t="s">
        <v>584</v>
      </c>
      <c r="G1522" t="s">
        <v>245</v>
      </c>
    </row>
    <row r="1523" spans="1:8" x14ac:dyDescent="0.25">
      <c r="A1523" t="s">
        <v>584</v>
      </c>
      <c r="B1523" t="s">
        <v>84</v>
      </c>
      <c r="C1523" s="4">
        <v>5.753938391326567E-4</v>
      </c>
      <c r="D1523" t="s">
        <v>333</v>
      </c>
      <c r="E1523" t="s">
        <v>583</v>
      </c>
      <c r="F1523" t="s">
        <v>584</v>
      </c>
      <c r="G1523" t="s">
        <v>245</v>
      </c>
    </row>
    <row r="1524" spans="1:8" x14ac:dyDescent="0.25">
      <c r="A1524" t="s">
        <v>584</v>
      </c>
      <c r="B1524" t="s">
        <v>85</v>
      </c>
      <c r="C1524" s="4">
        <v>2.2447958345444299E-2</v>
      </c>
      <c r="D1524" t="s">
        <v>256</v>
      </c>
      <c r="E1524" t="s">
        <v>583</v>
      </c>
      <c r="F1524" t="s">
        <v>584</v>
      </c>
      <c r="G1524" t="s">
        <v>245</v>
      </c>
    </row>
    <row r="1525" spans="1:8" x14ac:dyDescent="0.25">
      <c r="A1525" t="s">
        <v>584</v>
      </c>
      <c r="B1525" t="s">
        <v>116</v>
      </c>
      <c r="C1525" s="4">
        <v>5.5189373963879509E-3</v>
      </c>
      <c r="D1525" t="s">
        <v>256</v>
      </c>
      <c r="E1525" t="s">
        <v>583</v>
      </c>
      <c r="F1525" t="s">
        <v>584</v>
      </c>
      <c r="G1525" t="s">
        <v>245</v>
      </c>
    </row>
    <row r="1526" spans="1:8" x14ac:dyDescent="0.25">
      <c r="A1526" t="s">
        <v>584</v>
      </c>
      <c r="B1526" t="s">
        <v>145</v>
      </c>
      <c r="C1526" s="4">
        <v>4.7876206933375459E-4</v>
      </c>
      <c r="D1526" t="s">
        <v>256</v>
      </c>
      <c r="E1526" t="s">
        <v>583</v>
      </c>
      <c r="F1526" t="s">
        <v>584</v>
      </c>
      <c r="G1526" t="s">
        <v>245</v>
      </c>
    </row>
    <row r="1527" spans="1:8" x14ac:dyDescent="0.25">
      <c r="A1527" t="s">
        <v>584</v>
      </c>
      <c r="B1527" t="s">
        <v>86</v>
      </c>
      <c r="C1527" s="4">
        <f>0.056281456328563*0.941794444922006/(0.056281456328563*0.941794444922006+0.0000893711852357033) * 59.105596743409%</f>
        <v>0.59006108207943131</v>
      </c>
      <c r="D1527" t="s">
        <v>256</v>
      </c>
      <c r="E1527" t="s">
        <v>583</v>
      </c>
      <c r="F1527" t="s">
        <v>584</v>
      </c>
      <c r="G1527" t="s">
        <v>245</v>
      </c>
      <c r="H1527" t="s">
        <v>596</v>
      </c>
    </row>
    <row r="1528" spans="1:8" x14ac:dyDescent="0.25">
      <c r="A1528" t="s">
        <v>584</v>
      </c>
      <c r="B1528" t="s">
        <v>86</v>
      </c>
      <c r="C1528" s="4">
        <f>0.0000893711852357033*0.941794444922006/(0.056281456328563*0.941794444922006+0.0000893711852357033) * 59.105596743409%</f>
        <v>9.3697750035187872E-4</v>
      </c>
      <c r="D1528" t="s">
        <v>254</v>
      </c>
      <c r="E1528" t="s">
        <v>557</v>
      </c>
      <c r="F1528" t="s">
        <v>584</v>
      </c>
      <c r="G1528" t="s">
        <v>245</v>
      </c>
    </row>
    <row r="1529" spans="1:8" x14ac:dyDescent="0.25">
      <c r="A1529" t="s">
        <v>584</v>
      </c>
      <c r="B1529" t="s">
        <v>87</v>
      </c>
      <c r="C1529" s="4">
        <v>1.441089840803944E-4</v>
      </c>
      <c r="D1529" t="s">
        <v>256</v>
      </c>
      <c r="E1529" t="s">
        <v>583</v>
      </c>
      <c r="F1529" t="s">
        <v>584</v>
      </c>
      <c r="G1529" t="s">
        <v>245</v>
      </c>
    </row>
    <row r="1530" spans="1:8" x14ac:dyDescent="0.25">
      <c r="A1530" t="s">
        <v>584</v>
      </c>
      <c r="B1530" t="s">
        <v>217</v>
      </c>
      <c r="C1530" s="4">
        <v>2.7258432685752171E-3</v>
      </c>
      <c r="D1530" t="s">
        <v>333</v>
      </c>
      <c r="E1530" t="s">
        <v>583</v>
      </c>
      <c r="F1530" t="s">
        <v>584</v>
      </c>
      <c r="G1530" t="s">
        <v>245</v>
      </c>
    </row>
    <row r="1531" spans="1:8" x14ac:dyDescent="0.25">
      <c r="A1531" t="s">
        <v>584</v>
      </c>
      <c r="B1531" t="s">
        <v>128</v>
      </c>
      <c r="C1531" s="4">
        <v>3.6536722226443419E-3</v>
      </c>
      <c r="D1531" t="s">
        <v>256</v>
      </c>
      <c r="E1531" t="s">
        <v>583</v>
      </c>
      <c r="F1531" t="s">
        <v>584</v>
      </c>
      <c r="G1531" t="s">
        <v>245</v>
      </c>
    </row>
    <row r="1532" spans="1:8" x14ac:dyDescent="0.25">
      <c r="A1532" t="s">
        <v>584</v>
      </c>
      <c r="B1532" t="s">
        <v>154</v>
      </c>
      <c r="C1532" s="4">
        <v>1.746775564610841E-3</v>
      </c>
      <c r="D1532" t="s">
        <v>333</v>
      </c>
      <c r="E1532" t="s">
        <v>583</v>
      </c>
      <c r="F1532" t="s">
        <v>584</v>
      </c>
      <c r="G1532" t="s">
        <v>245</v>
      </c>
    </row>
    <row r="1533" spans="1:8" x14ac:dyDescent="0.25">
      <c r="A1533" t="s">
        <v>584</v>
      </c>
      <c r="B1533" t="s">
        <v>91</v>
      </c>
      <c r="C1533" s="4">
        <v>7.0278730190737916E-3</v>
      </c>
      <c r="D1533" t="s">
        <v>333</v>
      </c>
      <c r="E1533" t="s">
        <v>583</v>
      </c>
      <c r="F1533" t="s">
        <v>584</v>
      </c>
      <c r="G1533" t="s">
        <v>245</v>
      </c>
    </row>
    <row r="1534" spans="1:8" x14ac:dyDescent="0.25">
      <c r="A1534" t="s">
        <v>584</v>
      </c>
      <c r="B1534" t="s">
        <v>117</v>
      </c>
      <c r="C1534" s="4">
        <v>1.9241751796601099E-2</v>
      </c>
      <c r="D1534" t="s">
        <v>333</v>
      </c>
      <c r="E1534" t="s">
        <v>583</v>
      </c>
      <c r="F1534" t="s">
        <v>584</v>
      </c>
      <c r="G1534" t="s">
        <v>245</v>
      </c>
    </row>
    <row r="1535" spans="1:8" x14ac:dyDescent="0.25">
      <c r="A1535" t="s">
        <v>584</v>
      </c>
      <c r="B1535" t="s">
        <v>96</v>
      </c>
      <c r="C1535" s="4">
        <v>7.8852360279141039E-4</v>
      </c>
      <c r="D1535" t="s">
        <v>333</v>
      </c>
      <c r="E1535" t="s">
        <v>583</v>
      </c>
      <c r="F1535" t="s">
        <v>584</v>
      </c>
      <c r="G1535" t="s">
        <v>245</v>
      </c>
    </row>
    <row r="1536" spans="1:8" x14ac:dyDescent="0.25">
      <c r="A1536" t="s">
        <v>584</v>
      </c>
      <c r="B1536" t="s">
        <v>97</v>
      </c>
      <c r="C1536" s="4">
        <v>7.7543734251986754E-2</v>
      </c>
      <c r="D1536" t="s">
        <v>308</v>
      </c>
      <c r="E1536" t="s">
        <v>583</v>
      </c>
      <c r="F1536" t="s">
        <v>584</v>
      </c>
      <c r="G1536" t="s">
        <v>245</v>
      </c>
    </row>
    <row r="1537" spans="1:7" x14ac:dyDescent="0.25">
      <c r="A1537" t="s">
        <v>584</v>
      </c>
      <c r="B1537" t="s">
        <v>98</v>
      </c>
      <c r="C1537" s="4">
        <v>2.1338319168025259E-3</v>
      </c>
      <c r="D1537" t="s">
        <v>256</v>
      </c>
      <c r="E1537" t="s">
        <v>583</v>
      </c>
      <c r="F1537" t="s">
        <v>584</v>
      </c>
      <c r="G1537" t="s">
        <v>245</v>
      </c>
    </row>
    <row r="1538" spans="1:7" x14ac:dyDescent="0.25">
      <c r="A1538" t="s">
        <v>584</v>
      </c>
      <c r="B1538" t="s">
        <v>99</v>
      </c>
      <c r="C1538" s="4">
        <v>2.1338901426546798E-2</v>
      </c>
      <c r="D1538" t="s">
        <v>256</v>
      </c>
      <c r="E1538" t="s">
        <v>583</v>
      </c>
      <c r="F1538" t="s">
        <v>584</v>
      </c>
      <c r="G1538" t="s">
        <v>245</v>
      </c>
    </row>
    <row r="1539" spans="1:7" x14ac:dyDescent="0.25">
      <c r="A1539" t="s">
        <v>584</v>
      </c>
      <c r="B1539" t="s">
        <v>182</v>
      </c>
      <c r="C1539" s="4">
        <v>3.1769480581359671E-3</v>
      </c>
      <c r="D1539" t="s">
        <v>333</v>
      </c>
      <c r="E1539" t="s">
        <v>583</v>
      </c>
      <c r="F1539" t="s">
        <v>584</v>
      </c>
      <c r="G1539" t="s">
        <v>245</v>
      </c>
    </row>
    <row r="1540" spans="1:7" x14ac:dyDescent="0.25">
      <c r="A1540" t="s">
        <v>584</v>
      </c>
      <c r="B1540" t="s">
        <v>119</v>
      </c>
      <c r="C1540" s="4">
        <v>5.2768571567798593E-2</v>
      </c>
      <c r="D1540" t="s">
        <v>256</v>
      </c>
      <c r="E1540" t="s">
        <v>583</v>
      </c>
      <c r="F1540" t="s">
        <v>584</v>
      </c>
      <c r="G1540" t="s">
        <v>245</v>
      </c>
    </row>
    <row r="1541" spans="1:7" x14ac:dyDescent="0.25">
      <c r="A1541" t="s">
        <v>584</v>
      </c>
      <c r="B1541" t="s">
        <v>102</v>
      </c>
      <c r="C1541" s="4">
        <v>2.4724619733226139E-3</v>
      </c>
      <c r="D1541" t="s">
        <v>256</v>
      </c>
      <c r="E1541" t="s">
        <v>583</v>
      </c>
      <c r="F1541" t="s">
        <v>584</v>
      </c>
      <c r="G1541" t="s">
        <v>245</v>
      </c>
    </row>
    <row r="1542" spans="1:7" x14ac:dyDescent="0.25">
      <c r="A1542" t="s">
        <v>584</v>
      </c>
      <c r="B1542" t="s">
        <v>148</v>
      </c>
      <c r="C1542" s="4">
        <v>3.3995746038456183E-2</v>
      </c>
      <c r="D1542" t="s">
        <v>256</v>
      </c>
      <c r="E1542" t="s">
        <v>583</v>
      </c>
      <c r="F1542" t="s">
        <v>584</v>
      </c>
      <c r="G1542" t="s">
        <v>245</v>
      </c>
    </row>
    <row r="1543" spans="1:7" x14ac:dyDescent="0.25">
      <c r="A1543" t="s">
        <v>584</v>
      </c>
      <c r="B1543" t="s">
        <v>149</v>
      </c>
      <c r="C1543" s="4">
        <v>1.2372993582660121E-4</v>
      </c>
      <c r="D1543" t="s">
        <v>256</v>
      </c>
      <c r="E1543" t="s">
        <v>583</v>
      </c>
      <c r="F1543" t="s">
        <v>584</v>
      </c>
      <c r="G1543" t="s">
        <v>245</v>
      </c>
    </row>
    <row r="1544" spans="1:7" x14ac:dyDescent="0.25">
      <c r="A1544" t="s">
        <v>584</v>
      </c>
      <c r="B1544" t="s">
        <v>218</v>
      </c>
      <c r="C1544" s="4">
        <v>5.5150639215734262E-4</v>
      </c>
      <c r="D1544" t="s">
        <v>256</v>
      </c>
      <c r="E1544" t="s">
        <v>583</v>
      </c>
      <c r="F1544" t="s">
        <v>584</v>
      </c>
      <c r="G1544" t="s">
        <v>245</v>
      </c>
    </row>
    <row r="1545" spans="1:7" x14ac:dyDescent="0.25">
      <c r="A1545" t="s">
        <v>584</v>
      </c>
      <c r="B1545" t="s">
        <v>103</v>
      </c>
      <c r="C1545" s="4">
        <v>1.1716497099627219E-3</v>
      </c>
      <c r="D1545" t="s">
        <v>256</v>
      </c>
      <c r="E1545" t="s">
        <v>583</v>
      </c>
      <c r="F1545" t="s">
        <v>584</v>
      </c>
      <c r="G1545" t="s">
        <v>245</v>
      </c>
    </row>
    <row r="1546" spans="1:7" x14ac:dyDescent="0.25">
      <c r="A1546" t="s">
        <v>584</v>
      </c>
      <c r="B1546" t="s">
        <v>150</v>
      </c>
      <c r="C1546" s="4">
        <v>6.7961214633792443E-3</v>
      </c>
      <c r="D1546" t="s">
        <v>256</v>
      </c>
      <c r="E1546" t="s">
        <v>583</v>
      </c>
      <c r="F1546" t="s">
        <v>584</v>
      </c>
      <c r="G1546" t="s">
        <v>245</v>
      </c>
    </row>
    <row r="1547" spans="1:7" x14ac:dyDescent="0.25">
      <c r="A1547" t="s">
        <v>584</v>
      </c>
      <c r="B1547" t="s">
        <v>130</v>
      </c>
      <c r="C1547" s="4">
        <v>4.293428773183062E-3</v>
      </c>
      <c r="D1547" t="s">
        <v>333</v>
      </c>
      <c r="E1547" t="s">
        <v>583</v>
      </c>
      <c r="F1547" t="s">
        <v>584</v>
      </c>
      <c r="G1547" t="s">
        <v>245</v>
      </c>
    </row>
    <row r="1548" spans="1:7" x14ac:dyDescent="0.25">
      <c r="A1548" t="s">
        <v>584</v>
      </c>
      <c r="B1548" t="s">
        <v>131</v>
      </c>
      <c r="C1548" s="4">
        <v>4.883693349391142E-4</v>
      </c>
      <c r="D1548" t="s">
        <v>256</v>
      </c>
      <c r="E1548" t="s">
        <v>583</v>
      </c>
      <c r="F1548" t="s">
        <v>584</v>
      </c>
      <c r="G1548" t="s">
        <v>245</v>
      </c>
    </row>
    <row r="1549" spans="1:7" x14ac:dyDescent="0.25">
      <c r="A1549" t="s">
        <v>584</v>
      </c>
      <c r="B1549" t="s">
        <v>132</v>
      </c>
      <c r="C1549" s="4">
        <v>5.3436775814053301E-5</v>
      </c>
      <c r="D1549" t="s">
        <v>333</v>
      </c>
      <c r="E1549" t="s">
        <v>583</v>
      </c>
      <c r="F1549" t="s">
        <v>584</v>
      </c>
      <c r="G1549" t="s">
        <v>245</v>
      </c>
    </row>
    <row r="1550" spans="1:7" x14ac:dyDescent="0.25">
      <c r="A1550" t="s">
        <v>584</v>
      </c>
      <c r="B1550" t="s">
        <v>133</v>
      </c>
      <c r="C1550" s="4">
        <v>1.2046928810599429E-3</v>
      </c>
      <c r="D1550" t="s">
        <v>256</v>
      </c>
      <c r="E1550" t="s">
        <v>583</v>
      </c>
      <c r="F1550" t="s">
        <v>584</v>
      </c>
      <c r="G1550" t="s">
        <v>245</v>
      </c>
    </row>
    <row r="1551" spans="1:7" x14ac:dyDescent="0.25">
      <c r="A1551" t="s">
        <v>584</v>
      </c>
      <c r="B1551" t="s">
        <v>219</v>
      </c>
      <c r="C1551" s="4">
        <v>2.8676232185694639E-5</v>
      </c>
      <c r="D1551" t="s">
        <v>256</v>
      </c>
      <c r="E1551" t="s">
        <v>583</v>
      </c>
      <c r="F1551" t="s">
        <v>584</v>
      </c>
      <c r="G1551" t="s">
        <v>245</v>
      </c>
    </row>
    <row r="1552" spans="1:7" x14ac:dyDescent="0.25">
      <c r="A1552" t="s">
        <v>584</v>
      </c>
      <c r="B1552" t="s">
        <v>151</v>
      </c>
      <c r="C1552" s="4">
        <v>3.098450438861072E-3</v>
      </c>
      <c r="D1552" t="s">
        <v>333</v>
      </c>
      <c r="E1552" t="s">
        <v>583</v>
      </c>
      <c r="F1552" t="s">
        <v>584</v>
      </c>
      <c r="G1552" t="s">
        <v>245</v>
      </c>
    </row>
    <row r="1553" spans="1:7" x14ac:dyDescent="0.25">
      <c r="A1553" t="s">
        <v>584</v>
      </c>
      <c r="B1553" t="s">
        <v>134</v>
      </c>
      <c r="C1553" s="4">
        <v>1.317151601991263E-3</v>
      </c>
      <c r="D1553" t="s">
        <v>256</v>
      </c>
      <c r="E1553" t="s">
        <v>583</v>
      </c>
      <c r="F1553" t="s">
        <v>584</v>
      </c>
      <c r="G1553" t="s">
        <v>245</v>
      </c>
    </row>
    <row r="1554" spans="1:7" x14ac:dyDescent="0.25">
      <c r="A1554" t="s">
        <v>584</v>
      </c>
      <c r="B1554" t="s">
        <v>120</v>
      </c>
      <c r="C1554" s="4">
        <v>1.4197585087381769E-3</v>
      </c>
      <c r="D1554" t="s">
        <v>333</v>
      </c>
      <c r="E1554" t="s">
        <v>583</v>
      </c>
      <c r="F1554" t="s">
        <v>584</v>
      </c>
      <c r="G1554" t="s">
        <v>245</v>
      </c>
    </row>
    <row r="1555" spans="1:7" x14ac:dyDescent="0.25">
      <c r="A1555" t="s">
        <v>584</v>
      </c>
      <c r="B1555" t="s">
        <v>107</v>
      </c>
      <c r="C1555" s="4">
        <v>3.7992368530285793E-2</v>
      </c>
      <c r="D1555" t="s">
        <v>333</v>
      </c>
      <c r="E1555" t="s">
        <v>583</v>
      </c>
      <c r="F1555" t="s">
        <v>584</v>
      </c>
      <c r="G1555" t="s">
        <v>245</v>
      </c>
    </row>
    <row r="1556" spans="1:7" x14ac:dyDescent="0.25">
      <c r="A1556" t="s">
        <v>584</v>
      </c>
      <c r="B1556" t="s">
        <v>108</v>
      </c>
      <c r="C1556" s="4">
        <v>3.7573142394779178E-3</v>
      </c>
      <c r="D1556" t="s">
        <v>256</v>
      </c>
      <c r="E1556" t="s">
        <v>583</v>
      </c>
      <c r="F1556" t="s">
        <v>584</v>
      </c>
      <c r="G1556" t="s">
        <v>245</v>
      </c>
    </row>
    <row r="1557" spans="1:7" x14ac:dyDescent="0.25">
      <c r="A1557" t="s">
        <v>584</v>
      </c>
      <c r="B1557" t="s">
        <v>179</v>
      </c>
      <c r="C1557" s="4">
        <v>1.093190374185618E-3</v>
      </c>
      <c r="D1557" t="s">
        <v>333</v>
      </c>
      <c r="E1557" t="s">
        <v>583</v>
      </c>
      <c r="F1557" t="s">
        <v>584</v>
      </c>
      <c r="G1557" t="s">
        <v>245</v>
      </c>
    </row>
    <row r="1558" spans="1:7" x14ac:dyDescent="0.25">
      <c r="A1558" t="s">
        <v>584</v>
      </c>
      <c r="B1558" t="s">
        <v>135</v>
      </c>
      <c r="C1558" s="4">
        <v>2.5336979564680251E-3</v>
      </c>
      <c r="D1558" t="s">
        <v>333</v>
      </c>
      <c r="E1558" t="s">
        <v>583</v>
      </c>
      <c r="F1558" t="s">
        <v>584</v>
      </c>
      <c r="G1558" t="s">
        <v>245</v>
      </c>
    </row>
    <row r="1559" spans="1:7" x14ac:dyDescent="0.25">
      <c r="A1559" t="s">
        <v>584</v>
      </c>
      <c r="B1559" t="s">
        <v>137</v>
      </c>
      <c r="C1559" s="4">
        <v>2.9952833994164388E-3</v>
      </c>
      <c r="D1559" t="s">
        <v>320</v>
      </c>
      <c r="E1559" t="s">
        <v>456</v>
      </c>
      <c r="F1559" t="s">
        <v>584</v>
      </c>
      <c r="G1559" t="s">
        <v>245</v>
      </c>
    </row>
    <row r="1560" spans="1:7" x14ac:dyDescent="0.25">
      <c r="A1560" t="s">
        <v>584</v>
      </c>
      <c r="B1560" t="s">
        <v>121</v>
      </c>
      <c r="C1560" s="4">
        <v>2.8766482256532859E-3</v>
      </c>
      <c r="D1560" t="s">
        <v>333</v>
      </c>
      <c r="E1560" t="s">
        <v>583</v>
      </c>
      <c r="F1560" t="s">
        <v>584</v>
      </c>
      <c r="G1560" t="s">
        <v>245</v>
      </c>
    </row>
    <row r="1561" spans="1:7" x14ac:dyDescent="0.25">
      <c r="A1561" t="s">
        <v>584</v>
      </c>
      <c r="B1561" t="s">
        <v>138</v>
      </c>
      <c r="C1561" s="4">
        <v>2.2000638236273542E-3</v>
      </c>
      <c r="D1561" t="s">
        <v>333</v>
      </c>
      <c r="E1561" t="s">
        <v>583</v>
      </c>
      <c r="F1561" t="s">
        <v>584</v>
      </c>
      <c r="G1561" t="s">
        <v>245</v>
      </c>
    </row>
    <row r="1562" spans="1:7" x14ac:dyDescent="0.25">
      <c r="A1562" t="s">
        <v>584</v>
      </c>
      <c r="B1562" t="s">
        <v>208</v>
      </c>
      <c r="C1562" s="4">
        <v>1.0526069552344929E-2</v>
      </c>
      <c r="D1562" t="s">
        <v>256</v>
      </c>
      <c r="E1562" t="s">
        <v>583</v>
      </c>
      <c r="F1562" t="s">
        <v>584</v>
      </c>
      <c r="G1562" t="s">
        <v>245</v>
      </c>
    </row>
    <row r="1563" spans="1:7" x14ac:dyDescent="0.25">
      <c r="A1563" t="s">
        <v>584</v>
      </c>
      <c r="B1563" t="s">
        <v>112</v>
      </c>
      <c r="C1563" s="4">
        <v>7.485661117509374E-3</v>
      </c>
      <c r="D1563" t="s">
        <v>256</v>
      </c>
      <c r="E1563" t="s">
        <v>583</v>
      </c>
      <c r="F1563" t="s">
        <v>584</v>
      </c>
      <c r="G1563" t="s">
        <v>245</v>
      </c>
    </row>
    <row r="1564" spans="1:7" x14ac:dyDescent="0.25">
      <c r="A1564" t="s">
        <v>584</v>
      </c>
      <c r="B1564" t="s">
        <v>113</v>
      </c>
      <c r="C1564" s="4">
        <v>1.6573115427766891E-2</v>
      </c>
      <c r="D1564" t="s">
        <v>256</v>
      </c>
      <c r="E1564" t="s">
        <v>583</v>
      </c>
      <c r="F1564" t="s">
        <v>584</v>
      </c>
      <c r="G1564" t="s">
        <v>245</v>
      </c>
    </row>
    <row r="1565" spans="1:7" x14ac:dyDescent="0.25">
      <c r="A1565" t="s">
        <v>584</v>
      </c>
      <c r="B1565" t="s">
        <v>122</v>
      </c>
      <c r="C1565" s="4">
        <v>1.482182735961414E-2</v>
      </c>
      <c r="D1565" t="s">
        <v>333</v>
      </c>
      <c r="E1565" t="s">
        <v>583</v>
      </c>
      <c r="F1565" t="s">
        <v>584</v>
      </c>
      <c r="G1565" t="s">
        <v>245</v>
      </c>
    </row>
    <row r="1566" spans="1:7" x14ac:dyDescent="0.25">
      <c r="A1566" t="s">
        <v>584</v>
      </c>
      <c r="B1566" t="s">
        <v>123</v>
      </c>
      <c r="C1566" s="4">
        <v>2.58988590379634E-3</v>
      </c>
      <c r="D1566" t="s">
        <v>256</v>
      </c>
      <c r="E1566" t="s">
        <v>583</v>
      </c>
      <c r="F1566" t="s">
        <v>584</v>
      </c>
      <c r="G1566" t="s">
        <v>245</v>
      </c>
    </row>
    <row r="1567" spans="1:7" x14ac:dyDescent="0.25">
      <c r="A1567" t="s">
        <v>584</v>
      </c>
      <c r="B1567" t="s">
        <v>140</v>
      </c>
      <c r="C1567" s="4">
        <v>4.1036416080880954E-3</v>
      </c>
      <c r="D1567" t="s">
        <v>333</v>
      </c>
      <c r="E1567" t="s">
        <v>583</v>
      </c>
      <c r="F1567" t="s">
        <v>584</v>
      </c>
      <c r="G1567" t="s">
        <v>245</v>
      </c>
    </row>
    <row r="1568" spans="1:7" x14ac:dyDescent="0.25">
      <c r="A1568" t="s">
        <v>584</v>
      </c>
      <c r="B1568" t="s">
        <v>114</v>
      </c>
      <c r="C1568" s="4">
        <v>2.7671836236043399E-4</v>
      </c>
      <c r="D1568" t="s">
        <v>256</v>
      </c>
      <c r="E1568" t="s">
        <v>583</v>
      </c>
      <c r="F1568" t="s">
        <v>584</v>
      </c>
      <c r="G1568" t="s">
        <v>245</v>
      </c>
    </row>
    <row r="1569" spans="1:7" x14ac:dyDescent="0.25">
      <c r="A1569" t="s">
        <v>584</v>
      </c>
      <c r="B1569" t="s">
        <v>115</v>
      </c>
      <c r="C1569" s="4">
        <v>6.1732504099650956E-3</v>
      </c>
      <c r="D1569" t="s">
        <v>256</v>
      </c>
      <c r="E1569" t="s">
        <v>583</v>
      </c>
      <c r="F1569" t="s">
        <v>584</v>
      </c>
      <c r="G1569" t="s">
        <v>245</v>
      </c>
    </row>
    <row r="1570" spans="1:7" x14ac:dyDescent="0.25">
      <c r="A1570" t="s">
        <v>33</v>
      </c>
      <c r="B1570" t="s">
        <v>183</v>
      </c>
      <c r="C1570" s="4">
        <v>1.4230533735279951E-3</v>
      </c>
      <c r="G1570" t="s">
        <v>278</v>
      </c>
    </row>
    <row r="1571" spans="1:7" x14ac:dyDescent="0.25">
      <c r="A1571" t="s">
        <v>33</v>
      </c>
      <c r="B1571" t="s">
        <v>184</v>
      </c>
      <c r="C1571" s="4">
        <v>1.4539775223236851E-4</v>
      </c>
      <c r="G1571" t="s">
        <v>278</v>
      </c>
    </row>
    <row r="1572" spans="1:7" x14ac:dyDescent="0.25">
      <c r="A1572" t="s">
        <v>33</v>
      </c>
      <c r="B1572" t="s">
        <v>124</v>
      </c>
      <c r="C1572" s="4">
        <v>2.490942681125916E-3</v>
      </c>
      <c r="G1572" t="s">
        <v>278</v>
      </c>
    </row>
    <row r="1573" spans="1:7" x14ac:dyDescent="0.25">
      <c r="A1573" t="s">
        <v>33</v>
      </c>
      <c r="B1573" t="s">
        <v>83</v>
      </c>
      <c r="C1573" s="4">
        <v>3.0288304894136829E-3</v>
      </c>
      <c r="G1573" t="s">
        <v>278</v>
      </c>
    </row>
    <row r="1574" spans="1:7" x14ac:dyDescent="0.25">
      <c r="A1574" t="s">
        <v>33</v>
      </c>
      <c r="B1574" t="s">
        <v>181</v>
      </c>
      <c r="C1574" s="4">
        <v>4.0286244958461382E-3</v>
      </c>
      <c r="G1574" t="s">
        <v>278</v>
      </c>
    </row>
    <row r="1575" spans="1:7" x14ac:dyDescent="0.25">
      <c r="A1575" t="s">
        <v>33</v>
      </c>
      <c r="B1575" t="s">
        <v>125</v>
      </c>
      <c r="C1575" s="4">
        <v>1.8048342340967681E-4</v>
      </c>
      <c r="G1575" t="s">
        <v>278</v>
      </c>
    </row>
    <row r="1576" spans="1:7" x14ac:dyDescent="0.25">
      <c r="A1576" t="s">
        <v>33</v>
      </c>
      <c r="B1576" t="s">
        <v>220</v>
      </c>
      <c r="C1576" s="4">
        <v>1.3750638688516351E-3</v>
      </c>
      <c r="G1576" t="s">
        <v>278</v>
      </c>
    </row>
    <row r="1577" spans="1:7" x14ac:dyDescent="0.25">
      <c r="A1577" t="s">
        <v>33</v>
      </c>
      <c r="B1577" t="s">
        <v>163</v>
      </c>
      <c r="C1577" s="4">
        <v>3.9726463612366767E-3</v>
      </c>
      <c r="G1577" t="s">
        <v>278</v>
      </c>
    </row>
    <row r="1578" spans="1:7" x14ac:dyDescent="0.25">
      <c r="A1578" t="s">
        <v>33</v>
      </c>
      <c r="B1578" t="s">
        <v>84</v>
      </c>
      <c r="C1578" s="4">
        <v>4.0446475451537162E-4</v>
      </c>
      <c r="G1578" t="s">
        <v>278</v>
      </c>
    </row>
    <row r="1579" spans="1:7" x14ac:dyDescent="0.25">
      <c r="A1579" t="s">
        <v>33</v>
      </c>
      <c r="B1579" t="s">
        <v>85</v>
      </c>
      <c r="C1579" s="4">
        <v>1.8468596097811849E-2</v>
      </c>
      <c r="G1579" t="s">
        <v>278</v>
      </c>
    </row>
    <row r="1580" spans="1:7" x14ac:dyDescent="0.25">
      <c r="A1580" t="s">
        <v>33</v>
      </c>
      <c r="B1580" t="s">
        <v>147</v>
      </c>
      <c r="C1580" s="4">
        <v>3.1637031804769919E-4</v>
      </c>
      <c r="G1580" t="s">
        <v>278</v>
      </c>
    </row>
    <row r="1581" spans="1:7" x14ac:dyDescent="0.25">
      <c r="A1581" t="s">
        <v>33</v>
      </c>
      <c r="B1581" t="s">
        <v>116</v>
      </c>
      <c r="C1581" s="4">
        <v>6.8788436121630294E-3</v>
      </c>
      <c r="G1581" t="s">
        <v>278</v>
      </c>
    </row>
    <row r="1582" spans="1:7" x14ac:dyDescent="0.25">
      <c r="A1582" t="s">
        <v>33</v>
      </c>
      <c r="B1582" t="s">
        <v>145</v>
      </c>
      <c r="C1582" s="4">
        <v>6.4224574288312638E-4</v>
      </c>
      <c r="G1582" t="s">
        <v>278</v>
      </c>
    </row>
    <row r="1583" spans="1:7" x14ac:dyDescent="0.25">
      <c r="A1583" t="s">
        <v>33</v>
      </c>
      <c r="B1583" t="s">
        <v>86</v>
      </c>
      <c r="C1583" s="4">
        <v>0.53099238499161794</v>
      </c>
      <c r="G1583" t="s">
        <v>278</v>
      </c>
    </row>
    <row r="1584" spans="1:7" x14ac:dyDescent="0.25">
      <c r="A1584" t="s">
        <v>33</v>
      </c>
      <c r="B1584" t="s">
        <v>87</v>
      </c>
      <c r="C1584" s="4">
        <v>6.8006000904206703E-4</v>
      </c>
      <c r="G1584" t="s">
        <v>278</v>
      </c>
    </row>
    <row r="1585" spans="1:7" x14ac:dyDescent="0.25">
      <c r="A1585" t="s">
        <v>33</v>
      </c>
      <c r="B1585" t="s">
        <v>159</v>
      </c>
      <c r="C1585" s="4">
        <v>1.6275867787205429E-5</v>
      </c>
      <c r="G1585" t="s">
        <v>278</v>
      </c>
    </row>
    <row r="1586" spans="1:7" x14ac:dyDescent="0.25">
      <c r="A1586" t="s">
        <v>33</v>
      </c>
      <c r="B1586" t="s">
        <v>88</v>
      </c>
      <c r="C1586" s="4">
        <v>4.7237125561450589E-5</v>
      </c>
      <c r="G1586" t="s">
        <v>278</v>
      </c>
    </row>
    <row r="1587" spans="1:7" x14ac:dyDescent="0.25">
      <c r="A1587" t="s">
        <v>33</v>
      </c>
      <c r="B1587" t="s">
        <v>160</v>
      </c>
      <c r="C1587" s="4">
        <v>1.1852086922642999E-4</v>
      </c>
      <c r="G1587" t="s">
        <v>278</v>
      </c>
    </row>
    <row r="1588" spans="1:7" x14ac:dyDescent="0.25">
      <c r="A1588" t="s">
        <v>33</v>
      </c>
      <c r="B1588" t="s">
        <v>217</v>
      </c>
      <c r="C1588" s="4">
        <v>2.3566371498020991E-3</v>
      </c>
      <c r="G1588" t="s">
        <v>278</v>
      </c>
    </row>
    <row r="1589" spans="1:7" x14ac:dyDescent="0.25">
      <c r="A1589" t="s">
        <v>33</v>
      </c>
      <c r="B1589" t="s">
        <v>89</v>
      </c>
      <c r="C1589" s="4">
        <v>3.2551735574410858E-5</v>
      </c>
      <c r="G1589" t="s">
        <v>278</v>
      </c>
    </row>
    <row r="1590" spans="1:7" x14ac:dyDescent="0.25">
      <c r="A1590" t="s">
        <v>33</v>
      </c>
      <c r="B1590" t="s">
        <v>167</v>
      </c>
      <c r="C1590" s="4">
        <v>3.0869895903066298E-4</v>
      </c>
      <c r="G1590" t="s">
        <v>278</v>
      </c>
    </row>
    <row r="1591" spans="1:7" x14ac:dyDescent="0.25">
      <c r="A1591" t="s">
        <v>33</v>
      </c>
      <c r="B1591" t="s">
        <v>128</v>
      </c>
      <c r="C1591" s="4">
        <v>4.3897208985730794E-3</v>
      </c>
      <c r="G1591" t="s">
        <v>278</v>
      </c>
    </row>
    <row r="1592" spans="1:7" x14ac:dyDescent="0.25">
      <c r="A1592" t="s">
        <v>33</v>
      </c>
      <c r="B1592" t="s">
        <v>221</v>
      </c>
      <c r="C1592" s="4">
        <v>5.2299788489553457E-5</v>
      </c>
      <c r="G1592" t="s">
        <v>278</v>
      </c>
    </row>
    <row r="1593" spans="1:7" x14ac:dyDescent="0.25">
      <c r="A1593" t="s">
        <v>33</v>
      </c>
      <c r="B1593" t="s">
        <v>154</v>
      </c>
      <c r="C1593" s="4">
        <v>2.107034130614215E-3</v>
      </c>
      <c r="G1593" t="s">
        <v>278</v>
      </c>
    </row>
    <row r="1594" spans="1:7" x14ac:dyDescent="0.25">
      <c r="A1594" t="s">
        <v>33</v>
      </c>
      <c r="B1594" t="s">
        <v>91</v>
      </c>
      <c r="C1594" s="4">
        <v>7.6913335215251163E-3</v>
      </c>
      <c r="G1594" t="s">
        <v>278</v>
      </c>
    </row>
    <row r="1595" spans="1:7" x14ac:dyDescent="0.25">
      <c r="A1595" t="s">
        <v>33</v>
      </c>
      <c r="B1595" t="s">
        <v>117</v>
      </c>
      <c r="C1595" s="4">
        <v>2.1815847664614418E-2</v>
      </c>
      <c r="G1595" t="s">
        <v>278</v>
      </c>
    </row>
    <row r="1596" spans="1:7" x14ac:dyDescent="0.25">
      <c r="A1596" t="s">
        <v>33</v>
      </c>
      <c r="B1596" t="s">
        <v>92</v>
      </c>
      <c r="C1596" s="4">
        <v>1.3563223156004531E-4</v>
      </c>
      <c r="G1596" t="s">
        <v>278</v>
      </c>
    </row>
    <row r="1597" spans="1:7" x14ac:dyDescent="0.25">
      <c r="A1597" t="s">
        <v>33</v>
      </c>
      <c r="B1597" t="s">
        <v>93</v>
      </c>
      <c r="C1597" s="4">
        <v>7.6843797112659251E-4</v>
      </c>
      <c r="G1597" t="s">
        <v>278</v>
      </c>
    </row>
    <row r="1598" spans="1:7" x14ac:dyDescent="0.25">
      <c r="A1598" t="s">
        <v>33</v>
      </c>
      <c r="B1598" t="s">
        <v>196</v>
      </c>
      <c r="C1598" s="4">
        <v>1.5719233108883011E-4</v>
      </c>
      <c r="G1598" t="s">
        <v>278</v>
      </c>
    </row>
    <row r="1599" spans="1:7" x14ac:dyDescent="0.25">
      <c r="A1599" t="s">
        <v>33</v>
      </c>
      <c r="B1599" t="s">
        <v>96</v>
      </c>
      <c r="C1599" s="4">
        <v>8.9742964862945802E-4</v>
      </c>
      <c r="G1599" t="s">
        <v>278</v>
      </c>
    </row>
    <row r="1600" spans="1:7" x14ac:dyDescent="0.25">
      <c r="A1600" t="s">
        <v>33</v>
      </c>
      <c r="B1600" t="s">
        <v>97</v>
      </c>
      <c r="C1600" s="4">
        <v>5.8087053051542721E-2</v>
      </c>
      <c r="G1600" t="s">
        <v>278</v>
      </c>
    </row>
    <row r="1601" spans="1:7" x14ac:dyDescent="0.25">
      <c r="A1601" t="s">
        <v>33</v>
      </c>
      <c r="B1601" t="s">
        <v>98</v>
      </c>
      <c r="C1601" s="4">
        <v>5.1121741179115526E-3</v>
      </c>
      <c r="G1601" t="s">
        <v>278</v>
      </c>
    </row>
    <row r="1602" spans="1:7" x14ac:dyDescent="0.25">
      <c r="A1602" t="s">
        <v>33</v>
      </c>
      <c r="B1602" t="s">
        <v>99</v>
      </c>
      <c r="C1602" s="4">
        <v>1.111145399300935E-2</v>
      </c>
      <c r="G1602" t="s">
        <v>278</v>
      </c>
    </row>
    <row r="1603" spans="1:7" x14ac:dyDescent="0.25">
      <c r="A1603" t="s">
        <v>33</v>
      </c>
      <c r="B1603" t="s">
        <v>222</v>
      </c>
      <c r="C1603" s="4">
        <v>1.6275867787205429E-4</v>
      </c>
      <c r="G1603" t="s">
        <v>278</v>
      </c>
    </row>
    <row r="1604" spans="1:7" x14ac:dyDescent="0.25">
      <c r="A1604" t="s">
        <v>33</v>
      </c>
      <c r="B1604" t="s">
        <v>182</v>
      </c>
      <c r="C1604" s="4">
        <v>1.26392963946175E-2</v>
      </c>
      <c r="G1604" t="s">
        <v>278</v>
      </c>
    </row>
    <row r="1605" spans="1:7" x14ac:dyDescent="0.25">
      <c r="A1605" t="s">
        <v>33</v>
      </c>
      <c r="B1605" t="s">
        <v>119</v>
      </c>
      <c r="C1605" s="4">
        <v>5.2894759238356077E-2</v>
      </c>
      <c r="G1605" t="s">
        <v>278</v>
      </c>
    </row>
    <row r="1606" spans="1:7" x14ac:dyDescent="0.25">
      <c r="A1606" t="s">
        <v>33</v>
      </c>
      <c r="B1606" t="s">
        <v>223</v>
      </c>
      <c r="C1606" s="4">
        <v>1.877150084791027E-4</v>
      </c>
      <c r="G1606" t="s">
        <v>278</v>
      </c>
    </row>
    <row r="1607" spans="1:7" x14ac:dyDescent="0.25">
      <c r="A1607" t="s">
        <v>33</v>
      </c>
      <c r="B1607" t="s">
        <v>102</v>
      </c>
      <c r="C1607" s="4">
        <v>2.3143269464314061E-3</v>
      </c>
      <c r="G1607" t="s">
        <v>278</v>
      </c>
    </row>
    <row r="1608" spans="1:7" x14ac:dyDescent="0.25">
      <c r="A1608" t="s">
        <v>33</v>
      </c>
      <c r="B1608" t="s">
        <v>198</v>
      </c>
      <c r="C1608" s="4">
        <v>2.164690415698323E-4</v>
      </c>
      <c r="G1608" t="s">
        <v>278</v>
      </c>
    </row>
    <row r="1609" spans="1:7" x14ac:dyDescent="0.25">
      <c r="A1609" t="s">
        <v>33</v>
      </c>
      <c r="B1609" t="s">
        <v>148</v>
      </c>
      <c r="C1609" s="4">
        <v>3.8243406539596597E-2</v>
      </c>
      <c r="G1609" t="s">
        <v>278</v>
      </c>
    </row>
    <row r="1610" spans="1:7" x14ac:dyDescent="0.25">
      <c r="A1610" t="s">
        <v>33</v>
      </c>
      <c r="B1610" t="s">
        <v>149</v>
      </c>
      <c r="C1610" s="4">
        <v>4.448737195169485E-4</v>
      </c>
      <c r="E1610" s="34"/>
      <c r="G1610" t="s">
        <v>278</v>
      </c>
    </row>
    <row r="1611" spans="1:7" x14ac:dyDescent="0.25">
      <c r="A1611" t="s">
        <v>33</v>
      </c>
      <c r="B1611" t="s">
        <v>224</v>
      </c>
      <c r="C1611" s="4">
        <v>5.6097490973234729E-4</v>
      </c>
      <c r="G1611" t="s">
        <v>278</v>
      </c>
    </row>
    <row r="1612" spans="1:7" x14ac:dyDescent="0.25">
      <c r="A1612" t="s">
        <v>33</v>
      </c>
      <c r="B1612" t="s">
        <v>218</v>
      </c>
      <c r="C1612" s="4">
        <v>2.8363618424828642E-4</v>
      </c>
      <c r="E1612" s="34"/>
      <c r="G1612" t="s">
        <v>278</v>
      </c>
    </row>
    <row r="1613" spans="1:7" x14ac:dyDescent="0.25">
      <c r="A1613" t="s">
        <v>33</v>
      </c>
      <c r="B1613" t="s">
        <v>225</v>
      </c>
      <c r="C1613" s="4">
        <v>1.1369236178289241E-3</v>
      </c>
      <c r="G1613" t="s">
        <v>278</v>
      </c>
    </row>
    <row r="1614" spans="1:7" x14ac:dyDescent="0.25">
      <c r="A1614" t="s">
        <v>33</v>
      </c>
      <c r="B1614" t="s">
        <v>103</v>
      </c>
      <c r="C1614" s="4">
        <v>3.0758739321484659E-3</v>
      </c>
      <c r="G1614" t="s">
        <v>278</v>
      </c>
    </row>
    <row r="1615" spans="1:7" x14ac:dyDescent="0.25">
      <c r="A1615" t="s">
        <v>33</v>
      </c>
      <c r="B1615" t="s">
        <v>172</v>
      </c>
      <c r="C1615" s="4">
        <v>2.7126446312009059E-6</v>
      </c>
      <c r="G1615" t="s">
        <v>278</v>
      </c>
    </row>
    <row r="1616" spans="1:7" x14ac:dyDescent="0.25">
      <c r="A1616" t="s">
        <v>33</v>
      </c>
      <c r="B1616" t="s">
        <v>150</v>
      </c>
      <c r="C1616" s="4">
        <v>1.02411015290654E-2</v>
      </c>
      <c r="G1616" t="s">
        <v>278</v>
      </c>
    </row>
    <row r="1617" spans="1:7" x14ac:dyDescent="0.25">
      <c r="A1617" t="s">
        <v>33</v>
      </c>
      <c r="B1617" t="s">
        <v>226</v>
      </c>
      <c r="C1617" s="4">
        <v>2.5968689583412511E-4</v>
      </c>
      <c r="G1617" t="s">
        <v>278</v>
      </c>
    </row>
    <row r="1618" spans="1:7" x14ac:dyDescent="0.25">
      <c r="A1618" t="s">
        <v>33</v>
      </c>
      <c r="B1618" t="s">
        <v>173</v>
      </c>
      <c r="C1618" s="4">
        <v>2.7126446312009059E-5</v>
      </c>
      <c r="G1618" t="s">
        <v>278</v>
      </c>
    </row>
    <row r="1619" spans="1:7" x14ac:dyDescent="0.25">
      <c r="A1619" t="s">
        <v>33</v>
      </c>
      <c r="B1619" t="s">
        <v>104</v>
      </c>
      <c r="C1619" s="4">
        <v>1.094367648854644E-5</v>
      </c>
      <c r="G1619" t="s">
        <v>278</v>
      </c>
    </row>
    <row r="1620" spans="1:7" x14ac:dyDescent="0.25">
      <c r="A1620" t="s">
        <v>33</v>
      </c>
      <c r="B1620" t="s">
        <v>161</v>
      </c>
      <c r="C1620" s="4">
        <v>2.5932882674280661E-4</v>
      </c>
      <c r="G1620" t="s">
        <v>278</v>
      </c>
    </row>
    <row r="1621" spans="1:7" x14ac:dyDescent="0.25">
      <c r="A1621" t="s">
        <v>33</v>
      </c>
      <c r="B1621" t="s">
        <v>174</v>
      </c>
      <c r="C1621" s="4">
        <v>1.7903454565925981E-4</v>
      </c>
      <c r="G1621" t="s">
        <v>278</v>
      </c>
    </row>
    <row r="1622" spans="1:7" x14ac:dyDescent="0.25">
      <c r="A1622" t="s">
        <v>33</v>
      </c>
      <c r="B1622" t="s">
        <v>130</v>
      </c>
      <c r="C1622" s="4">
        <v>3.5725855310271672E-3</v>
      </c>
      <c r="G1622" t="s">
        <v>278</v>
      </c>
    </row>
    <row r="1623" spans="1:7" x14ac:dyDescent="0.25">
      <c r="A1623" t="s">
        <v>33</v>
      </c>
      <c r="B1623" t="s">
        <v>131</v>
      </c>
      <c r="C1623" s="4">
        <v>3.480648579186506E-4</v>
      </c>
      <c r="G1623" t="s">
        <v>278</v>
      </c>
    </row>
    <row r="1624" spans="1:7" x14ac:dyDescent="0.25">
      <c r="A1624" t="s">
        <v>33</v>
      </c>
      <c r="B1624" t="s">
        <v>203</v>
      </c>
      <c r="C1624" s="4">
        <v>3.4721851279371591E-4</v>
      </c>
      <c r="G1624" t="s">
        <v>278</v>
      </c>
    </row>
    <row r="1625" spans="1:7" x14ac:dyDescent="0.25">
      <c r="A1625" t="s">
        <v>33</v>
      </c>
      <c r="B1625" t="s">
        <v>176</v>
      </c>
      <c r="C1625" s="4">
        <v>1.422966568899797E-4</v>
      </c>
      <c r="G1625" t="s">
        <v>278</v>
      </c>
    </row>
    <row r="1626" spans="1:7" x14ac:dyDescent="0.25">
      <c r="A1626" t="s">
        <v>33</v>
      </c>
      <c r="B1626" t="s">
        <v>132</v>
      </c>
      <c r="C1626" s="4">
        <v>3.3037841492322071E-4</v>
      </c>
      <c r="G1626" t="s">
        <v>278</v>
      </c>
    </row>
    <row r="1627" spans="1:7" x14ac:dyDescent="0.25">
      <c r="A1627" t="s">
        <v>33</v>
      </c>
      <c r="B1627" t="s">
        <v>106</v>
      </c>
      <c r="C1627" s="4">
        <v>2.3952326576148252E-3</v>
      </c>
      <c r="G1627" t="s">
        <v>278</v>
      </c>
    </row>
    <row r="1628" spans="1:7" x14ac:dyDescent="0.25">
      <c r="A1628" t="s">
        <v>33</v>
      </c>
      <c r="B1628" t="s">
        <v>219</v>
      </c>
      <c r="C1628" s="4">
        <v>1.3584924313054129E-5</v>
      </c>
      <c r="G1628" t="s">
        <v>278</v>
      </c>
    </row>
    <row r="1629" spans="1:7" x14ac:dyDescent="0.25">
      <c r="A1629" t="s">
        <v>33</v>
      </c>
      <c r="B1629" t="s">
        <v>146</v>
      </c>
      <c r="C1629" s="4">
        <v>6.0969400730871552E-4</v>
      </c>
      <c r="G1629" t="s">
        <v>278</v>
      </c>
    </row>
    <row r="1630" spans="1:7" x14ac:dyDescent="0.25">
      <c r="A1630" t="s">
        <v>33</v>
      </c>
      <c r="B1630" t="s">
        <v>156</v>
      </c>
      <c r="C1630" s="4">
        <v>8.0942060621477579E-4</v>
      </c>
      <c r="G1630" t="s">
        <v>278</v>
      </c>
    </row>
    <row r="1631" spans="1:7" x14ac:dyDescent="0.25">
      <c r="A1631" t="s">
        <v>33</v>
      </c>
      <c r="B1631" t="s">
        <v>151</v>
      </c>
      <c r="C1631" s="4">
        <v>5.0355744588157017E-3</v>
      </c>
      <c r="G1631" t="s">
        <v>278</v>
      </c>
    </row>
    <row r="1632" spans="1:7" x14ac:dyDescent="0.25">
      <c r="A1632" t="s">
        <v>33</v>
      </c>
      <c r="B1632" t="s">
        <v>178</v>
      </c>
      <c r="C1632" s="4">
        <v>1.13711892824237E-3</v>
      </c>
      <c r="E1632" s="34"/>
      <c r="G1632" t="s">
        <v>278</v>
      </c>
    </row>
    <row r="1633" spans="1:7" x14ac:dyDescent="0.25">
      <c r="A1633" t="s">
        <v>33</v>
      </c>
      <c r="B1633" t="s">
        <v>134</v>
      </c>
      <c r="C1633" s="4">
        <v>1.0848299903313411E-3</v>
      </c>
      <c r="G1633" t="s">
        <v>278</v>
      </c>
    </row>
    <row r="1634" spans="1:7" x14ac:dyDescent="0.25">
      <c r="A1634" t="s">
        <v>33</v>
      </c>
      <c r="B1634" t="s">
        <v>120</v>
      </c>
      <c r="C1634" s="4">
        <v>1.799800325201756E-3</v>
      </c>
      <c r="E1634" s="34"/>
      <c r="G1634" t="s">
        <v>278</v>
      </c>
    </row>
    <row r="1635" spans="1:7" x14ac:dyDescent="0.25">
      <c r="A1635" t="s">
        <v>33</v>
      </c>
      <c r="B1635" t="s">
        <v>107</v>
      </c>
      <c r="C1635" s="4">
        <v>4.0505513883313762E-2</v>
      </c>
      <c r="G1635" t="s">
        <v>278</v>
      </c>
    </row>
    <row r="1636" spans="1:7" x14ac:dyDescent="0.25">
      <c r="A1636" t="s">
        <v>33</v>
      </c>
      <c r="B1636" t="s">
        <v>108</v>
      </c>
      <c r="C1636" s="4">
        <v>4.0927731160847773E-3</v>
      </c>
      <c r="G1636" t="s">
        <v>278</v>
      </c>
    </row>
    <row r="1637" spans="1:7" x14ac:dyDescent="0.25">
      <c r="A1637" t="s">
        <v>33</v>
      </c>
      <c r="B1637" t="s">
        <v>179</v>
      </c>
      <c r="C1637" s="4">
        <v>9.2258128964995279E-4</v>
      </c>
      <c r="G1637" t="s">
        <v>278</v>
      </c>
    </row>
    <row r="1638" spans="1:7" x14ac:dyDescent="0.25">
      <c r="A1638" t="s">
        <v>33</v>
      </c>
      <c r="B1638" t="s">
        <v>227</v>
      </c>
      <c r="C1638" s="4">
        <v>3.2089500929254229E-4</v>
      </c>
      <c r="G1638" t="s">
        <v>278</v>
      </c>
    </row>
    <row r="1639" spans="1:7" x14ac:dyDescent="0.25">
      <c r="A1639" t="s">
        <v>33</v>
      </c>
      <c r="B1639" t="s">
        <v>135</v>
      </c>
      <c r="C1639" s="4">
        <v>2.4050307300227231E-3</v>
      </c>
      <c r="G1639" t="s">
        <v>278</v>
      </c>
    </row>
    <row r="1640" spans="1:7" x14ac:dyDescent="0.25">
      <c r="A1640" t="s">
        <v>33</v>
      </c>
      <c r="B1640" t="s">
        <v>136</v>
      </c>
      <c r="C1640" s="4">
        <v>3.442346036993949E-4</v>
      </c>
      <c r="G1640" t="s">
        <v>278</v>
      </c>
    </row>
    <row r="1641" spans="1:7" x14ac:dyDescent="0.25">
      <c r="A1641" t="s">
        <v>33</v>
      </c>
      <c r="B1641" t="s">
        <v>137</v>
      </c>
      <c r="C1641" s="4">
        <v>3.0030278136816998E-3</v>
      </c>
      <c r="G1641" t="s">
        <v>278</v>
      </c>
    </row>
    <row r="1642" spans="1:7" x14ac:dyDescent="0.25">
      <c r="A1642" t="s">
        <v>33</v>
      </c>
      <c r="B1642" t="s">
        <v>121</v>
      </c>
      <c r="C1642" s="4">
        <v>7.3277103445771059E-3</v>
      </c>
      <c r="G1642" t="s">
        <v>278</v>
      </c>
    </row>
    <row r="1643" spans="1:7" x14ac:dyDescent="0.25">
      <c r="A1643" t="s">
        <v>33</v>
      </c>
      <c r="B1643" t="s">
        <v>211</v>
      </c>
      <c r="C1643" s="4">
        <v>1.6275867787205429E-5</v>
      </c>
      <c r="G1643" t="s">
        <v>278</v>
      </c>
    </row>
    <row r="1644" spans="1:7" x14ac:dyDescent="0.25">
      <c r="A1644" t="s">
        <v>33</v>
      </c>
      <c r="B1644" t="s">
        <v>138</v>
      </c>
      <c r="C1644" s="4">
        <v>2.5379177652159932E-3</v>
      </c>
      <c r="G1644" t="s">
        <v>278</v>
      </c>
    </row>
    <row r="1645" spans="1:7" x14ac:dyDescent="0.25">
      <c r="A1645" t="s">
        <v>33</v>
      </c>
      <c r="B1645" t="s">
        <v>228</v>
      </c>
      <c r="C1645" s="4">
        <v>7.4128863009389611E-4</v>
      </c>
      <c r="G1645" t="s">
        <v>278</v>
      </c>
    </row>
    <row r="1646" spans="1:7" x14ac:dyDescent="0.25">
      <c r="A1646" t="s">
        <v>33</v>
      </c>
      <c r="B1646" t="s">
        <v>229</v>
      </c>
      <c r="C1646" s="4">
        <v>2.7126446312009059E-6</v>
      </c>
      <c r="G1646" t="s">
        <v>278</v>
      </c>
    </row>
    <row r="1647" spans="1:7" x14ac:dyDescent="0.25">
      <c r="A1647" t="s">
        <v>33</v>
      </c>
      <c r="B1647" t="s">
        <v>208</v>
      </c>
      <c r="C1647" s="4">
        <v>1.167739260839366E-2</v>
      </c>
      <c r="E1647" s="34"/>
      <c r="G1647" t="s">
        <v>278</v>
      </c>
    </row>
    <row r="1648" spans="1:7" x14ac:dyDescent="0.25">
      <c r="A1648" t="s">
        <v>33</v>
      </c>
      <c r="B1648" t="s">
        <v>215</v>
      </c>
      <c r="C1648" s="4">
        <v>2.9676766288478898E-3</v>
      </c>
      <c r="G1648" t="s">
        <v>278</v>
      </c>
    </row>
    <row r="1649" spans="1:7" x14ac:dyDescent="0.25">
      <c r="A1649" t="s">
        <v>33</v>
      </c>
      <c r="B1649" t="s">
        <v>216</v>
      </c>
      <c r="C1649" s="4">
        <v>3.9062082689293041E-5</v>
      </c>
      <c r="E1649" s="34"/>
      <c r="G1649" t="s">
        <v>278</v>
      </c>
    </row>
    <row r="1650" spans="1:7" x14ac:dyDescent="0.25">
      <c r="A1650" t="s">
        <v>33</v>
      </c>
      <c r="B1650" t="s">
        <v>112</v>
      </c>
      <c r="C1650" s="4">
        <v>2.0046335318789441E-2</v>
      </c>
      <c r="G1650" t="s">
        <v>278</v>
      </c>
    </row>
    <row r="1651" spans="1:7" x14ac:dyDescent="0.25">
      <c r="A1651" t="s">
        <v>33</v>
      </c>
      <c r="B1651" t="s">
        <v>113</v>
      </c>
      <c r="C1651" s="4">
        <v>4.4977026008783658E-2</v>
      </c>
      <c r="E1651" s="34"/>
      <c r="G1651" t="s">
        <v>278</v>
      </c>
    </row>
    <row r="1652" spans="1:7" x14ac:dyDescent="0.25">
      <c r="A1652" t="s">
        <v>33</v>
      </c>
      <c r="B1652" t="s">
        <v>142</v>
      </c>
      <c r="C1652" s="4">
        <v>1.6275867787205429E-5</v>
      </c>
      <c r="G1652" t="s">
        <v>278</v>
      </c>
    </row>
    <row r="1653" spans="1:7" x14ac:dyDescent="0.25">
      <c r="A1653" t="s">
        <v>33</v>
      </c>
      <c r="B1653" t="s">
        <v>122</v>
      </c>
      <c r="C1653" s="4">
        <v>1.1430867464310121E-2</v>
      </c>
      <c r="G1653" t="s">
        <v>278</v>
      </c>
    </row>
    <row r="1654" spans="1:7" x14ac:dyDescent="0.25">
      <c r="A1654" t="s">
        <v>33</v>
      </c>
      <c r="B1654" t="s">
        <v>123</v>
      </c>
      <c r="C1654" s="4">
        <v>1.693276181109705E-3</v>
      </c>
      <c r="G1654" t="s">
        <v>278</v>
      </c>
    </row>
    <row r="1655" spans="1:7" x14ac:dyDescent="0.25">
      <c r="A1655" t="s">
        <v>33</v>
      </c>
      <c r="B1655" t="s">
        <v>140</v>
      </c>
      <c r="C1655" s="4">
        <v>3.9370673142538459E-3</v>
      </c>
      <c r="G1655" t="s">
        <v>278</v>
      </c>
    </row>
    <row r="1656" spans="1:7" x14ac:dyDescent="0.25">
      <c r="A1656" t="s">
        <v>33</v>
      </c>
      <c r="B1656" t="s">
        <v>210</v>
      </c>
      <c r="C1656" s="4">
        <v>3.1683689292426578E-5</v>
      </c>
      <c r="E1656" s="34"/>
      <c r="G1656" t="s">
        <v>278</v>
      </c>
    </row>
    <row r="1657" spans="1:7" x14ac:dyDescent="0.25">
      <c r="A1657" t="s">
        <v>33</v>
      </c>
      <c r="B1657" t="s">
        <v>180</v>
      </c>
      <c r="C1657" s="4">
        <v>4.1125862724710691E-4</v>
      </c>
      <c r="G1657" t="s">
        <v>278</v>
      </c>
    </row>
    <row r="1658" spans="1:7" x14ac:dyDescent="0.25">
      <c r="A1658" t="s">
        <v>33</v>
      </c>
      <c r="B1658" t="s">
        <v>114</v>
      </c>
      <c r="C1658" s="4">
        <v>7.4022646696210312E-5</v>
      </c>
      <c r="G1658" t="s">
        <v>278</v>
      </c>
    </row>
    <row r="1659" spans="1:7" x14ac:dyDescent="0.25">
      <c r="A1659" t="s">
        <v>33</v>
      </c>
      <c r="B1659" t="s">
        <v>115</v>
      </c>
      <c r="C1659" s="4">
        <v>9.4760489384385499E-3</v>
      </c>
      <c r="G1659" t="s">
        <v>278</v>
      </c>
    </row>
    <row r="1660" spans="1:7" x14ac:dyDescent="0.25">
      <c r="A1660" t="s">
        <v>33</v>
      </c>
      <c r="B1660" t="s">
        <v>158</v>
      </c>
      <c r="C1660" s="4">
        <v>1.757251192091947E-6</v>
      </c>
      <c r="G1660" t="s">
        <v>278</v>
      </c>
    </row>
    <row r="1661" spans="1:7" x14ac:dyDescent="0.25">
      <c r="A1661" t="s">
        <v>34</v>
      </c>
      <c r="B1661" t="s">
        <v>153</v>
      </c>
      <c r="C1661" s="4">
        <v>1.5716783453234191E-2</v>
      </c>
      <c r="G1661" t="s">
        <v>278</v>
      </c>
    </row>
    <row r="1662" spans="1:7" x14ac:dyDescent="0.25">
      <c r="A1662" t="s">
        <v>35</v>
      </c>
      <c r="B1662" t="s">
        <v>124</v>
      </c>
      <c r="C1662" s="4">
        <v>7.5073254605012205E-4</v>
      </c>
      <c r="G1662" t="s">
        <v>278</v>
      </c>
    </row>
    <row r="1663" spans="1:7" x14ac:dyDescent="0.25">
      <c r="A1663" t="s">
        <v>36</v>
      </c>
      <c r="B1663" t="s">
        <v>124</v>
      </c>
      <c r="C1663" s="4">
        <v>5.8711630857681239E-3</v>
      </c>
      <c r="G1663" t="s">
        <v>278</v>
      </c>
    </row>
    <row r="1664" spans="1:7" x14ac:dyDescent="0.25">
      <c r="A1664" t="s">
        <v>37</v>
      </c>
      <c r="B1664" t="s">
        <v>164</v>
      </c>
      <c r="C1664" s="4">
        <v>0.23748306331887639</v>
      </c>
      <c r="G1664" t="s">
        <v>278</v>
      </c>
    </row>
    <row r="1665" spans="1:7" x14ac:dyDescent="0.25">
      <c r="A1665" t="s">
        <v>38</v>
      </c>
      <c r="B1665" t="s">
        <v>83</v>
      </c>
      <c r="C1665" s="4">
        <v>1</v>
      </c>
      <c r="G1665" t="s">
        <v>278</v>
      </c>
    </row>
    <row r="1666" spans="1:7" x14ac:dyDescent="0.25">
      <c r="A1666" t="s">
        <v>39</v>
      </c>
      <c r="B1666" t="s">
        <v>83</v>
      </c>
      <c r="C1666" s="4">
        <v>1.535401684144546E-2</v>
      </c>
      <c r="G1666" t="s">
        <v>278</v>
      </c>
    </row>
    <row r="1667" spans="1:7" x14ac:dyDescent="0.25">
      <c r="A1667" t="s">
        <v>37</v>
      </c>
      <c r="B1667" t="s">
        <v>181</v>
      </c>
      <c r="C1667" s="4">
        <v>0.11669292257424591</v>
      </c>
      <c r="G1667" t="s">
        <v>278</v>
      </c>
    </row>
    <row r="1668" spans="1:7" x14ac:dyDescent="0.25">
      <c r="A1668" t="s">
        <v>40</v>
      </c>
      <c r="B1668" t="s">
        <v>181</v>
      </c>
      <c r="C1668" s="4">
        <v>2.171447034932503E-3</v>
      </c>
      <c r="G1668" t="s">
        <v>278</v>
      </c>
    </row>
    <row r="1669" spans="1:7" x14ac:dyDescent="0.25">
      <c r="A1669" t="s">
        <v>41</v>
      </c>
      <c r="B1669" t="s">
        <v>181</v>
      </c>
      <c r="C1669" s="4">
        <v>0.26293109744518622</v>
      </c>
      <c r="G1669" t="s">
        <v>278</v>
      </c>
    </row>
    <row r="1670" spans="1:7" x14ac:dyDescent="0.25">
      <c r="A1670" t="s">
        <v>36</v>
      </c>
      <c r="B1670" t="s">
        <v>212</v>
      </c>
      <c r="C1670" s="4">
        <v>5.5989715060007099E-2</v>
      </c>
      <c r="G1670" t="s">
        <v>278</v>
      </c>
    </row>
    <row r="1671" spans="1:7" x14ac:dyDescent="0.25">
      <c r="A1671" t="s">
        <v>42</v>
      </c>
      <c r="B1671" t="s">
        <v>84</v>
      </c>
      <c r="C1671" s="4">
        <v>7.5438352700745793E-4</v>
      </c>
      <c r="G1671" t="s">
        <v>278</v>
      </c>
    </row>
    <row r="1672" spans="1:7" x14ac:dyDescent="0.25">
      <c r="A1672" t="s">
        <v>34</v>
      </c>
      <c r="B1672" t="s">
        <v>85</v>
      </c>
      <c r="C1672" s="4">
        <v>4.7901472299631917E-2</v>
      </c>
      <c r="G1672" t="s">
        <v>278</v>
      </c>
    </row>
    <row r="1673" spans="1:7" x14ac:dyDescent="0.25">
      <c r="A1673" t="s">
        <v>43</v>
      </c>
      <c r="B1673" t="s">
        <v>85</v>
      </c>
      <c r="C1673" s="4">
        <v>5.6576097763496938E-2</v>
      </c>
      <c r="G1673" t="s">
        <v>278</v>
      </c>
    </row>
    <row r="1674" spans="1:7" x14ac:dyDescent="0.25">
      <c r="A1674" t="s">
        <v>40</v>
      </c>
      <c r="B1674" t="s">
        <v>85</v>
      </c>
      <c r="C1674" s="4">
        <v>3.8105073716283952E-2</v>
      </c>
      <c r="G1674" t="s">
        <v>278</v>
      </c>
    </row>
    <row r="1675" spans="1:7" x14ac:dyDescent="0.25">
      <c r="A1675" t="s">
        <v>44</v>
      </c>
      <c r="B1675" t="s">
        <v>85</v>
      </c>
      <c r="C1675" s="4">
        <v>0.89623759643053247</v>
      </c>
      <c r="G1675" t="s">
        <v>278</v>
      </c>
    </row>
    <row r="1676" spans="1:7" x14ac:dyDescent="0.25">
      <c r="A1676" t="s">
        <v>45</v>
      </c>
      <c r="B1676" t="s">
        <v>85</v>
      </c>
      <c r="C1676" s="4">
        <v>0.59265932164214041</v>
      </c>
      <c r="G1676" t="s">
        <v>278</v>
      </c>
    </row>
    <row r="1677" spans="1:7" x14ac:dyDescent="0.25">
      <c r="A1677" t="s">
        <v>36</v>
      </c>
      <c r="B1677" t="s">
        <v>85</v>
      </c>
      <c r="C1677" s="4">
        <v>4.6449075045633892E-2</v>
      </c>
      <c r="G1677" t="s">
        <v>278</v>
      </c>
    </row>
    <row r="1678" spans="1:7" x14ac:dyDescent="0.25">
      <c r="A1678" t="s">
        <v>46</v>
      </c>
      <c r="B1678" t="s">
        <v>85</v>
      </c>
      <c r="C1678" s="4">
        <v>0.13280168392535219</v>
      </c>
      <c r="G1678" t="s">
        <v>278</v>
      </c>
    </row>
    <row r="1679" spans="1:7" x14ac:dyDescent="0.25">
      <c r="A1679" t="s">
        <v>39</v>
      </c>
      <c r="B1679" t="s">
        <v>85</v>
      </c>
      <c r="C1679" s="4">
        <v>6.7956417260761681E-2</v>
      </c>
      <c r="G1679" t="s">
        <v>278</v>
      </c>
    </row>
    <row r="1680" spans="1:7" x14ac:dyDescent="0.25">
      <c r="A1680" t="s">
        <v>44</v>
      </c>
      <c r="B1680" t="s">
        <v>116</v>
      </c>
      <c r="C1680" s="4">
        <v>0.1037624035694675</v>
      </c>
      <c r="G1680" t="s">
        <v>278</v>
      </c>
    </row>
    <row r="1681" spans="1:7" x14ac:dyDescent="0.25">
      <c r="A1681" t="s">
        <v>36</v>
      </c>
      <c r="B1681" t="s">
        <v>116</v>
      </c>
      <c r="C1681" s="4">
        <v>1.6442972566154401E-2</v>
      </c>
      <c r="G1681" t="s">
        <v>278</v>
      </c>
    </row>
    <row r="1682" spans="1:7" x14ac:dyDescent="0.25">
      <c r="A1682" t="s">
        <v>41</v>
      </c>
      <c r="B1682" t="s">
        <v>116</v>
      </c>
      <c r="C1682" s="4">
        <v>4.0900392935917851E-2</v>
      </c>
      <c r="G1682" t="s">
        <v>278</v>
      </c>
    </row>
    <row r="1683" spans="1:7" x14ac:dyDescent="0.25">
      <c r="A1683" t="s">
        <v>39</v>
      </c>
      <c r="B1683" t="s">
        <v>116</v>
      </c>
      <c r="C1683" s="4">
        <v>9.9702263867411933E-3</v>
      </c>
      <c r="G1683" t="s">
        <v>278</v>
      </c>
    </row>
    <row r="1684" spans="1:7" x14ac:dyDescent="0.25">
      <c r="A1684" t="s">
        <v>37</v>
      </c>
      <c r="B1684" t="s">
        <v>145</v>
      </c>
      <c r="C1684" s="4">
        <v>0.47001316036849028</v>
      </c>
      <c r="G1684" t="s">
        <v>278</v>
      </c>
    </row>
    <row r="1685" spans="1:7" x14ac:dyDescent="0.25">
      <c r="A1685" t="s">
        <v>42</v>
      </c>
      <c r="B1685" t="s">
        <v>86</v>
      </c>
      <c r="C1685" s="4">
        <v>0.90218847233221822</v>
      </c>
      <c r="G1685" t="s">
        <v>278</v>
      </c>
    </row>
    <row r="1686" spans="1:7" x14ac:dyDescent="0.25">
      <c r="A1686" t="s">
        <v>39</v>
      </c>
      <c r="B1686" t="s">
        <v>86</v>
      </c>
      <c r="C1686" s="4">
        <v>0.77819165529612755</v>
      </c>
      <c r="G1686" t="s">
        <v>278</v>
      </c>
    </row>
    <row r="1687" spans="1:7" x14ac:dyDescent="0.25">
      <c r="A1687" t="s">
        <v>40</v>
      </c>
      <c r="B1687" t="s">
        <v>87</v>
      </c>
      <c r="C1687" s="4">
        <v>9.8499616956743044E-2</v>
      </c>
      <c r="G1687" t="s">
        <v>278</v>
      </c>
    </row>
    <row r="1688" spans="1:7" x14ac:dyDescent="0.25">
      <c r="A1688" t="s">
        <v>41</v>
      </c>
      <c r="B1688" t="s">
        <v>217</v>
      </c>
      <c r="C1688" s="4">
        <v>0.23517725938152759</v>
      </c>
      <c r="G1688" t="s">
        <v>278</v>
      </c>
    </row>
    <row r="1689" spans="1:7" x14ac:dyDescent="0.25">
      <c r="A1689" t="s">
        <v>40</v>
      </c>
      <c r="B1689" t="s">
        <v>89</v>
      </c>
      <c r="C1689" s="4">
        <v>5.4086576461861567E-2</v>
      </c>
      <c r="G1689" t="s">
        <v>278</v>
      </c>
    </row>
    <row r="1690" spans="1:7" x14ac:dyDescent="0.25">
      <c r="A1690" t="s">
        <v>36</v>
      </c>
      <c r="B1690" t="s">
        <v>128</v>
      </c>
      <c r="C1690" s="4">
        <v>2.8307831397661031E-2</v>
      </c>
      <c r="G1690" t="s">
        <v>278</v>
      </c>
    </row>
    <row r="1691" spans="1:7" x14ac:dyDescent="0.25">
      <c r="A1691" t="s">
        <v>46</v>
      </c>
      <c r="B1691" t="s">
        <v>128</v>
      </c>
      <c r="C1691" s="4">
        <v>6.8307210135424512E-2</v>
      </c>
      <c r="G1691" t="s">
        <v>278</v>
      </c>
    </row>
    <row r="1692" spans="1:7" x14ac:dyDescent="0.25">
      <c r="A1692" t="s">
        <v>34</v>
      </c>
      <c r="B1692" t="s">
        <v>154</v>
      </c>
      <c r="C1692" s="4">
        <v>0.11216975872838821</v>
      </c>
      <c r="G1692" t="s">
        <v>278</v>
      </c>
    </row>
    <row r="1693" spans="1:7" x14ac:dyDescent="0.25">
      <c r="A1693" t="s">
        <v>43</v>
      </c>
      <c r="B1693" t="s">
        <v>91</v>
      </c>
      <c r="C1693" s="4">
        <v>4.3617675371343041E-2</v>
      </c>
      <c r="G1693" t="s">
        <v>278</v>
      </c>
    </row>
    <row r="1694" spans="1:7" x14ac:dyDescent="0.25">
      <c r="A1694" t="s">
        <v>35</v>
      </c>
      <c r="B1694" t="s">
        <v>91</v>
      </c>
      <c r="C1694" s="4">
        <v>2.3054621122926219E-2</v>
      </c>
      <c r="G1694" t="s">
        <v>278</v>
      </c>
    </row>
    <row r="1695" spans="1:7" x14ac:dyDescent="0.25">
      <c r="A1695" t="s">
        <v>36</v>
      </c>
      <c r="B1695" t="s">
        <v>91</v>
      </c>
      <c r="C1695" s="4">
        <v>2.1366574520991589E-2</v>
      </c>
      <c r="G1695" t="s">
        <v>278</v>
      </c>
    </row>
    <row r="1696" spans="1:7" x14ac:dyDescent="0.25">
      <c r="A1696" t="s">
        <v>39</v>
      </c>
      <c r="B1696" t="s">
        <v>91</v>
      </c>
      <c r="C1696" s="4">
        <v>3.7297740481794552E-2</v>
      </c>
      <c r="G1696" t="s">
        <v>278</v>
      </c>
    </row>
    <row r="1697" spans="1:7" x14ac:dyDescent="0.25">
      <c r="A1697" t="s">
        <v>35</v>
      </c>
      <c r="B1697" t="s">
        <v>195</v>
      </c>
      <c r="C1697" s="4">
        <v>1.247717491535303E-2</v>
      </c>
      <c r="G1697" t="s">
        <v>278</v>
      </c>
    </row>
    <row r="1698" spans="1:7" x14ac:dyDescent="0.25">
      <c r="A1698" t="s">
        <v>43</v>
      </c>
      <c r="B1698" t="s">
        <v>169</v>
      </c>
      <c r="C1698" s="4">
        <v>2.0800035942462108E-3</v>
      </c>
      <c r="G1698" t="s">
        <v>278</v>
      </c>
    </row>
    <row r="1699" spans="1:7" x14ac:dyDescent="0.25">
      <c r="A1699" t="s">
        <v>35</v>
      </c>
      <c r="B1699" t="s">
        <v>169</v>
      </c>
      <c r="C1699" s="4">
        <v>0.109361161887741</v>
      </c>
      <c r="G1699" t="s">
        <v>278</v>
      </c>
    </row>
    <row r="1700" spans="1:7" x14ac:dyDescent="0.25">
      <c r="A1700" t="s">
        <v>34</v>
      </c>
      <c r="B1700" t="s">
        <v>117</v>
      </c>
      <c r="C1700" s="4">
        <v>5.0314830046890189E-3</v>
      </c>
      <c r="G1700" t="s">
        <v>278</v>
      </c>
    </row>
    <row r="1701" spans="1:7" x14ac:dyDescent="0.25">
      <c r="A1701" t="s">
        <v>46</v>
      </c>
      <c r="B1701" t="s">
        <v>117</v>
      </c>
      <c r="C1701" s="4">
        <v>2.6958741836846489E-2</v>
      </c>
      <c r="G1701" t="s">
        <v>278</v>
      </c>
    </row>
    <row r="1702" spans="1:7" x14ac:dyDescent="0.25">
      <c r="A1702" t="s">
        <v>39</v>
      </c>
      <c r="B1702" t="s">
        <v>117</v>
      </c>
      <c r="C1702" s="4">
        <v>9.959089782251046E-3</v>
      </c>
      <c r="G1702" t="s">
        <v>278</v>
      </c>
    </row>
    <row r="1703" spans="1:7" x14ac:dyDescent="0.25">
      <c r="A1703" t="s">
        <v>40</v>
      </c>
      <c r="B1703" t="s">
        <v>93</v>
      </c>
      <c r="C1703" s="4">
        <v>4.8799189789682333E-2</v>
      </c>
      <c r="G1703" t="s">
        <v>278</v>
      </c>
    </row>
    <row r="1704" spans="1:7" x14ac:dyDescent="0.25">
      <c r="A1704" t="s">
        <v>36</v>
      </c>
      <c r="B1704" t="s">
        <v>129</v>
      </c>
      <c r="C1704" s="4">
        <v>5.6290890862602992E-2</v>
      </c>
      <c r="G1704" t="s">
        <v>278</v>
      </c>
    </row>
    <row r="1705" spans="1:7" x14ac:dyDescent="0.25">
      <c r="A1705" t="s">
        <v>47</v>
      </c>
      <c r="B1705" t="s">
        <v>97</v>
      </c>
      <c r="C1705" s="4">
        <v>1</v>
      </c>
      <c r="G1705" t="s">
        <v>278</v>
      </c>
    </row>
    <row r="1706" spans="1:7" x14ac:dyDescent="0.25">
      <c r="A1706" t="s">
        <v>34</v>
      </c>
      <c r="B1706" t="s">
        <v>97</v>
      </c>
      <c r="C1706" s="4">
        <v>0.20921275616653251</v>
      </c>
      <c r="G1706" t="s">
        <v>278</v>
      </c>
    </row>
    <row r="1707" spans="1:7" x14ac:dyDescent="0.25">
      <c r="A1707" t="s">
        <v>43</v>
      </c>
      <c r="B1707" t="s">
        <v>97</v>
      </c>
      <c r="C1707" s="4">
        <v>9.5772609939514419E-2</v>
      </c>
      <c r="G1707" t="s">
        <v>278</v>
      </c>
    </row>
    <row r="1708" spans="1:7" x14ac:dyDescent="0.25">
      <c r="A1708" t="s">
        <v>37</v>
      </c>
      <c r="B1708" t="s">
        <v>97</v>
      </c>
      <c r="C1708" s="4">
        <v>2.3293203933848081E-2</v>
      </c>
      <c r="G1708" t="s">
        <v>278</v>
      </c>
    </row>
    <row r="1709" spans="1:7" x14ac:dyDescent="0.25">
      <c r="A1709" t="s">
        <v>45</v>
      </c>
      <c r="B1709" t="s">
        <v>97</v>
      </c>
      <c r="C1709" s="4">
        <v>0.40734067835785948</v>
      </c>
      <c r="G1709" t="s">
        <v>278</v>
      </c>
    </row>
    <row r="1710" spans="1:7" x14ac:dyDescent="0.25">
      <c r="A1710" t="s">
        <v>35</v>
      </c>
      <c r="B1710" t="s">
        <v>97</v>
      </c>
      <c r="C1710" s="4">
        <v>0.1225049873039866</v>
      </c>
      <c r="G1710" t="s">
        <v>278</v>
      </c>
    </row>
    <row r="1711" spans="1:7" x14ac:dyDescent="0.25">
      <c r="A1711" t="s">
        <v>36</v>
      </c>
      <c r="B1711" t="s">
        <v>97</v>
      </c>
      <c r="C1711" s="4">
        <v>1.6721667016428202E-2</v>
      </c>
      <c r="G1711" t="s">
        <v>278</v>
      </c>
    </row>
    <row r="1712" spans="1:7" x14ac:dyDescent="0.25">
      <c r="A1712" t="s">
        <v>48</v>
      </c>
      <c r="B1712" t="s">
        <v>97</v>
      </c>
      <c r="C1712" s="4">
        <v>1</v>
      </c>
      <c r="G1712" t="s">
        <v>278</v>
      </c>
    </row>
    <row r="1713" spans="1:7" x14ac:dyDescent="0.25">
      <c r="A1713" t="s">
        <v>41</v>
      </c>
      <c r="B1713" t="s">
        <v>97</v>
      </c>
      <c r="C1713" s="4">
        <v>3.1062387706510469E-2</v>
      </c>
      <c r="G1713" t="s">
        <v>278</v>
      </c>
    </row>
    <row r="1714" spans="1:7" x14ac:dyDescent="0.25">
      <c r="A1714" t="s">
        <v>40</v>
      </c>
      <c r="B1714" t="s">
        <v>98</v>
      </c>
      <c r="C1714" s="4">
        <v>0.10781755675728261</v>
      </c>
      <c r="G1714" t="s">
        <v>278</v>
      </c>
    </row>
    <row r="1715" spans="1:7" x14ac:dyDescent="0.25">
      <c r="A1715" t="s">
        <v>35</v>
      </c>
      <c r="B1715" t="s">
        <v>98</v>
      </c>
      <c r="C1715" s="4">
        <v>2.4023441473603911E-3</v>
      </c>
      <c r="G1715" t="s">
        <v>278</v>
      </c>
    </row>
    <row r="1716" spans="1:7" x14ac:dyDescent="0.25">
      <c r="A1716" t="s">
        <v>34</v>
      </c>
      <c r="B1716" t="s">
        <v>99</v>
      </c>
      <c r="C1716" s="4">
        <v>1.846415781537255E-3</v>
      </c>
      <c r="G1716" t="s">
        <v>278</v>
      </c>
    </row>
    <row r="1717" spans="1:7" x14ac:dyDescent="0.25">
      <c r="A1717" t="s">
        <v>36</v>
      </c>
      <c r="B1717" t="s">
        <v>99</v>
      </c>
      <c r="C1717" s="4">
        <v>2.8798426528293019E-2</v>
      </c>
      <c r="G1717" t="s">
        <v>278</v>
      </c>
    </row>
    <row r="1718" spans="1:7" x14ac:dyDescent="0.25">
      <c r="A1718" t="s">
        <v>35</v>
      </c>
      <c r="B1718" t="s">
        <v>182</v>
      </c>
      <c r="C1718" s="4">
        <v>3.3933111081465517E-2</v>
      </c>
      <c r="G1718" t="s">
        <v>278</v>
      </c>
    </row>
    <row r="1719" spans="1:7" x14ac:dyDescent="0.25">
      <c r="A1719" t="s">
        <v>43</v>
      </c>
      <c r="B1719" t="s">
        <v>119</v>
      </c>
      <c r="C1719" s="4">
        <v>0.20487776558433449</v>
      </c>
      <c r="G1719" t="s">
        <v>278</v>
      </c>
    </row>
    <row r="1720" spans="1:7" x14ac:dyDescent="0.25">
      <c r="A1720" t="s">
        <v>40</v>
      </c>
      <c r="B1720" t="s">
        <v>119</v>
      </c>
      <c r="C1720" s="4">
        <v>0.25496922625262092</v>
      </c>
      <c r="G1720" t="s">
        <v>278</v>
      </c>
    </row>
    <row r="1721" spans="1:7" x14ac:dyDescent="0.25">
      <c r="A1721" t="s">
        <v>46</v>
      </c>
      <c r="B1721" t="s">
        <v>119</v>
      </c>
      <c r="C1721" s="4">
        <v>0.219612152682096</v>
      </c>
      <c r="G1721" t="s">
        <v>278</v>
      </c>
    </row>
    <row r="1722" spans="1:7" x14ac:dyDescent="0.25">
      <c r="A1722" t="s">
        <v>34</v>
      </c>
      <c r="B1722" t="s">
        <v>102</v>
      </c>
      <c r="C1722" s="4">
        <v>0.40698728968920339</v>
      </c>
      <c r="G1722" t="s">
        <v>278</v>
      </c>
    </row>
    <row r="1723" spans="1:7" x14ac:dyDescent="0.25">
      <c r="A1723" t="s">
        <v>49</v>
      </c>
      <c r="B1723" t="s">
        <v>102</v>
      </c>
      <c r="C1723" s="4">
        <v>0.96338254602901152</v>
      </c>
      <c r="G1723" t="s">
        <v>278</v>
      </c>
    </row>
    <row r="1724" spans="1:7" x14ac:dyDescent="0.25">
      <c r="A1724" t="s">
        <v>35</v>
      </c>
      <c r="B1724" t="s">
        <v>102</v>
      </c>
      <c r="C1724" s="4">
        <v>4.8052663587812398E-2</v>
      </c>
      <c r="G1724" t="s">
        <v>278</v>
      </c>
    </row>
    <row r="1725" spans="1:7" x14ac:dyDescent="0.25">
      <c r="A1725" t="s">
        <v>36</v>
      </c>
      <c r="B1725" t="s">
        <v>102</v>
      </c>
      <c r="C1725" s="4">
        <v>5.2578587886805833E-2</v>
      </c>
      <c r="G1725" t="s">
        <v>278</v>
      </c>
    </row>
    <row r="1726" spans="1:7" x14ac:dyDescent="0.25">
      <c r="A1726" t="s">
        <v>43</v>
      </c>
      <c r="B1726" t="s">
        <v>148</v>
      </c>
      <c r="C1726" s="4">
        <v>0.16408917243497889</v>
      </c>
      <c r="G1726" t="s">
        <v>278</v>
      </c>
    </row>
    <row r="1727" spans="1:7" x14ac:dyDescent="0.25">
      <c r="A1727" t="s">
        <v>35</v>
      </c>
      <c r="B1727" t="s">
        <v>148</v>
      </c>
      <c r="C1727" s="4">
        <v>7.3571789512911961E-2</v>
      </c>
      <c r="G1727" t="s">
        <v>278</v>
      </c>
    </row>
    <row r="1728" spans="1:7" x14ac:dyDescent="0.25">
      <c r="A1728" t="s">
        <v>46</v>
      </c>
      <c r="B1728" t="s">
        <v>148</v>
      </c>
      <c r="C1728" s="4">
        <v>1.3944176812161981E-2</v>
      </c>
      <c r="G1728" t="s">
        <v>278</v>
      </c>
    </row>
    <row r="1729" spans="1:7" x14ac:dyDescent="0.25">
      <c r="A1729" t="s">
        <v>42</v>
      </c>
      <c r="B1729" t="s">
        <v>149</v>
      </c>
      <c r="C1729" s="4">
        <v>8.8443704250103954E-4</v>
      </c>
      <c r="G1729" t="s">
        <v>278</v>
      </c>
    </row>
    <row r="1730" spans="1:7" x14ac:dyDescent="0.25">
      <c r="A1730" t="s">
        <v>40</v>
      </c>
      <c r="B1730" t="s">
        <v>230</v>
      </c>
      <c r="C1730" s="4">
        <v>8.3730997666997299E-3</v>
      </c>
      <c r="G1730" t="s">
        <v>278</v>
      </c>
    </row>
    <row r="1731" spans="1:7" x14ac:dyDescent="0.25">
      <c r="A1731" t="s">
        <v>43</v>
      </c>
      <c r="B1731" t="s">
        <v>150</v>
      </c>
      <c r="C1731" s="4">
        <v>3.5781608497286149E-2</v>
      </c>
      <c r="G1731" t="s">
        <v>278</v>
      </c>
    </row>
    <row r="1732" spans="1:7" x14ac:dyDescent="0.25">
      <c r="A1732" t="s">
        <v>35</v>
      </c>
      <c r="B1732" t="s">
        <v>150</v>
      </c>
      <c r="C1732" s="4">
        <v>5.8035754838677713E-2</v>
      </c>
      <c r="G1732" t="s">
        <v>278</v>
      </c>
    </row>
    <row r="1733" spans="1:7" x14ac:dyDescent="0.25">
      <c r="A1733" t="s">
        <v>40</v>
      </c>
      <c r="B1733" t="s">
        <v>174</v>
      </c>
      <c r="C1733" s="4">
        <v>5.3920156761104343E-2</v>
      </c>
      <c r="G1733" t="s">
        <v>278</v>
      </c>
    </row>
    <row r="1734" spans="1:7" x14ac:dyDescent="0.25">
      <c r="A1734" t="s">
        <v>40</v>
      </c>
      <c r="B1734" t="s">
        <v>162</v>
      </c>
      <c r="C1734" s="4">
        <v>0.2118362972137729</v>
      </c>
      <c r="G1734" t="s">
        <v>278</v>
      </c>
    </row>
    <row r="1735" spans="1:7" x14ac:dyDescent="0.25">
      <c r="A1735" t="s">
        <v>40</v>
      </c>
      <c r="B1735" t="s">
        <v>176</v>
      </c>
      <c r="C1735" s="4">
        <v>1.1801901492739551E-2</v>
      </c>
      <c r="G1735" t="s">
        <v>278</v>
      </c>
    </row>
    <row r="1736" spans="1:7" x14ac:dyDescent="0.25">
      <c r="A1736" t="s">
        <v>36</v>
      </c>
      <c r="B1736" t="s">
        <v>176</v>
      </c>
      <c r="C1736" s="4">
        <v>3.0006102479479499E-5</v>
      </c>
      <c r="G1736" t="s">
        <v>278</v>
      </c>
    </row>
    <row r="1737" spans="1:7" x14ac:dyDescent="0.25">
      <c r="A1737" t="s">
        <v>43</v>
      </c>
      <c r="B1737" t="s">
        <v>132</v>
      </c>
      <c r="C1737" s="4">
        <v>0.1588568078378973</v>
      </c>
      <c r="G1737" t="s">
        <v>278</v>
      </c>
    </row>
    <row r="1738" spans="1:7" x14ac:dyDescent="0.25">
      <c r="A1738" t="s">
        <v>35</v>
      </c>
      <c r="B1738" t="s">
        <v>132</v>
      </c>
      <c r="C1738" s="4">
        <v>0.1106955139150905</v>
      </c>
      <c r="G1738" t="s">
        <v>278</v>
      </c>
    </row>
    <row r="1739" spans="1:7" x14ac:dyDescent="0.25">
      <c r="A1739" t="s">
        <v>36</v>
      </c>
      <c r="B1739" t="s">
        <v>132</v>
      </c>
      <c r="C1739" s="4">
        <v>0.1130363323736025</v>
      </c>
      <c r="G1739" t="s">
        <v>278</v>
      </c>
    </row>
    <row r="1740" spans="1:7" x14ac:dyDescent="0.25">
      <c r="A1740" t="s">
        <v>39</v>
      </c>
      <c r="B1740" t="s">
        <v>132</v>
      </c>
      <c r="C1740" s="4">
        <v>6.3261185269474857E-2</v>
      </c>
      <c r="G1740" t="s">
        <v>278</v>
      </c>
    </row>
    <row r="1741" spans="1:7" x14ac:dyDescent="0.25">
      <c r="A1741" t="s">
        <v>43</v>
      </c>
      <c r="B1741" t="s">
        <v>151</v>
      </c>
      <c r="C1741" s="4">
        <v>6.101343876455552E-6</v>
      </c>
      <c r="G1741" t="s">
        <v>278</v>
      </c>
    </row>
    <row r="1742" spans="1:7" x14ac:dyDescent="0.25">
      <c r="A1742" t="s">
        <v>36</v>
      </c>
      <c r="B1742" t="s">
        <v>151</v>
      </c>
      <c r="C1742" s="4">
        <v>3.0651930418913991E-2</v>
      </c>
      <c r="G1742" t="s">
        <v>278</v>
      </c>
    </row>
    <row r="1743" spans="1:7" x14ac:dyDescent="0.25">
      <c r="A1743" t="s">
        <v>46</v>
      </c>
      <c r="B1743" t="s">
        <v>151</v>
      </c>
      <c r="C1743" s="4">
        <v>9.5709509596581685E-2</v>
      </c>
      <c r="G1743" t="s">
        <v>278</v>
      </c>
    </row>
    <row r="1744" spans="1:7" x14ac:dyDescent="0.25">
      <c r="A1744" t="s">
        <v>34</v>
      </c>
      <c r="B1744" t="s">
        <v>107</v>
      </c>
      <c r="C1744" s="4">
        <v>8.9126582095592363E-2</v>
      </c>
      <c r="G1744" t="s">
        <v>278</v>
      </c>
    </row>
    <row r="1745" spans="1:7" x14ac:dyDescent="0.25">
      <c r="A1745" t="s">
        <v>43</v>
      </c>
      <c r="B1745" t="s">
        <v>107</v>
      </c>
      <c r="C1745" s="4">
        <v>0.1189762055908833</v>
      </c>
      <c r="G1745" t="s">
        <v>278</v>
      </c>
    </row>
    <row r="1746" spans="1:7" x14ac:dyDescent="0.25">
      <c r="A1746" t="s">
        <v>37</v>
      </c>
      <c r="B1746" t="s">
        <v>107</v>
      </c>
      <c r="C1746" s="4">
        <v>0.15251764980453941</v>
      </c>
      <c r="G1746" t="s">
        <v>278</v>
      </c>
    </row>
    <row r="1747" spans="1:7" x14ac:dyDescent="0.25">
      <c r="A1747" t="s">
        <v>40</v>
      </c>
      <c r="B1747" t="s">
        <v>107</v>
      </c>
      <c r="C1747" s="4">
        <v>1.7371576279460021E-2</v>
      </c>
      <c r="G1747" t="s">
        <v>278</v>
      </c>
    </row>
    <row r="1748" spans="1:7" x14ac:dyDescent="0.25">
      <c r="A1748" t="s">
        <v>49</v>
      </c>
      <c r="B1748" t="s">
        <v>107</v>
      </c>
      <c r="C1748" s="4">
        <v>3.6617453970988513E-2</v>
      </c>
      <c r="G1748" t="s">
        <v>278</v>
      </c>
    </row>
    <row r="1749" spans="1:7" x14ac:dyDescent="0.25">
      <c r="A1749" t="s">
        <v>35</v>
      </c>
      <c r="B1749" t="s">
        <v>107</v>
      </c>
      <c r="C1749" s="4">
        <v>1.8019457936568051E-2</v>
      </c>
      <c r="G1749" t="s">
        <v>278</v>
      </c>
    </row>
    <row r="1750" spans="1:7" x14ac:dyDescent="0.25">
      <c r="A1750" t="s">
        <v>36</v>
      </c>
      <c r="B1750" t="s">
        <v>107</v>
      </c>
      <c r="C1750" s="4">
        <v>0.39720722149343618</v>
      </c>
      <c r="G1750" t="s">
        <v>278</v>
      </c>
    </row>
    <row r="1751" spans="1:7" x14ac:dyDescent="0.25">
      <c r="A1751" t="s">
        <v>41</v>
      </c>
      <c r="B1751" t="s">
        <v>107</v>
      </c>
      <c r="C1751" s="4">
        <v>0.42992886253085788</v>
      </c>
      <c r="G1751" t="s">
        <v>278</v>
      </c>
    </row>
    <row r="1752" spans="1:7" x14ac:dyDescent="0.25">
      <c r="A1752" t="s">
        <v>46</v>
      </c>
      <c r="B1752" t="s">
        <v>107</v>
      </c>
      <c r="C1752" s="4">
        <v>0.11288143133654931</v>
      </c>
      <c r="G1752" t="s">
        <v>278</v>
      </c>
    </row>
    <row r="1753" spans="1:7" x14ac:dyDescent="0.25">
      <c r="A1753" t="s">
        <v>39</v>
      </c>
      <c r="B1753" t="s">
        <v>107</v>
      </c>
      <c r="C1753" s="4">
        <v>1.5815296317368711E-2</v>
      </c>
      <c r="G1753" t="s">
        <v>278</v>
      </c>
    </row>
    <row r="1754" spans="1:7" x14ac:dyDescent="0.25">
      <c r="A1754" t="s">
        <v>50</v>
      </c>
      <c r="B1754" t="s">
        <v>107</v>
      </c>
      <c r="C1754" s="4">
        <v>1</v>
      </c>
      <c r="G1754" t="s">
        <v>278</v>
      </c>
    </row>
    <row r="1755" spans="1:7" x14ac:dyDescent="0.25">
      <c r="A1755" t="s">
        <v>43</v>
      </c>
      <c r="B1755" t="s">
        <v>135</v>
      </c>
      <c r="C1755" s="4">
        <v>1.430118026799506E-2</v>
      </c>
      <c r="G1755" t="s">
        <v>278</v>
      </c>
    </row>
    <row r="1756" spans="1:7" x14ac:dyDescent="0.25">
      <c r="A1756" t="s">
        <v>35</v>
      </c>
      <c r="B1756" t="s">
        <v>135</v>
      </c>
      <c r="C1756" s="4">
        <v>1.5735354165210561E-2</v>
      </c>
      <c r="G1756" t="s">
        <v>278</v>
      </c>
    </row>
    <row r="1757" spans="1:7" x14ac:dyDescent="0.25">
      <c r="A1757" t="s">
        <v>36</v>
      </c>
      <c r="B1757" t="s">
        <v>135</v>
      </c>
      <c r="C1757" s="4">
        <v>1.694462257664724E-2</v>
      </c>
      <c r="G1757" t="s">
        <v>278</v>
      </c>
    </row>
    <row r="1758" spans="1:7" x14ac:dyDescent="0.25">
      <c r="A1758" t="s">
        <v>46</v>
      </c>
      <c r="B1758" t="s">
        <v>135</v>
      </c>
      <c r="C1758" s="4">
        <v>5.8432740927154957E-3</v>
      </c>
      <c r="G1758" t="s">
        <v>278</v>
      </c>
    </row>
    <row r="1759" spans="1:7" x14ac:dyDescent="0.25">
      <c r="A1759" t="s">
        <v>42</v>
      </c>
      <c r="B1759" t="s">
        <v>137</v>
      </c>
      <c r="C1759" s="4">
        <v>9.617270709827333E-2</v>
      </c>
      <c r="G1759" t="s">
        <v>278</v>
      </c>
    </row>
    <row r="1760" spans="1:7" x14ac:dyDescent="0.25">
      <c r="A1760" t="s">
        <v>43</v>
      </c>
      <c r="B1760" t="s">
        <v>121</v>
      </c>
      <c r="C1760" s="4">
        <v>3.0210896648873851E-2</v>
      </c>
      <c r="G1760" t="s">
        <v>278</v>
      </c>
    </row>
    <row r="1761" spans="1:7" x14ac:dyDescent="0.25">
      <c r="A1761" t="s">
        <v>35</v>
      </c>
      <c r="B1761" t="s">
        <v>121</v>
      </c>
      <c r="C1761" s="4">
        <v>4.1980963975122833E-2</v>
      </c>
      <c r="G1761" t="s">
        <v>278</v>
      </c>
    </row>
    <row r="1762" spans="1:7" x14ac:dyDescent="0.25">
      <c r="A1762" t="s">
        <v>36</v>
      </c>
      <c r="B1762" t="s">
        <v>121</v>
      </c>
      <c r="C1762" s="4">
        <v>4.0875186040157829E-2</v>
      </c>
      <c r="G1762" t="s">
        <v>278</v>
      </c>
    </row>
    <row r="1763" spans="1:7" x14ac:dyDescent="0.25">
      <c r="A1763" t="s">
        <v>39</v>
      </c>
      <c r="B1763" t="s">
        <v>121</v>
      </c>
      <c r="C1763" s="4">
        <v>2.194372364034909E-3</v>
      </c>
      <c r="G1763" t="s">
        <v>278</v>
      </c>
    </row>
    <row r="1764" spans="1:7" x14ac:dyDescent="0.25">
      <c r="A1764" t="s">
        <v>34</v>
      </c>
      <c r="B1764" t="s">
        <v>138</v>
      </c>
      <c r="C1764" s="4">
        <v>2.680012498388425E-2</v>
      </c>
      <c r="G1764" t="s">
        <v>278</v>
      </c>
    </row>
    <row r="1765" spans="1:7" x14ac:dyDescent="0.25">
      <c r="A1765" t="s">
        <v>34</v>
      </c>
      <c r="B1765" t="s">
        <v>112</v>
      </c>
      <c r="C1765" s="4">
        <v>2.088231624366281E-2</v>
      </c>
      <c r="G1765" t="s">
        <v>278</v>
      </c>
    </row>
    <row r="1766" spans="1:7" x14ac:dyDescent="0.25">
      <c r="A1766" t="s">
        <v>36</v>
      </c>
      <c r="B1766" t="s">
        <v>112</v>
      </c>
      <c r="C1766" s="4">
        <v>3.0935083980392171E-3</v>
      </c>
      <c r="G1766" t="s">
        <v>278</v>
      </c>
    </row>
    <row r="1767" spans="1:7" x14ac:dyDescent="0.25">
      <c r="A1767" t="s">
        <v>51</v>
      </c>
      <c r="B1767" t="s">
        <v>113</v>
      </c>
      <c r="C1767" s="4">
        <v>1</v>
      </c>
      <c r="G1767" t="s">
        <v>278</v>
      </c>
    </row>
    <row r="1768" spans="1:7" x14ac:dyDescent="0.25">
      <c r="A1768" t="s">
        <v>43</v>
      </c>
      <c r="B1768" t="s">
        <v>122</v>
      </c>
      <c r="C1768" s="4">
        <v>7.152586937448005E-2</v>
      </c>
      <c r="G1768" t="s">
        <v>278</v>
      </c>
    </row>
    <row r="1769" spans="1:7" x14ac:dyDescent="0.25">
      <c r="A1769" t="s">
        <v>40</v>
      </c>
      <c r="B1769" t="s">
        <v>122</v>
      </c>
      <c r="C1769" s="4">
        <v>6.619091709762652E-2</v>
      </c>
      <c r="G1769" t="s">
        <v>278</v>
      </c>
    </row>
    <row r="1770" spans="1:7" x14ac:dyDescent="0.25">
      <c r="A1770" t="s">
        <v>35</v>
      </c>
      <c r="B1770" t="s">
        <v>122</v>
      </c>
      <c r="C1770" s="4">
        <v>0.32627129237031272</v>
      </c>
      <c r="G1770" t="s">
        <v>278</v>
      </c>
    </row>
    <row r="1771" spans="1:7" x14ac:dyDescent="0.25">
      <c r="A1771" t="s">
        <v>36</v>
      </c>
      <c r="B1771" t="s">
        <v>122</v>
      </c>
      <c r="C1771" s="4">
        <v>4.704873260447303E-2</v>
      </c>
      <c r="G1771" t="s">
        <v>278</v>
      </c>
    </row>
    <row r="1772" spans="1:7" x14ac:dyDescent="0.25">
      <c r="A1772" t="s">
        <v>46</v>
      </c>
      <c r="B1772" t="s">
        <v>122</v>
      </c>
      <c r="C1772" s="4">
        <v>0.32394181958227231</v>
      </c>
      <c r="G1772" t="s">
        <v>278</v>
      </c>
    </row>
    <row r="1773" spans="1:7" x14ac:dyDescent="0.25">
      <c r="A1773" t="s">
        <v>43</v>
      </c>
      <c r="B1773" t="s">
        <v>114</v>
      </c>
      <c r="C1773" s="4">
        <v>3.3280057507939372E-3</v>
      </c>
      <c r="G1773" t="s">
        <v>278</v>
      </c>
    </row>
    <row r="1774" spans="1:7" x14ac:dyDescent="0.25">
      <c r="A1774" t="s">
        <v>40</v>
      </c>
      <c r="B1774" t="s">
        <v>114</v>
      </c>
      <c r="C1774" s="4">
        <v>2.6057364419190029E-2</v>
      </c>
      <c r="G1774" t="s">
        <v>278</v>
      </c>
    </row>
    <row r="1775" spans="1:7" x14ac:dyDescent="0.25">
      <c r="A1775" t="s">
        <v>35</v>
      </c>
      <c r="B1775" t="s">
        <v>114</v>
      </c>
      <c r="C1775" s="4">
        <v>3.1530766934105121E-3</v>
      </c>
      <c r="G1775" t="s">
        <v>278</v>
      </c>
    </row>
    <row r="1776" spans="1:7" x14ac:dyDescent="0.25">
      <c r="A1776" t="s">
        <v>36</v>
      </c>
      <c r="B1776" t="s">
        <v>114</v>
      </c>
      <c r="C1776" s="4">
        <v>2.2295556021904271E-2</v>
      </c>
      <c r="G1776" t="s">
        <v>278</v>
      </c>
    </row>
    <row r="1777" spans="1:8" x14ac:dyDescent="0.25">
      <c r="A1777" t="s">
        <v>34</v>
      </c>
      <c r="B1777" t="s">
        <v>158</v>
      </c>
      <c r="C1777" s="4">
        <v>6.4325017553644032E-2</v>
      </c>
      <c r="G1777" t="s">
        <v>278</v>
      </c>
    </row>
    <row r="1778" spans="1:8" x14ac:dyDescent="0.25">
      <c r="A1778" t="s">
        <v>386</v>
      </c>
      <c r="B1778" t="s">
        <v>124</v>
      </c>
      <c r="C1778" s="4">
        <f>(0.00247367761416449/(0.00247367761416449+0.832079466311379+0.0127000784696626))*0.66202407676577%</f>
        <v>1.9328744883421822E-5</v>
      </c>
      <c r="D1778" t="s">
        <v>242</v>
      </c>
      <c r="E1778" t="s">
        <v>388</v>
      </c>
      <c r="F1778" t="s">
        <v>386</v>
      </c>
      <c r="G1778" s="4" t="s">
        <v>245</v>
      </c>
      <c r="H1778" t="s">
        <v>613</v>
      </c>
    </row>
    <row r="1779" spans="1:8" x14ac:dyDescent="0.25">
      <c r="A1779" t="s">
        <v>386</v>
      </c>
      <c r="B1779" t="s">
        <v>124</v>
      </c>
      <c r="C1779" s="4">
        <f>(0.832079466311379/(0.00247367761416449+0.832079466311379+0.0127000784696626)) * 0.66202407676577%</f>
        <v>6.5016765462780979E-3</v>
      </c>
      <c r="D1779" t="s">
        <v>242</v>
      </c>
      <c r="E1779" t="s">
        <v>315</v>
      </c>
      <c r="F1779" t="s">
        <v>386</v>
      </c>
      <c r="G1779" s="4" t="s">
        <v>245</v>
      </c>
    </row>
    <row r="1780" spans="1:8" x14ac:dyDescent="0.25">
      <c r="A1780" t="s">
        <v>386</v>
      </c>
      <c r="B1780" t="s">
        <v>124</v>
      </c>
      <c r="C1780" s="4">
        <f>(0.0127000784696626/(0.00247367761416449+0.832079466311379+0.0127000784696626)) * 0.66202407676577%</f>
        <v>9.923547649617991E-5</v>
      </c>
      <c r="D1780" t="s">
        <v>256</v>
      </c>
      <c r="E1780" t="s">
        <v>280</v>
      </c>
      <c r="F1780" t="s">
        <v>386</v>
      </c>
      <c r="G1780" s="4" t="s">
        <v>245</v>
      </c>
    </row>
    <row r="1781" spans="1:8" x14ac:dyDescent="0.25">
      <c r="A1781" t="s">
        <v>386</v>
      </c>
      <c r="B1781" t="s">
        <v>83</v>
      </c>
      <c r="C1781" s="4">
        <f>(0.00247367761416449/(0.00247367761416449+0.832079466311379+0.0127000784696626))*10.1515487018672%</f>
        <v>2.9638906184290686E-4</v>
      </c>
      <c r="D1781" t="s">
        <v>242</v>
      </c>
      <c r="E1781" t="s">
        <v>388</v>
      </c>
      <c r="F1781" t="s">
        <v>386</v>
      </c>
      <c r="G1781" s="4" t="s">
        <v>245</v>
      </c>
    </row>
    <row r="1782" spans="1:8" x14ac:dyDescent="0.25">
      <c r="A1782" t="s">
        <v>386</v>
      </c>
      <c r="B1782" t="s">
        <v>83</v>
      </c>
      <c r="C1782" s="4">
        <f>(0.832079466311379/(0.00247367761416449+0.832079466311379+0.0127000784696626)) * 10.1515487018672%</f>
        <v>9.9697410441285175E-2</v>
      </c>
      <c r="D1782" t="s">
        <v>242</v>
      </c>
      <c r="E1782" t="s">
        <v>315</v>
      </c>
      <c r="F1782" t="s">
        <v>386</v>
      </c>
      <c r="G1782" s="4" t="s">
        <v>245</v>
      </c>
    </row>
    <row r="1783" spans="1:8" x14ac:dyDescent="0.25">
      <c r="A1783" t="s">
        <v>386</v>
      </c>
      <c r="B1783" t="s">
        <v>83</v>
      </c>
      <c r="C1783" s="4">
        <f>(0.0127000784696626/(0.00247367761416449+0.832079466311379+0.0127000784696626)) * 10.1515487018672%</f>
        <v>1.5216875155439297E-3</v>
      </c>
      <c r="D1783" t="s">
        <v>256</v>
      </c>
      <c r="E1783" t="s">
        <v>280</v>
      </c>
      <c r="F1783" t="s">
        <v>386</v>
      </c>
      <c r="G1783" s="4" t="s">
        <v>245</v>
      </c>
    </row>
    <row r="1784" spans="1:8" x14ac:dyDescent="0.25">
      <c r="A1784" t="s">
        <v>386</v>
      </c>
      <c r="B1784" t="s">
        <v>144</v>
      </c>
      <c r="C1784" s="4">
        <f>(0.00247367761416449/(0.00247367761416449+0.832079466311379+0.0127000784696626))*2.05790005053692%</f>
        <v>6.0083351147487539E-5</v>
      </c>
      <c r="D1784" t="s">
        <v>242</v>
      </c>
      <c r="E1784" t="s">
        <v>388</v>
      </c>
      <c r="F1784" t="s">
        <v>386</v>
      </c>
      <c r="G1784" s="4" t="s">
        <v>245</v>
      </c>
    </row>
    <row r="1785" spans="1:8" x14ac:dyDescent="0.25">
      <c r="A1785" t="s">
        <v>386</v>
      </c>
      <c r="B1785" t="s">
        <v>144</v>
      </c>
      <c r="C1785" s="4">
        <f>(0.832079466311379/(0.00247367761416449+0.832079466311379+0.0127000784696626)) * 2.05790005053692%</f>
        <v>2.0210443944162319E-2</v>
      </c>
      <c r="D1785" t="s">
        <v>242</v>
      </c>
      <c r="E1785" t="s">
        <v>315</v>
      </c>
      <c r="F1785" t="s">
        <v>386</v>
      </c>
      <c r="G1785" s="4" t="s">
        <v>245</v>
      </c>
    </row>
    <row r="1786" spans="1:8" x14ac:dyDescent="0.25">
      <c r="A1786" t="s">
        <v>386</v>
      </c>
      <c r="B1786" t="s">
        <v>144</v>
      </c>
      <c r="C1786" s="4">
        <f>(0.0127000784696626/(0.00247367761416449+0.832079466311379+0.0127000784696626)) * 2.05790005053692%</f>
        <v>3.0847321005939438E-4</v>
      </c>
      <c r="D1786" t="s">
        <v>256</v>
      </c>
      <c r="E1786" t="s">
        <v>280</v>
      </c>
      <c r="F1786" t="s">
        <v>386</v>
      </c>
      <c r="G1786" s="4" t="s">
        <v>245</v>
      </c>
    </row>
    <row r="1787" spans="1:8" x14ac:dyDescent="0.25">
      <c r="A1787" t="s">
        <v>386</v>
      </c>
      <c r="B1787" t="s">
        <v>84</v>
      </c>
      <c r="C1787" s="4">
        <f>(0.00247367761416449/(0.00247367761416449+0.832079466311379+0.0127000784696626))*0.104461332435132%</f>
        <v>3.0498988113620556E-6</v>
      </c>
      <c r="D1787" t="s">
        <v>242</v>
      </c>
      <c r="E1787" t="s">
        <v>388</v>
      </c>
      <c r="F1787" t="s">
        <v>386</v>
      </c>
      <c r="G1787" s="4" t="s">
        <v>245</v>
      </c>
    </row>
    <row r="1788" spans="1:8" x14ac:dyDescent="0.25">
      <c r="A1788" t="s">
        <v>386</v>
      </c>
      <c r="B1788" t="s">
        <v>84</v>
      </c>
      <c r="C1788" s="4">
        <f>(0.832079466311379/(0.00247367761416449+0.832079466311379+0.0127000784696626)) * 0.104461332435132%</f>
        <v>1.0259049767562382E-3</v>
      </c>
      <c r="D1788" t="s">
        <v>242</v>
      </c>
      <c r="E1788" t="s">
        <v>315</v>
      </c>
      <c r="F1788" t="s">
        <v>386</v>
      </c>
      <c r="G1788" s="4" t="s">
        <v>245</v>
      </c>
    </row>
    <row r="1789" spans="1:8" x14ac:dyDescent="0.25">
      <c r="A1789" t="s">
        <v>386</v>
      </c>
      <c r="B1789" t="s">
        <v>84</v>
      </c>
      <c r="C1789" s="4">
        <f>(0.0127000784696626/(0.00247367761416449+0.832079466311379+0.0127000784696626)) * 0.104461332435132%</f>
        <v>1.5658448783719776E-5</v>
      </c>
      <c r="D1789" t="s">
        <v>256</v>
      </c>
      <c r="E1789" t="s">
        <v>280</v>
      </c>
      <c r="F1789" t="s">
        <v>386</v>
      </c>
      <c r="G1789" s="4" t="s">
        <v>245</v>
      </c>
    </row>
    <row r="1790" spans="1:8" x14ac:dyDescent="0.25">
      <c r="A1790" t="s">
        <v>386</v>
      </c>
      <c r="B1790" t="s">
        <v>85</v>
      </c>
      <c r="C1790" s="4">
        <f>(0.00247367761416449/(0.00247367761416449+0.832079466311379+0.0127000784696626))*0.13608515519626%</f>
        <v>3.9732017905747833E-6</v>
      </c>
      <c r="D1790" t="s">
        <v>242</v>
      </c>
      <c r="E1790" t="s">
        <v>388</v>
      </c>
      <c r="F1790" t="s">
        <v>386</v>
      </c>
      <c r="G1790" s="4" t="s">
        <v>245</v>
      </c>
    </row>
    <row r="1791" spans="1:8" x14ac:dyDescent="0.25">
      <c r="A1791" t="s">
        <v>386</v>
      </c>
      <c r="B1791" t="s">
        <v>85</v>
      </c>
      <c r="C1791" s="4">
        <f>(0.832079466311379/(0.00247367761416449+0.832079466311379+0.0127000784696626)) * 0.13608515519626%</f>
        <v>1.3364795826741242E-3</v>
      </c>
      <c r="D1791" t="s">
        <v>242</v>
      </c>
      <c r="E1791" t="s">
        <v>315</v>
      </c>
      <c r="F1791" t="s">
        <v>386</v>
      </c>
      <c r="G1791" s="4" t="s">
        <v>245</v>
      </c>
    </row>
    <row r="1792" spans="1:8" x14ac:dyDescent="0.25">
      <c r="A1792" t="s">
        <v>386</v>
      </c>
      <c r="B1792" t="s">
        <v>85</v>
      </c>
      <c r="C1792" s="4">
        <f>(0.0127000784696626/(0.00247367761416449+0.832079466311379+0.0127000784696626)) * 0.13608515519626%</f>
        <v>2.0398767497900923E-5</v>
      </c>
      <c r="D1792" t="s">
        <v>256</v>
      </c>
      <c r="E1792" t="s">
        <v>280</v>
      </c>
      <c r="F1792" t="s">
        <v>386</v>
      </c>
      <c r="G1792" s="4" t="s">
        <v>245</v>
      </c>
    </row>
    <row r="1793" spans="1:7" x14ac:dyDescent="0.25">
      <c r="A1793" t="s">
        <v>386</v>
      </c>
      <c r="B1793" t="s">
        <v>147</v>
      </c>
      <c r="C1793" s="4">
        <f>(0.00247367761416449/(0.00247367761416449+0.832079466311379+0.0127000784696626))*0.388223402048454%</f>
        <v>1.1334740471415824E-5</v>
      </c>
      <c r="D1793" t="s">
        <v>242</v>
      </c>
      <c r="E1793" t="s">
        <v>388</v>
      </c>
      <c r="F1793" t="s">
        <v>386</v>
      </c>
      <c r="G1793" s="4" t="s">
        <v>245</v>
      </c>
    </row>
    <row r="1794" spans="1:7" x14ac:dyDescent="0.25">
      <c r="A1794" t="s">
        <v>386</v>
      </c>
      <c r="B1794" t="s">
        <v>147</v>
      </c>
      <c r="C1794" s="4">
        <f>(0.832079466311379/(0.00247367761416449+0.832079466311379+0.0127000784696626)) * 0.388223402048454%</f>
        <v>3.8127057253655992E-3</v>
      </c>
      <c r="D1794" t="s">
        <v>242</v>
      </c>
      <c r="E1794" t="s">
        <v>315</v>
      </c>
      <c r="F1794" t="s">
        <v>386</v>
      </c>
      <c r="G1794" s="4" t="s">
        <v>245</v>
      </c>
    </row>
    <row r="1795" spans="1:7" x14ac:dyDescent="0.25">
      <c r="A1795" t="s">
        <v>386</v>
      </c>
      <c r="B1795" t="s">
        <v>147</v>
      </c>
      <c r="C1795" s="4">
        <f>(0.0127000784696626/(0.00247367761416449+0.832079466311379+0.0127000784696626)) * 0.388223402048454%</f>
        <v>5.8193554647525367E-5</v>
      </c>
      <c r="D1795" t="s">
        <v>256</v>
      </c>
      <c r="E1795" t="s">
        <v>280</v>
      </c>
      <c r="F1795" t="s">
        <v>386</v>
      </c>
      <c r="G1795" s="4" t="s">
        <v>245</v>
      </c>
    </row>
    <row r="1796" spans="1:7" x14ac:dyDescent="0.25">
      <c r="A1796" t="s">
        <v>386</v>
      </c>
      <c r="B1796" t="s">
        <v>116</v>
      </c>
      <c r="C1796" s="4">
        <v>4.0464068999465953E-3</v>
      </c>
      <c r="D1796" t="s">
        <v>288</v>
      </c>
      <c r="E1796" t="s">
        <v>309</v>
      </c>
      <c r="F1796" t="s">
        <v>386</v>
      </c>
      <c r="G1796" s="4" t="s">
        <v>245</v>
      </c>
    </row>
    <row r="1797" spans="1:7" x14ac:dyDescent="0.25">
      <c r="A1797" t="s">
        <v>386</v>
      </c>
      <c r="B1797" t="s">
        <v>145</v>
      </c>
      <c r="C1797" s="4">
        <f>(0.00247367761416449/(0.00247367761416449+0.832079466311379+0.0127000784696626))*0.017697976276407%</f>
        <v>5.167178663209758E-7</v>
      </c>
      <c r="D1797" t="s">
        <v>242</v>
      </c>
      <c r="E1797" t="s">
        <v>388</v>
      </c>
      <c r="F1797" t="s">
        <v>386</v>
      </c>
      <c r="G1797" s="4" t="s">
        <v>245</v>
      </c>
    </row>
    <row r="1798" spans="1:7" x14ac:dyDescent="0.25">
      <c r="A1798" t="s">
        <v>386</v>
      </c>
      <c r="B1798" t="s">
        <v>145</v>
      </c>
      <c r="C1798" s="4">
        <f>(0.832079466311379/(0.00247367761416449+0.832079466311379+0.0127000784696626)) * 0.017697976276407%</f>
        <v>1.7381016991865862E-4</v>
      </c>
      <c r="D1798" t="s">
        <v>242</v>
      </c>
      <c r="E1798" t="s">
        <v>315</v>
      </c>
      <c r="F1798" t="s">
        <v>386</v>
      </c>
      <c r="G1798" s="4" t="s">
        <v>245</v>
      </c>
    </row>
    <row r="1799" spans="1:7" x14ac:dyDescent="0.25">
      <c r="A1799" t="s">
        <v>386</v>
      </c>
      <c r="B1799" t="s">
        <v>145</v>
      </c>
      <c r="C1799" s="4">
        <f>(0.0127000784696626/(0.00247367761416449+0.832079466311379+0.0127000784696626)) * 0.017697976276407%</f>
        <v>2.6528749790904043E-6</v>
      </c>
      <c r="D1799" t="s">
        <v>256</v>
      </c>
      <c r="E1799" t="s">
        <v>280</v>
      </c>
      <c r="F1799" t="s">
        <v>386</v>
      </c>
      <c r="G1799" s="4" t="s">
        <v>245</v>
      </c>
    </row>
    <row r="1800" spans="1:7" x14ac:dyDescent="0.25">
      <c r="A1800" t="s">
        <v>386</v>
      </c>
      <c r="B1800" t="s">
        <v>86</v>
      </c>
      <c r="C1800" s="4">
        <f>(0.00247367761416449/(0.00247367761416449+0.832079466311379+0.0127000784696626))*41.5317740523103%</f>
        <v>1.2125798643680546E-3</v>
      </c>
      <c r="D1800" t="s">
        <v>242</v>
      </c>
      <c r="E1800" t="s">
        <v>388</v>
      </c>
      <c r="F1800" t="s">
        <v>386</v>
      </c>
      <c r="G1800" s="4" t="s">
        <v>245</v>
      </c>
    </row>
    <row r="1801" spans="1:7" x14ac:dyDescent="0.25">
      <c r="A1801" t="s">
        <v>386</v>
      </c>
      <c r="B1801" t="s">
        <v>86</v>
      </c>
      <c r="C1801" s="4">
        <f>(0.832079466311379/(0.00247367761416449+0.832079466311379+0.0127000784696626)) * 41.5317740523103%</f>
        <v>0.40787966896975081</v>
      </c>
      <c r="D1801" t="s">
        <v>242</v>
      </c>
      <c r="E1801" t="s">
        <v>315</v>
      </c>
      <c r="F1801" t="s">
        <v>386</v>
      </c>
      <c r="G1801" s="4" t="s">
        <v>245</v>
      </c>
    </row>
    <row r="1802" spans="1:7" x14ac:dyDescent="0.25">
      <c r="A1802" t="s">
        <v>386</v>
      </c>
      <c r="B1802" t="s">
        <v>86</v>
      </c>
      <c r="C1802" s="4">
        <f>(0.0127000784696626/(0.00247367761416449+0.832079466311379+0.0127000784696626)) * 41.5317740523103%</f>
        <v>6.2254916889841307E-3</v>
      </c>
      <c r="D1802" t="s">
        <v>256</v>
      </c>
      <c r="E1802" t="s">
        <v>280</v>
      </c>
      <c r="F1802" t="s">
        <v>386</v>
      </c>
      <c r="G1802" s="4" t="s">
        <v>245</v>
      </c>
    </row>
    <row r="1803" spans="1:7" x14ac:dyDescent="0.25">
      <c r="A1803" t="s">
        <v>386</v>
      </c>
      <c r="B1803" t="s">
        <v>160</v>
      </c>
      <c r="C1803" s="4">
        <f>(0.00247367761416449/(0.00247367761416449+0.832079466311379+0.0127000784696626))*0.532818796763154%</f>
        <v>1.5556410942091104E-5</v>
      </c>
      <c r="D1803" t="s">
        <v>242</v>
      </c>
      <c r="E1803" t="s">
        <v>388</v>
      </c>
      <c r="F1803" t="s">
        <v>386</v>
      </c>
      <c r="G1803" s="4" t="s">
        <v>245</v>
      </c>
    </row>
    <row r="1804" spans="1:7" x14ac:dyDescent="0.25">
      <c r="A1804" t="s">
        <v>386</v>
      </c>
      <c r="B1804" t="s">
        <v>160</v>
      </c>
      <c r="C1804" s="4">
        <f>(0.832079466311379/(0.00247367761416449+0.832079466311379+0.0127000784696626)) * 0.532818796763154%</f>
        <v>5.2327635744836894E-3</v>
      </c>
      <c r="D1804" t="s">
        <v>242</v>
      </c>
      <c r="E1804" t="s">
        <v>315</v>
      </c>
      <c r="F1804" t="s">
        <v>386</v>
      </c>
      <c r="G1804" s="4" t="s">
        <v>245</v>
      </c>
    </row>
    <row r="1805" spans="1:7" x14ac:dyDescent="0.25">
      <c r="A1805" t="s">
        <v>386</v>
      </c>
      <c r="B1805" t="s">
        <v>160</v>
      </c>
      <c r="C1805" s="4">
        <f>(0.0127000784696626/(0.00247367761416449+0.832079466311379+0.0127000784696626)) * 0.532818796763154%</f>
        <v>7.986798220575942E-5</v>
      </c>
      <c r="D1805" t="s">
        <v>256</v>
      </c>
      <c r="E1805" t="s">
        <v>280</v>
      </c>
      <c r="F1805" t="s">
        <v>386</v>
      </c>
      <c r="G1805" s="4" t="s">
        <v>245</v>
      </c>
    </row>
    <row r="1806" spans="1:7" x14ac:dyDescent="0.25">
      <c r="A1806" t="s">
        <v>386</v>
      </c>
      <c r="B1806" t="s">
        <v>154</v>
      </c>
      <c r="C1806" s="4">
        <f>(0.00247367761416449/(0.00247367761416449+0.832079466311379+0.0127000784696626))*0.0173133326823532%</f>
        <v>5.0548764349157434E-7</v>
      </c>
      <c r="D1806" t="s">
        <v>242</v>
      </c>
      <c r="E1806" t="s">
        <v>388</v>
      </c>
      <c r="F1806" t="s">
        <v>386</v>
      </c>
      <c r="G1806" s="4" t="s">
        <v>245</v>
      </c>
    </row>
    <row r="1807" spans="1:7" x14ac:dyDescent="0.25">
      <c r="A1807" t="s">
        <v>386</v>
      </c>
      <c r="B1807" t="s">
        <v>154</v>
      </c>
      <c r="C1807" s="4">
        <f>(0.832079466311379/(0.00247367761416449+0.832079466311379+0.0127000784696626)) * 0.0173133326823532%</f>
        <v>1.7003262115282948E-4</v>
      </c>
      <c r="D1807" t="s">
        <v>242</v>
      </c>
      <c r="E1807" t="s">
        <v>315</v>
      </c>
      <c r="F1807" t="s">
        <v>386</v>
      </c>
      <c r="G1807" s="4" t="s">
        <v>245</v>
      </c>
    </row>
    <row r="1808" spans="1:7" x14ac:dyDescent="0.25">
      <c r="A1808" t="s">
        <v>386</v>
      </c>
      <c r="B1808" t="s">
        <v>154</v>
      </c>
      <c r="C1808" s="4">
        <f>(0.0127000784696626/(0.00247367761416449+0.832079466311379+0.0127000784696626)) * 0.0173133326823532%</f>
        <v>2.5952180272109379E-6</v>
      </c>
      <c r="D1808" t="s">
        <v>256</v>
      </c>
      <c r="E1808" t="s">
        <v>280</v>
      </c>
      <c r="F1808" t="s">
        <v>386</v>
      </c>
      <c r="G1808" s="4" t="s">
        <v>245</v>
      </c>
    </row>
    <row r="1809" spans="1:7" x14ac:dyDescent="0.25">
      <c r="A1809" t="s">
        <v>386</v>
      </c>
      <c r="B1809" t="s">
        <v>169</v>
      </c>
      <c r="C1809" s="4">
        <f>(0.00247367761416449/(0.00247367761416449+0.832079466311379+0.0127000784696626))*0.0101143781436418%</f>
        <v>2.9530381394584682E-7</v>
      </c>
      <c r="D1809" t="s">
        <v>242</v>
      </c>
      <c r="E1809" t="s">
        <v>388</v>
      </c>
      <c r="F1809" t="s">
        <v>386</v>
      </c>
      <c r="G1809" s="4" t="s">
        <v>245</v>
      </c>
    </row>
    <row r="1810" spans="1:7" x14ac:dyDescent="0.25">
      <c r="A1810" t="s">
        <v>386</v>
      </c>
      <c r="B1810" t="s">
        <v>169</v>
      </c>
      <c r="C1810" s="4">
        <f>(0.832079466311379/(0.00247367761416449+0.832079466311379+0.0127000784696626)) * 0.0101143781436418%</f>
        <v>9.9332361865096214E-5</v>
      </c>
      <c r="D1810" t="s">
        <v>242</v>
      </c>
      <c r="E1810" t="s">
        <v>315</v>
      </c>
      <c r="F1810" t="s">
        <v>386</v>
      </c>
      <c r="G1810" s="4" t="s">
        <v>245</v>
      </c>
    </row>
    <row r="1811" spans="1:7" x14ac:dyDescent="0.25">
      <c r="A1811" t="s">
        <v>386</v>
      </c>
      <c r="B1811" t="s">
        <v>169</v>
      </c>
      <c r="C1811" s="4">
        <f>(0.0127000784696626/(0.00247367761416449+0.832079466311379+0.0127000784696626)) * 0.0101143781436418%</f>
        <v>1.5161157573759383E-6</v>
      </c>
      <c r="D1811" t="s">
        <v>256</v>
      </c>
      <c r="E1811" t="s">
        <v>280</v>
      </c>
      <c r="F1811" t="s">
        <v>386</v>
      </c>
      <c r="G1811" s="4" t="s">
        <v>245</v>
      </c>
    </row>
    <row r="1812" spans="1:7" x14ac:dyDescent="0.25">
      <c r="A1812" t="s">
        <v>386</v>
      </c>
      <c r="B1812" t="s">
        <v>93</v>
      </c>
      <c r="C1812" s="4">
        <f>(0.00247367761416449/(0.00247367761416449+0.832079466311379+0.0127000784696626))*0.346253540797267%</f>
        <v>1.010937002132595E-5</v>
      </c>
      <c r="D1812" t="s">
        <v>242</v>
      </c>
      <c r="E1812" t="s">
        <v>388</v>
      </c>
      <c r="F1812" t="s">
        <v>386</v>
      </c>
      <c r="G1812" s="4" t="s">
        <v>245</v>
      </c>
    </row>
    <row r="1813" spans="1:7" x14ac:dyDescent="0.25">
      <c r="A1813" t="s">
        <v>386</v>
      </c>
      <c r="B1813" t="s">
        <v>93</v>
      </c>
      <c r="C1813" s="4">
        <f>(0.832079466311379/(0.00247367761416449+0.832079466311379+0.0127000784696626)) * 0.346253540797267%</f>
        <v>3.4005236429850302E-3</v>
      </c>
      <c r="D1813" t="s">
        <v>242</v>
      </c>
      <c r="E1813" t="s">
        <v>315</v>
      </c>
      <c r="F1813" t="s">
        <v>386</v>
      </c>
      <c r="G1813" s="4" t="s">
        <v>245</v>
      </c>
    </row>
    <row r="1814" spans="1:7" x14ac:dyDescent="0.25">
      <c r="A1814" t="s">
        <v>386</v>
      </c>
      <c r="B1814" t="s">
        <v>93</v>
      </c>
      <c r="C1814" s="4">
        <f>(0.0127000784696626/(0.00247367761416449+0.832079466311379+0.0127000784696626)) * 0.346253540797267%</f>
        <v>5.1902394966313831E-5</v>
      </c>
      <c r="D1814" t="s">
        <v>256</v>
      </c>
      <c r="E1814" t="s">
        <v>280</v>
      </c>
      <c r="F1814" t="s">
        <v>386</v>
      </c>
      <c r="G1814" s="4" t="s">
        <v>245</v>
      </c>
    </row>
    <row r="1815" spans="1:7" x14ac:dyDescent="0.25">
      <c r="A1815" t="s">
        <v>386</v>
      </c>
      <c r="B1815" t="s">
        <v>196</v>
      </c>
      <c r="C1815" s="4">
        <f>(0.00247367761416449/(0.00247367761416449+0.832079466311379+0.0127000784696626))*0.021850378712215%</f>
        <v>6.3795322641110312E-7</v>
      </c>
      <c r="D1815" t="s">
        <v>242</v>
      </c>
      <c r="E1815" t="s">
        <v>388</v>
      </c>
      <c r="F1815" t="s">
        <v>386</v>
      </c>
      <c r="G1815" s="4" t="s">
        <v>245</v>
      </c>
    </row>
    <row r="1816" spans="1:7" x14ac:dyDescent="0.25">
      <c r="A1816" t="s">
        <v>386</v>
      </c>
      <c r="B1816" t="s">
        <v>196</v>
      </c>
      <c r="C1816" s="4">
        <f>(0.832079466311379/(0.00247367761416449+0.832079466311379+0.0127000784696626)) * 0.021850378712215%</f>
        <v>2.1459052591340426E-4</v>
      </c>
      <c r="D1816" t="s">
        <v>242</v>
      </c>
      <c r="E1816" t="s">
        <v>315</v>
      </c>
      <c r="F1816" t="s">
        <v>386</v>
      </c>
      <c r="G1816" s="4" t="s">
        <v>245</v>
      </c>
    </row>
    <row r="1817" spans="1:7" x14ac:dyDescent="0.25">
      <c r="A1817" t="s">
        <v>386</v>
      </c>
      <c r="B1817" t="s">
        <v>196</v>
      </c>
      <c r="C1817" s="4">
        <f>(0.0127000784696626/(0.00247367761416449+0.832079466311379+0.0127000784696626)) * 0.021850378712215%</f>
        <v>3.275307982334632E-6</v>
      </c>
      <c r="D1817" t="s">
        <v>256</v>
      </c>
      <c r="E1817" t="s">
        <v>280</v>
      </c>
      <c r="F1817" t="s">
        <v>386</v>
      </c>
      <c r="G1817" s="4" t="s">
        <v>245</v>
      </c>
    </row>
    <row r="1818" spans="1:7" x14ac:dyDescent="0.25">
      <c r="A1818" t="s">
        <v>386</v>
      </c>
      <c r="B1818" t="s">
        <v>197</v>
      </c>
      <c r="C1818" s="4">
        <f>(0.00247367761416449/(0.00247367761416449+0.832079466311379+0.0127000784696626))*0.206579835706482%</f>
        <v>6.0313953563995811E-6</v>
      </c>
      <c r="D1818" t="s">
        <v>242</v>
      </c>
      <c r="E1818" t="s">
        <v>388</v>
      </c>
      <c r="F1818" t="s">
        <v>386</v>
      </c>
      <c r="G1818" s="4" t="s">
        <v>245</v>
      </c>
    </row>
    <row r="1819" spans="1:7" x14ac:dyDescent="0.25">
      <c r="A1819" t="s">
        <v>386</v>
      </c>
      <c r="B1819" t="s">
        <v>197</v>
      </c>
      <c r="C1819" s="4">
        <f>(0.832079466311379/(0.00247367761416449+0.832079466311379+0.0127000784696626)) * 0.206579835706482%</f>
        <v>2.0288012473933378E-3</v>
      </c>
      <c r="D1819" t="s">
        <v>242</v>
      </c>
      <c r="E1819" t="s">
        <v>315</v>
      </c>
      <c r="F1819" t="s">
        <v>386</v>
      </c>
      <c r="G1819" s="4" t="s">
        <v>245</v>
      </c>
    </row>
    <row r="1820" spans="1:7" x14ac:dyDescent="0.25">
      <c r="A1820" t="s">
        <v>386</v>
      </c>
      <c r="B1820" t="s">
        <v>197</v>
      </c>
      <c r="C1820" s="4">
        <f>(0.0127000784696626/(0.00247367761416449+0.832079466311379+0.0127000784696626)) * 0.206579835706482%</f>
        <v>3.0965714315082838E-5</v>
      </c>
      <c r="D1820" t="s">
        <v>256</v>
      </c>
      <c r="E1820" t="s">
        <v>280</v>
      </c>
      <c r="F1820" t="s">
        <v>386</v>
      </c>
      <c r="G1820" s="4" t="s">
        <v>245</v>
      </c>
    </row>
    <row r="1821" spans="1:7" x14ac:dyDescent="0.25">
      <c r="A1821" t="s">
        <v>386</v>
      </c>
      <c r="B1821" t="s">
        <v>97</v>
      </c>
      <c r="C1821" s="4">
        <f>(0.00247367761416449/(0.00247367761416449+0.832079466311379+0.0127000784696626))*4.30148242515338%</f>
        <v>1.2558796474970013E-4</v>
      </c>
      <c r="D1821" t="s">
        <v>242</v>
      </c>
      <c r="E1821" t="s">
        <v>388</v>
      </c>
      <c r="F1821" t="s">
        <v>386</v>
      </c>
      <c r="G1821" s="4" t="s">
        <v>245</v>
      </c>
    </row>
    <row r="1822" spans="1:7" x14ac:dyDescent="0.25">
      <c r="A1822" t="s">
        <v>386</v>
      </c>
      <c r="B1822" t="s">
        <v>97</v>
      </c>
      <c r="C1822" s="4">
        <f>(0.832079466311379/(0.00247367761416449+0.832079466311379+0.0127000784696626)) * 4.30148242515338%</f>
        <v>4.2244456628338131E-2</v>
      </c>
      <c r="D1822" t="s">
        <v>242</v>
      </c>
      <c r="E1822" t="s">
        <v>315</v>
      </c>
      <c r="F1822" t="s">
        <v>386</v>
      </c>
      <c r="G1822" s="4" t="s">
        <v>245</v>
      </c>
    </row>
    <row r="1823" spans="1:7" x14ac:dyDescent="0.25">
      <c r="A1823" t="s">
        <v>386</v>
      </c>
      <c r="B1823" t="s">
        <v>97</v>
      </c>
      <c r="C1823" s="4">
        <f>(0.0127000784696626/(0.00247367761416449+0.832079466311379+0.0127000784696626)) * 4.30148242515338%</f>
        <v>6.447796584459661E-4</v>
      </c>
      <c r="D1823" t="s">
        <v>256</v>
      </c>
      <c r="E1823" t="s">
        <v>280</v>
      </c>
      <c r="F1823" t="s">
        <v>386</v>
      </c>
      <c r="G1823" s="4" t="s">
        <v>245</v>
      </c>
    </row>
    <row r="1824" spans="1:7" x14ac:dyDescent="0.25">
      <c r="A1824" t="s">
        <v>386</v>
      </c>
      <c r="B1824" t="s">
        <v>98</v>
      </c>
      <c r="C1824" s="4">
        <f>(0.00247367761416449/(0.00247367761416449+0.832079466311379+0.0127000784696626))*0.193458244009329%</f>
        <v>5.6482916185147873E-6</v>
      </c>
      <c r="D1824" t="s">
        <v>242</v>
      </c>
      <c r="E1824" t="s">
        <v>388</v>
      </c>
      <c r="F1824" t="s">
        <v>386</v>
      </c>
      <c r="G1824" s="4" t="s">
        <v>245</v>
      </c>
    </row>
    <row r="1825" spans="1:7" x14ac:dyDescent="0.25">
      <c r="A1825" t="s">
        <v>386</v>
      </c>
      <c r="B1825" t="s">
        <v>98</v>
      </c>
      <c r="C1825" s="4">
        <f>(0.832079466311379/(0.00247367761416449+0.832079466311379+0.0127000784696626)) * 0.193458244009329%</f>
        <v>1.8999353224499443E-3</v>
      </c>
      <c r="D1825" t="s">
        <v>242</v>
      </c>
      <c r="E1825" t="s">
        <v>315</v>
      </c>
      <c r="F1825" t="s">
        <v>386</v>
      </c>
      <c r="G1825" s="4" t="s">
        <v>245</v>
      </c>
    </row>
    <row r="1826" spans="1:7" x14ac:dyDescent="0.25">
      <c r="A1826" t="s">
        <v>386</v>
      </c>
      <c r="B1826" t="s">
        <v>98</v>
      </c>
      <c r="C1826" s="4">
        <f>(0.0127000784696626/(0.00247367761416449+0.832079466311379+0.0127000784696626)) * 0.193458244009329%</f>
        <v>2.8998826024831122E-5</v>
      </c>
      <c r="D1826" t="s">
        <v>256</v>
      </c>
      <c r="E1826" t="s">
        <v>280</v>
      </c>
      <c r="F1826" t="s">
        <v>386</v>
      </c>
      <c r="G1826" s="4" t="s">
        <v>245</v>
      </c>
    </row>
    <row r="1827" spans="1:7" x14ac:dyDescent="0.25">
      <c r="A1827" t="s">
        <v>386</v>
      </c>
      <c r="B1827" t="s">
        <v>99</v>
      </c>
      <c r="C1827" s="4">
        <f>(0.00247367761416449/(0.00247367761416449+0.832079466311379+0.0127000784696626))*1.35543157404638%</f>
        <v>3.957377385678787E-5</v>
      </c>
      <c r="D1827" t="s">
        <v>242</v>
      </c>
      <c r="E1827" t="s">
        <v>388</v>
      </c>
      <c r="F1827" t="s">
        <v>386</v>
      </c>
      <c r="G1827" s="4" t="s">
        <v>245</v>
      </c>
    </row>
    <row r="1828" spans="1:7" x14ac:dyDescent="0.25">
      <c r="A1828" t="s">
        <v>386</v>
      </c>
      <c r="B1828" t="s">
        <v>99</v>
      </c>
      <c r="C1828" s="4">
        <f>(0.832079466311379/(0.00247367761416449+0.832079466311379+0.0127000784696626)) * 1.35543157404638%</f>
        <v>1.3311566730495397E-2</v>
      </c>
      <c r="D1828" t="s">
        <v>242</v>
      </c>
      <c r="E1828" t="s">
        <v>315</v>
      </c>
      <c r="F1828" t="s">
        <v>386</v>
      </c>
      <c r="G1828" s="4" t="s">
        <v>245</v>
      </c>
    </row>
    <row r="1829" spans="1:7" x14ac:dyDescent="0.25">
      <c r="A1829" t="s">
        <v>386</v>
      </c>
      <c r="B1829" t="s">
        <v>99</v>
      </c>
      <c r="C1829" s="4">
        <f>(0.0127000784696626/(0.00247367761416449+0.832079466311379+0.0127000784696626)) * 1.35543157404638%</f>
        <v>2.0317523611161566E-4</v>
      </c>
      <c r="D1829" t="s">
        <v>256</v>
      </c>
      <c r="E1829" t="s">
        <v>280</v>
      </c>
      <c r="F1829" t="s">
        <v>386</v>
      </c>
      <c r="G1829" s="4" t="s">
        <v>245</v>
      </c>
    </row>
    <row r="1830" spans="1:7" x14ac:dyDescent="0.25">
      <c r="A1830" t="s">
        <v>386</v>
      </c>
      <c r="B1830" t="s">
        <v>118</v>
      </c>
      <c r="C1830" s="4">
        <f>(0.00247367761416449/(0.00247367761416449+0.832079466311379+0.0127000784696626))*0.338696168364096%</f>
        <v>9.8887216659619042E-6</v>
      </c>
      <c r="D1830" t="s">
        <v>242</v>
      </c>
      <c r="E1830" t="s">
        <v>388</v>
      </c>
      <c r="F1830" t="s">
        <v>386</v>
      </c>
      <c r="G1830" s="4" t="s">
        <v>245</v>
      </c>
    </row>
    <row r="1831" spans="1:7" x14ac:dyDescent="0.25">
      <c r="A1831" t="s">
        <v>386</v>
      </c>
      <c r="B1831" t="s">
        <v>118</v>
      </c>
      <c r="C1831" s="4">
        <f>(0.832079466311379/(0.00247367761416449+0.832079466311379+0.0127000784696626)) * 0.338696168364096%</f>
        <v>3.3263033950745886E-3</v>
      </c>
      <c r="D1831" t="s">
        <v>242</v>
      </c>
      <c r="E1831" t="s">
        <v>315</v>
      </c>
      <c r="F1831" t="s">
        <v>386</v>
      </c>
      <c r="G1831" s="4" t="s">
        <v>245</v>
      </c>
    </row>
    <row r="1832" spans="1:7" x14ac:dyDescent="0.25">
      <c r="A1832" t="s">
        <v>386</v>
      </c>
      <c r="B1832" t="s">
        <v>118</v>
      </c>
      <c r="C1832" s="4">
        <f>(0.0127000784696626/(0.00247367761416449+0.832079466311379+0.0127000784696626)) * 0.338696168364096%</f>
        <v>5.0769566900409267E-5</v>
      </c>
      <c r="D1832" t="s">
        <v>256</v>
      </c>
      <c r="E1832" t="s">
        <v>280</v>
      </c>
      <c r="F1832" t="s">
        <v>386</v>
      </c>
      <c r="G1832" s="4" t="s">
        <v>245</v>
      </c>
    </row>
    <row r="1833" spans="1:7" x14ac:dyDescent="0.25">
      <c r="A1833" t="s">
        <v>386</v>
      </c>
      <c r="B1833" t="s">
        <v>102</v>
      </c>
      <c r="C1833" s="4">
        <f>(0.00247367761416449/(0.00247367761416449+0.832079466311379+0.0127000784696626))*1.36723313886394%</f>
        <v>3.9918337511780879E-5</v>
      </c>
      <c r="D1833" t="s">
        <v>242</v>
      </c>
      <c r="E1833" t="s">
        <v>388</v>
      </c>
      <c r="F1833" t="s">
        <v>386</v>
      </c>
      <c r="G1833" s="4" t="s">
        <v>245</v>
      </c>
    </row>
    <row r="1834" spans="1:7" x14ac:dyDescent="0.25">
      <c r="A1834" t="s">
        <v>386</v>
      </c>
      <c r="B1834" t="s">
        <v>102</v>
      </c>
      <c r="C1834" s="4">
        <f>(0.832079466311379/(0.00247367761416449+0.832079466311379+0.0127000784696626)) * 1.36723313886394%</f>
        <v>1.3427468794901521E-2</v>
      </c>
      <c r="D1834" t="s">
        <v>242</v>
      </c>
      <c r="E1834" t="s">
        <v>315</v>
      </c>
      <c r="F1834" t="s">
        <v>386</v>
      </c>
      <c r="G1834" s="4" t="s">
        <v>245</v>
      </c>
    </row>
    <row r="1835" spans="1:7" x14ac:dyDescent="0.25">
      <c r="A1835" t="s">
        <v>386</v>
      </c>
      <c r="B1835" t="s">
        <v>102</v>
      </c>
      <c r="C1835" s="4">
        <f>(0.0127000784696626/(0.00247367761416449+0.832079466311379+0.0127000784696626)) * 1.36723313886394%</f>
        <v>2.0494425622609932E-4</v>
      </c>
      <c r="D1835" t="s">
        <v>256</v>
      </c>
      <c r="E1835" t="s">
        <v>280</v>
      </c>
      <c r="F1835" t="s">
        <v>386</v>
      </c>
      <c r="G1835" s="4" t="s">
        <v>245</v>
      </c>
    </row>
    <row r="1836" spans="1:7" x14ac:dyDescent="0.25">
      <c r="A1836" t="s">
        <v>386</v>
      </c>
      <c r="B1836" t="s">
        <v>148</v>
      </c>
      <c r="C1836" s="4">
        <f>(0.00247367761416449/(0.00247367761416449+0.832079466311379+0.0127000784696626))*0.0494616694353721%</f>
        <v>1.4441045629261951E-6</v>
      </c>
      <c r="D1836" t="s">
        <v>242</v>
      </c>
      <c r="E1836" t="s">
        <v>388</v>
      </c>
      <c r="F1836" t="s">
        <v>386</v>
      </c>
      <c r="G1836" s="4" t="s">
        <v>245</v>
      </c>
    </row>
    <row r="1837" spans="1:7" x14ac:dyDescent="0.25">
      <c r="A1837" t="s">
        <v>386</v>
      </c>
      <c r="B1837" t="s">
        <v>148</v>
      </c>
      <c r="C1837" s="4">
        <f>(0.832079466311379/(0.00247367761416449+0.832079466311379+0.0127000784696626)) * 0.0494616694353721%</f>
        <v>4.8575842993320355E-4</v>
      </c>
      <c r="D1837" t="s">
        <v>242</v>
      </c>
      <c r="E1837" t="s">
        <v>315</v>
      </c>
      <c r="F1837" t="s">
        <v>386</v>
      </c>
      <c r="G1837" s="4" t="s">
        <v>245</v>
      </c>
    </row>
    <row r="1838" spans="1:7" x14ac:dyDescent="0.25">
      <c r="A1838" t="s">
        <v>386</v>
      </c>
      <c r="B1838" t="s">
        <v>148</v>
      </c>
      <c r="C1838" s="4">
        <f>(0.0127000784696626/(0.00247367761416449+0.832079466311379+0.0127000784696626)) * 0.0494616694353721%</f>
        <v>7.4141598575912625E-6</v>
      </c>
      <c r="D1838" t="s">
        <v>256</v>
      </c>
      <c r="E1838" t="s">
        <v>280</v>
      </c>
      <c r="F1838" t="s">
        <v>386</v>
      </c>
      <c r="G1838" s="4" t="s">
        <v>245</v>
      </c>
    </row>
    <row r="1839" spans="1:7" x14ac:dyDescent="0.25">
      <c r="A1839" t="s">
        <v>386</v>
      </c>
      <c r="B1839" t="s">
        <v>149</v>
      </c>
      <c r="C1839" s="4">
        <f>(0.00247367761416449/(0.00247367761416449+0.832079466311379+0.0127000784696626))*0.557825001326583%</f>
        <v>1.62865030421707E-5</v>
      </c>
      <c r="D1839" t="s">
        <v>242</v>
      </c>
      <c r="E1839" t="s">
        <v>388</v>
      </c>
      <c r="F1839" t="s">
        <v>386</v>
      </c>
      <c r="G1839" s="4" t="s">
        <v>245</v>
      </c>
    </row>
    <row r="1840" spans="1:7" x14ac:dyDescent="0.25">
      <c r="A1840" t="s">
        <v>386</v>
      </c>
      <c r="B1840" t="s">
        <v>149</v>
      </c>
      <c r="C1840" s="4">
        <f>(0.832079466311379/(0.00247367761416449+0.832079466311379+0.0127000784696626)) * 0.557825001326583%</f>
        <v>5.4783471709530986E-3</v>
      </c>
      <c r="D1840" t="s">
        <v>242</v>
      </c>
      <c r="E1840" t="s">
        <v>315</v>
      </c>
      <c r="F1840" t="s">
        <v>386</v>
      </c>
      <c r="G1840" s="4" t="s">
        <v>245</v>
      </c>
    </row>
    <row r="1841" spans="1:7" x14ac:dyDescent="0.25">
      <c r="A1841" t="s">
        <v>386</v>
      </c>
      <c r="B1841" t="s">
        <v>149</v>
      </c>
      <c r="C1841" s="4">
        <f>(0.0127000784696626/(0.00247367761416449+0.832079466311379+0.0127000784696626)) * 0.557825001326583%</f>
        <v>8.3616339270559651E-5</v>
      </c>
      <c r="D1841" t="s">
        <v>256</v>
      </c>
      <c r="E1841" t="s">
        <v>280</v>
      </c>
      <c r="F1841" t="s">
        <v>386</v>
      </c>
      <c r="G1841" s="4" t="s">
        <v>245</v>
      </c>
    </row>
    <row r="1842" spans="1:7" x14ac:dyDescent="0.25">
      <c r="A1842" t="s">
        <v>386</v>
      </c>
      <c r="B1842" t="s">
        <v>230</v>
      </c>
      <c r="C1842" s="4">
        <f>(0.00247367761416449/(0.00247367761416449+0.832079466311379+0.0127000784696626))*0.104046092191552%</f>
        <v>3.0377752753530659E-6</v>
      </c>
      <c r="D1842" t="s">
        <v>242</v>
      </c>
      <c r="E1842" t="s">
        <v>388</v>
      </c>
      <c r="F1842" t="s">
        <v>386</v>
      </c>
      <c r="G1842" s="4" t="s">
        <v>245</v>
      </c>
    </row>
    <row r="1843" spans="1:7" x14ac:dyDescent="0.25">
      <c r="A1843" t="s">
        <v>386</v>
      </c>
      <c r="B1843" t="s">
        <v>230</v>
      </c>
      <c r="C1843" s="4">
        <f>(0.832079466311379/(0.00247367761416449+0.832079466311379+0.0127000784696626)) * 0.104046092191552%</f>
        <v>1.0218269411567714E-3</v>
      </c>
      <c r="D1843" t="s">
        <v>242</v>
      </c>
      <c r="E1843" t="s">
        <v>315</v>
      </c>
      <c r="F1843" t="s">
        <v>386</v>
      </c>
      <c r="G1843" s="4" t="s">
        <v>245</v>
      </c>
    </row>
    <row r="1844" spans="1:7" x14ac:dyDescent="0.25">
      <c r="A1844" t="s">
        <v>386</v>
      </c>
      <c r="B1844" t="s">
        <v>230</v>
      </c>
      <c r="C1844" s="4">
        <f>(0.0127000784696626/(0.00247367761416449+0.832079466311379+0.0127000784696626)) * 0.104046092191552%</f>
        <v>1.5596205483395471E-5</v>
      </c>
      <c r="D1844" t="s">
        <v>256</v>
      </c>
      <c r="E1844" t="s">
        <v>280</v>
      </c>
      <c r="F1844" t="s">
        <v>386</v>
      </c>
      <c r="G1844" s="4" t="s">
        <v>245</v>
      </c>
    </row>
    <row r="1845" spans="1:7" x14ac:dyDescent="0.25">
      <c r="A1845" t="s">
        <v>386</v>
      </c>
      <c r="B1845" t="s">
        <v>171</v>
      </c>
      <c r="C1845" s="4">
        <f>(0.00247367761416449/(0.00247367761416449+0.832079466311379+0.0127000784696626))*0.00699351989188718%</f>
        <v>2.0418586962547819E-7</v>
      </c>
      <c r="D1845" t="s">
        <v>242</v>
      </c>
      <c r="E1845" t="s">
        <v>388</v>
      </c>
      <c r="F1845" t="s">
        <v>386</v>
      </c>
      <c r="G1845" s="4" t="s">
        <v>245</v>
      </c>
    </row>
    <row r="1846" spans="1:7" x14ac:dyDescent="0.25">
      <c r="A1846" t="s">
        <v>386</v>
      </c>
      <c r="B1846" t="s">
        <v>171</v>
      </c>
      <c r="C1846" s="4">
        <f>(0.832079466311379/(0.00247367761416449+0.832079466311379+0.0127000784696626)) * 0.00699351989188718%</f>
        <v>6.8682704833256041E-5</v>
      </c>
      <c r="D1846" t="s">
        <v>242</v>
      </c>
      <c r="E1846" t="s">
        <v>315</v>
      </c>
      <c r="F1846" t="s">
        <v>386</v>
      </c>
      <c r="G1846" s="4" t="s">
        <v>245</v>
      </c>
    </row>
    <row r="1847" spans="1:7" x14ac:dyDescent="0.25">
      <c r="A1847" t="s">
        <v>386</v>
      </c>
      <c r="B1847" t="s">
        <v>171</v>
      </c>
      <c r="C1847" s="4">
        <f>(0.0127000784696626/(0.00247367761416449+0.832079466311379+0.0127000784696626)) * 0.00699351989188718%</f>
        <v>1.0483082159902806E-6</v>
      </c>
      <c r="D1847" t="s">
        <v>256</v>
      </c>
      <c r="E1847" t="s">
        <v>280</v>
      </c>
      <c r="F1847" t="s">
        <v>386</v>
      </c>
      <c r="G1847" s="4" t="s">
        <v>245</v>
      </c>
    </row>
    <row r="1848" spans="1:7" x14ac:dyDescent="0.25">
      <c r="A1848" t="s">
        <v>386</v>
      </c>
      <c r="B1848" t="s">
        <v>150</v>
      </c>
      <c r="C1848" s="4">
        <f>(0.00247367761416449/(0.00247367761416449+0.832079466311379+0.0127000784696626))*6.93531195163701%</f>
        <v>2.024864051093514E-4</v>
      </c>
      <c r="D1848" t="s">
        <v>242</v>
      </c>
      <c r="E1848" t="s">
        <v>388</v>
      </c>
      <c r="F1848" t="s">
        <v>386</v>
      </c>
      <c r="G1848" s="4" t="s">
        <v>245</v>
      </c>
    </row>
    <row r="1849" spans="1:7" x14ac:dyDescent="0.25">
      <c r="A1849" t="s">
        <v>386</v>
      </c>
      <c r="B1849" t="s">
        <v>150</v>
      </c>
      <c r="C1849" s="4">
        <f>(0.832079466311379/(0.00247367761416449+0.832079466311379+0.0127000784696626)) * 6.93531195163701%</f>
        <v>6.8111050095590667E-2</v>
      </c>
      <c r="D1849" t="s">
        <v>242</v>
      </c>
      <c r="E1849" t="s">
        <v>315</v>
      </c>
      <c r="F1849" t="s">
        <v>386</v>
      </c>
      <c r="G1849" s="4" t="s">
        <v>245</v>
      </c>
    </row>
    <row r="1850" spans="1:7" x14ac:dyDescent="0.25">
      <c r="A1850" t="s">
        <v>386</v>
      </c>
      <c r="B1850" t="s">
        <v>150</v>
      </c>
      <c r="C1850" s="4">
        <f>(0.0127000784696626/(0.00247367761416449+0.832079466311379+0.0127000784696626)) * 6.93531195163701%</f>
        <v>1.0395830156700655E-3</v>
      </c>
      <c r="D1850" t="s">
        <v>256</v>
      </c>
      <c r="E1850" t="s">
        <v>280</v>
      </c>
      <c r="F1850" t="s">
        <v>386</v>
      </c>
      <c r="G1850" s="4" t="s">
        <v>245</v>
      </c>
    </row>
    <row r="1851" spans="1:7" x14ac:dyDescent="0.25">
      <c r="A1851" t="s">
        <v>386</v>
      </c>
      <c r="B1851" t="s">
        <v>173</v>
      </c>
      <c r="C1851" s="4">
        <f>(0.00247367761416449/(0.00247367761416449+0.832079466311379+0.0127000784696626))*0.238216771317407%</f>
        <v>6.9550811841178494E-6</v>
      </c>
      <c r="D1851" t="s">
        <v>242</v>
      </c>
      <c r="E1851" t="s">
        <v>388</v>
      </c>
      <c r="F1851" t="s">
        <v>386</v>
      </c>
      <c r="G1851" s="4" t="s">
        <v>245</v>
      </c>
    </row>
    <row r="1852" spans="1:7" x14ac:dyDescent="0.25">
      <c r="A1852" t="s">
        <v>386</v>
      </c>
      <c r="B1852" t="s">
        <v>173</v>
      </c>
      <c r="C1852" s="4">
        <f>(0.832079466311379/(0.00247367761416449+0.832079466311379+0.0127000784696626)) * 0.238216771317407%</f>
        <v>2.3395046333827834E-3</v>
      </c>
      <c r="D1852" t="s">
        <v>242</v>
      </c>
      <c r="E1852" t="s">
        <v>315</v>
      </c>
      <c r="F1852" t="s">
        <v>386</v>
      </c>
      <c r="G1852" s="4" t="s">
        <v>245</v>
      </c>
    </row>
    <row r="1853" spans="1:7" x14ac:dyDescent="0.25">
      <c r="A1853" t="s">
        <v>386</v>
      </c>
      <c r="B1853" t="s">
        <v>173</v>
      </c>
      <c r="C1853" s="4">
        <f>(0.0127000784696626/(0.00247367761416449+0.832079466311379+0.0127000784696626)) * 0.238216771317407%</f>
        <v>3.570799860716893E-5</v>
      </c>
      <c r="D1853" t="s">
        <v>256</v>
      </c>
      <c r="E1853" t="s">
        <v>280</v>
      </c>
      <c r="F1853" t="s">
        <v>386</v>
      </c>
      <c r="G1853" s="4" t="s">
        <v>245</v>
      </c>
    </row>
    <row r="1854" spans="1:7" x14ac:dyDescent="0.25">
      <c r="A1854" t="s">
        <v>386</v>
      </c>
      <c r="B1854" t="s">
        <v>104</v>
      </c>
      <c r="C1854" s="4">
        <f>(0.00247367761416449/(0.00247367761416449+0.832079466311379+0.0127000784696626))*0.0451519128019966%</f>
        <v>1.3182750207694934E-6</v>
      </c>
      <c r="D1854" t="s">
        <v>242</v>
      </c>
      <c r="E1854" t="s">
        <v>388</v>
      </c>
      <c r="F1854" t="s">
        <v>386</v>
      </c>
      <c r="G1854" s="4" t="s">
        <v>245</v>
      </c>
    </row>
    <row r="1855" spans="1:7" x14ac:dyDescent="0.25">
      <c r="A1855" t="s">
        <v>386</v>
      </c>
      <c r="B1855" t="s">
        <v>104</v>
      </c>
      <c r="C1855" s="4">
        <f>(0.832079466311379/(0.00247367761416449+0.832079466311379+0.0127000784696626)) * 0.0451519128019966%</f>
        <v>4.4343271307970927E-4</v>
      </c>
      <c r="D1855" t="s">
        <v>242</v>
      </c>
      <c r="E1855" t="s">
        <v>315</v>
      </c>
      <c r="F1855" t="s">
        <v>386</v>
      </c>
      <c r="G1855" s="4" t="s">
        <v>245</v>
      </c>
    </row>
    <row r="1856" spans="1:7" x14ac:dyDescent="0.25">
      <c r="A1856" t="s">
        <v>386</v>
      </c>
      <c r="B1856" t="s">
        <v>104</v>
      </c>
      <c r="C1856" s="4">
        <f>(0.0127000784696626/(0.00247367761416449+0.832079466311379+0.0127000784696626)) * 0.0451519128019966%</f>
        <v>6.768139919487249E-6</v>
      </c>
      <c r="D1856" t="s">
        <v>256</v>
      </c>
      <c r="E1856" t="s">
        <v>280</v>
      </c>
      <c r="F1856" t="s">
        <v>386</v>
      </c>
      <c r="G1856" s="4" t="s">
        <v>245</v>
      </c>
    </row>
    <row r="1857" spans="1:7" x14ac:dyDescent="0.25">
      <c r="A1857" t="s">
        <v>386</v>
      </c>
      <c r="B1857" t="s">
        <v>161</v>
      </c>
      <c r="C1857" s="4">
        <f>(0.00247367761416449/(0.00247367761416449+0.832079466311379+0.0127000784696626))*0.74850769212882%</f>
        <v>2.1853758393677897E-5</v>
      </c>
      <c r="D1857" t="s">
        <v>242</v>
      </c>
      <c r="E1857" t="s">
        <v>388</v>
      </c>
      <c r="F1857" t="s">
        <v>386</v>
      </c>
      <c r="G1857" s="4" t="s">
        <v>245</v>
      </c>
    </row>
    <row r="1858" spans="1:7" x14ac:dyDescent="0.25">
      <c r="A1858" t="s">
        <v>386</v>
      </c>
      <c r="B1858" t="s">
        <v>161</v>
      </c>
      <c r="C1858" s="4">
        <f>(0.832079466311379/(0.00247367761416449+0.832079466311379+0.0127000784696626)) * 0.74850769212882%</f>
        <v>7.3510240449223517E-3</v>
      </c>
      <c r="D1858" t="s">
        <v>242</v>
      </c>
      <c r="E1858" t="s">
        <v>315</v>
      </c>
      <c r="F1858" t="s">
        <v>386</v>
      </c>
      <c r="G1858" s="4" t="s">
        <v>245</v>
      </c>
    </row>
    <row r="1859" spans="1:7" x14ac:dyDescent="0.25">
      <c r="A1859" t="s">
        <v>386</v>
      </c>
      <c r="B1859" t="s">
        <v>161</v>
      </c>
      <c r="C1859" s="4">
        <f>(0.0127000784696626/(0.00247367761416449+0.832079466311379+0.0127000784696626)) * 0.74850769212882%</f>
        <v>1.1219911797216974E-4</v>
      </c>
      <c r="D1859" t="s">
        <v>256</v>
      </c>
      <c r="E1859" t="s">
        <v>280</v>
      </c>
      <c r="F1859" t="s">
        <v>386</v>
      </c>
      <c r="G1859" s="4" t="s">
        <v>245</v>
      </c>
    </row>
    <row r="1860" spans="1:7" x14ac:dyDescent="0.25">
      <c r="A1860" t="s">
        <v>386</v>
      </c>
      <c r="B1860" t="s">
        <v>174</v>
      </c>
      <c r="C1860" s="4">
        <f>(0.00247367761416449/(0.00247367761416449+0.832079466311379+0.0127000784696626))*0.687039023229064%</f>
        <v>2.0059092215838456E-5</v>
      </c>
      <c r="D1860" t="s">
        <v>242</v>
      </c>
      <c r="E1860" t="s">
        <v>388</v>
      </c>
      <c r="F1860" t="s">
        <v>386</v>
      </c>
      <c r="G1860" s="4" t="s">
        <v>245</v>
      </c>
    </row>
    <row r="1861" spans="1:7" x14ac:dyDescent="0.25">
      <c r="A1861" t="s">
        <v>386</v>
      </c>
      <c r="B1861" t="s">
        <v>174</v>
      </c>
      <c r="C1861" s="4">
        <f>(0.832079466311379/(0.00247367761416449+0.832079466311379+0.0127000784696626)) * 0.687039023229064%</f>
        <v>6.7473459961285504E-3</v>
      </c>
      <c r="D1861" t="s">
        <v>242</v>
      </c>
      <c r="E1861" t="s">
        <v>315</v>
      </c>
      <c r="F1861" t="s">
        <v>386</v>
      </c>
      <c r="G1861" s="4" t="s">
        <v>245</v>
      </c>
    </row>
    <row r="1862" spans="1:7" x14ac:dyDescent="0.25">
      <c r="A1862" t="s">
        <v>386</v>
      </c>
      <c r="B1862" t="s">
        <v>174</v>
      </c>
      <c r="C1862" s="4">
        <f>(0.0127000784696626/(0.00247367761416449+0.832079466311379+0.0127000784696626)) * 0.687039023229064%</f>
        <v>1.0298514394625015E-4</v>
      </c>
      <c r="D1862" t="s">
        <v>256</v>
      </c>
      <c r="E1862" t="s">
        <v>280</v>
      </c>
      <c r="F1862" t="s">
        <v>386</v>
      </c>
      <c r="G1862" s="4" t="s">
        <v>245</v>
      </c>
    </row>
    <row r="1863" spans="1:7" x14ac:dyDescent="0.25">
      <c r="A1863" t="s">
        <v>386</v>
      </c>
      <c r="B1863" t="s">
        <v>175</v>
      </c>
      <c r="C1863" s="4">
        <f>(0.00247367761416449/(0.00247367761416449+0.832079466311379+0.0127000784696626))*0.155028852203409%</f>
        <v>4.5262902649227861E-6</v>
      </c>
      <c r="D1863" t="s">
        <v>242</v>
      </c>
      <c r="E1863" t="s">
        <v>388</v>
      </c>
      <c r="F1863" t="s">
        <v>386</v>
      </c>
      <c r="G1863" s="4" t="s">
        <v>245</v>
      </c>
    </row>
    <row r="1864" spans="1:7" x14ac:dyDescent="0.25">
      <c r="A1864" t="s">
        <v>386</v>
      </c>
      <c r="B1864" t="s">
        <v>175</v>
      </c>
      <c r="C1864" s="4">
        <f>(0.832079466311379/(0.00247367761416449+0.832079466311379+0.0127000784696626)) * 0.155028852203409%</f>
        <v>1.5225238593912028E-3</v>
      </c>
      <c r="D1864" t="s">
        <v>242</v>
      </c>
      <c r="E1864" t="s">
        <v>315</v>
      </c>
      <c r="F1864" t="s">
        <v>386</v>
      </c>
      <c r="G1864" s="4" t="s">
        <v>245</v>
      </c>
    </row>
    <row r="1865" spans="1:7" x14ac:dyDescent="0.25">
      <c r="A1865" t="s">
        <v>386</v>
      </c>
      <c r="B1865" t="s">
        <v>175</v>
      </c>
      <c r="C1865" s="4">
        <f>(0.0127000784696626/(0.00247367761416449+0.832079466311379+0.0127000784696626)) * 0.155028852203409%</f>
        <v>2.3238372377964537E-5</v>
      </c>
      <c r="D1865" t="s">
        <v>256</v>
      </c>
      <c r="E1865" t="s">
        <v>280</v>
      </c>
      <c r="F1865" t="s">
        <v>386</v>
      </c>
      <c r="G1865" s="4" t="s">
        <v>245</v>
      </c>
    </row>
    <row r="1866" spans="1:7" x14ac:dyDescent="0.25">
      <c r="A1866" t="s">
        <v>386</v>
      </c>
      <c r="B1866" t="s">
        <v>214</v>
      </c>
      <c r="C1866" s="4">
        <f>(0.00247367761416449/(0.00247367761416449+0.832079466311379+0.0127000784696626))*0.017046704736475%</f>
        <v>4.9770305721210297E-7</v>
      </c>
      <c r="D1866" t="s">
        <v>242</v>
      </c>
      <c r="E1866" t="s">
        <v>388</v>
      </c>
      <c r="F1866" t="s">
        <v>386</v>
      </c>
      <c r="G1866" s="4" t="s">
        <v>245</v>
      </c>
    </row>
    <row r="1867" spans="1:7" x14ac:dyDescent="0.25">
      <c r="A1867" t="s">
        <v>386</v>
      </c>
      <c r="B1867" t="s">
        <v>214</v>
      </c>
      <c r="C1867" s="4">
        <f>(0.832079466311379/(0.00247367761416449+0.832079466311379+0.0127000784696626)) * 0.017046704736475%</f>
        <v>1.6741409303106157E-4</v>
      </c>
      <c r="D1867" t="s">
        <v>242</v>
      </c>
      <c r="E1867" t="s">
        <v>315</v>
      </c>
      <c r="F1867" t="s">
        <v>386</v>
      </c>
      <c r="G1867" s="4" t="s">
        <v>245</v>
      </c>
    </row>
    <row r="1868" spans="1:7" x14ac:dyDescent="0.25">
      <c r="A1868" t="s">
        <v>386</v>
      </c>
      <c r="B1868" t="s">
        <v>214</v>
      </c>
      <c r="C1868" s="4">
        <f>(0.0127000784696626/(0.00247367761416449+0.832079466311379+0.0127000784696626)) * 0.017046704736475%</f>
        <v>2.5552512764763084E-6</v>
      </c>
      <c r="D1868" t="s">
        <v>256</v>
      </c>
      <c r="E1868" t="s">
        <v>280</v>
      </c>
      <c r="F1868" t="s">
        <v>386</v>
      </c>
      <c r="G1868" s="4" t="s">
        <v>245</v>
      </c>
    </row>
    <row r="1869" spans="1:7" x14ac:dyDescent="0.25">
      <c r="A1869" t="s">
        <v>386</v>
      </c>
      <c r="B1869" t="s">
        <v>203</v>
      </c>
      <c r="C1869" s="4">
        <f>(0.00247367761416449/(0.00247367761416449+0.832079466311379+0.0127000784696626))*0.489546392432102%</f>
        <v>1.4293010873783455E-5</v>
      </c>
      <c r="D1869" t="s">
        <v>242</v>
      </c>
      <c r="E1869" t="s">
        <v>388</v>
      </c>
      <c r="F1869" t="s">
        <v>386</v>
      </c>
      <c r="G1869" s="4" t="s">
        <v>245</v>
      </c>
    </row>
    <row r="1870" spans="1:7" x14ac:dyDescent="0.25">
      <c r="A1870" t="s">
        <v>386</v>
      </c>
      <c r="B1870" t="s">
        <v>203</v>
      </c>
      <c r="C1870" s="4">
        <f>(0.832079466311379/(0.00247367761416449+0.832079466311379+0.0127000784696626)) * 0.489546392432102%</f>
        <v>4.8077893383279167E-3</v>
      </c>
      <c r="D1870" t="s">
        <v>242</v>
      </c>
      <c r="E1870" t="s">
        <v>315</v>
      </c>
      <c r="F1870" t="s">
        <v>386</v>
      </c>
      <c r="G1870" s="4" t="s">
        <v>245</v>
      </c>
    </row>
    <row r="1871" spans="1:7" x14ac:dyDescent="0.25">
      <c r="A1871" t="s">
        <v>386</v>
      </c>
      <c r="B1871" t="s">
        <v>203</v>
      </c>
      <c r="C1871" s="4">
        <f>(0.0127000784696626/(0.00247367761416449+0.832079466311379+0.0127000784696626)) * 0.489546392432102%</f>
        <v>7.3381575119319553E-5</v>
      </c>
      <c r="D1871" t="s">
        <v>256</v>
      </c>
      <c r="E1871" t="s">
        <v>280</v>
      </c>
      <c r="F1871" t="s">
        <v>386</v>
      </c>
      <c r="G1871" s="4" t="s">
        <v>245</v>
      </c>
    </row>
    <row r="1872" spans="1:7" x14ac:dyDescent="0.25">
      <c r="A1872" t="s">
        <v>386</v>
      </c>
      <c r="B1872" t="s">
        <v>176</v>
      </c>
      <c r="C1872" s="4">
        <f>(0.00247367761416449/(0.00247367761416449+0.832079466311379+0.0127000784696626))*0.930264903169035%</f>
        <v>2.7160421529075548E-5</v>
      </c>
      <c r="D1872" t="s">
        <v>242</v>
      </c>
      <c r="E1872" t="s">
        <v>388</v>
      </c>
      <c r="F1872" t="s">
        <v>386</v>
      </c>
      <c r="G1872" s="4" t="s">
        <v>245</v>
      </c>
    </row>
    <row r="1873" spans="1:7" x14ac:dyDescent="0.25">
      <c r="A1873" t="s">
        <v>386</v>
      </c>
      <c r="B1873" t="s">
        <v>176</v>
      </c>
      <c r="C1873" s="4">
        <f>(0.832079466311379/(0.00247367761416449+0.832079466311379+0.0127000784696626)) * 0.930264903169035%</f>
        <v>9.1360446168481518E-3</v>
      </c>
      <c r="D1873" t="s">
        <v>242</v>
      </c>
      <c r="E1873" t="s">
        <v>315</v>
      </c>
      <c r="F1873" t="s">
        <v>386</v>
      </c>
      <c r="G1873" s="4" t="s">
        <v>245</v>
      </c>
    </row>
    <row r="1874" spans="1:7" x14ac:dyDescent="0.25">
      <c r="A1874" t="s">
        <v>386</v>
      </c>
      <c r="B1874" t="s">
        <v>176</v>
      </c>
      <c r="C1874" s="4">
        <f>(0.0127000784696626/(0.00247367761416449+0.832079466311379+0.0127000784696626)) * 0.930264903169035%</f>
        <v>1.3944399331312208E-4</v>
      </c>
      <c r="D1874" t="s">
        <v>256</v>
      </c>
      <c r="E1874" t="s">
        <v>280</v>
      </c>
      <c r="F1874" t="s">
        <v>386</v>
      </c>
      <c r="G1874" s="4" t="s">
        <v>245</v>
      </c>
    </row>
    <row r="1875" spans="1:7" x14ac:dyDescent="0.25">
      <c r="A1875" t="s">
        <v>386</v>
      </c>
      <c r="B1875" t="s">
        <v>106</v>
      </c>
      <c r="C1875" s="4">
        <f>(0.00247367761416449/(0.00247367761416449+0.832079466311379+0.0127000784696626))*0.105532215168578%</f>
        <v>3.081164772648479E-6</v>
      </c>
      <c r="D1875" t="s">
        <v>242</v>
      </c>
      <c r="E1875" t="s">
        <v>388</v>
      </c>
      <c r="F1875" t="s">
        <v>386</v>
      </c>
      <c r="G1875" s="4" t="s">
        <v>245</v>
      </c>
    </row>
    <row r="1876" spans="1:7" x14ac:dyDescent="0.25">
      <c r="A1876" t="s">
        <v>386</v>
      </c>
      <c r="B1876" t="s">
        <v>106</v>
      </c>
      <c r="C1876" s="4">
        <f>(0.832079466311379/(0.00247367761416449+0.832079466311379+0.0127000784696626)) * 0.105532215168578%</f>
        <v>1.0364220159338382E-3</v>
      </c>
      <c r="D1876" t="s">
        <v>242</v>
      </c>
      <c r="E1876" t="s">
        <v>315</v>
      </c>
      <c r="F1876" t="s">
        <v>386</v>
      </c>
      <c r="G1876" s="4" t="s">
        <v>245</v>
      </c>
    </row>
    <row r="1877" spans="1:7" x14ac:dyDescent="0.25">
      <c r="A1877" t="s">
        <v>386</v>
      </c>
      <c r="B1877" t="s">
        <v>106</v>
      </c>
      <c r="C1877" s="4">
        <f>(0.0127000784696626/(0.00247367761416449+0.832079466311379+0.0127000784696626)) * 0.105532215168578%</f>
        <v>1.5818970979293402E-5</v>
      </c>
      <c r="D1877" t="s">
        <v>256</v>
      </c>
      <c r="E1877" t="s">
        <v>280</v>
      </c>
      <c r="F1877" t="s">
        <v>386</v>
      </c>
      <c r="G1877" s="4" t="s">
        <v>245</v>
      </c>
    </row>
    <row r="1878" spans="1:7" x14ac:dyDescent="0.25">
      <c r="A1878" t="s">
        <v>386</v>
      </c>
      <c r="B1878" t="s">
        <v>146</v>
      </c>
      <c r="C1878" s="4">
        <v>6.1617062649961828E-2</v>
      </c>
      <c r="D1878" t="s">
        <v>310</v>
      </c>
      <c r="E1878" t="s">
        <v>387</v>
      </c>
      <c r="F1878" t="s">
        <v>386</v>
      </c>
      <c r="G1878" s="4" t="s">
        <v>245</v>
      </c>
    </row>
    <row r="1879" spans="1:7" x14ac:dyDescent="0.25">
      <c r="A1879" t="s">
        <v>386</v>
      </c>
      <c r="B1879" t="s">
        <v>151</v>
      </c>
      <c r="C1879" s="4">
        <f>(0.00247367761416449/(0.00247367761416449+0.832079466311379+0.0127000784696626))*1.25535430439348%</f>
        <v>3.6651874062447439E-5</v>
      </c>
      <c r="D1879" t="s">
        <v>242</v>
      </c>
      <c r="E1879" t="s">
        <v>388</v>
      </c>
      <c r="F1879" t="s">
        <v>386</v>
      </c>
      <c r="G1879" s="4" t="s">
        <v>245</v>
      </c>
    </row>
    <row r="1880" spans="1:7" x14ac:dyDescent="0.25">
      <c r="A1880" t="s">
        <v>386</v>
      </c>
      <c r="B1880" t="s">
        <v>151</v>
      </c>
      <c r="C1880" s="4">
        <f>(0.832079466311379/(0.00247367761416449+0.832079466311379+0.0127000784696626)) * 1.25535430439348%</f>
        <v>1.2328717224331558E-2</v>
      </c>
      <c r="D1880" t="s">
        <v>242</v>
      </c>
      <c r="E1880" t="s">
        <v>315</v>
      </c>
      <c r="F1880" t="s">
        <v>386</v>
      </c>
      <c r="G1880" s="4" t="s">
        <v>245</v>
      </c>
    </row>
    <row r="1881" spans="1:7" x14ac:dyDescent="0.25">
      <c r="A1881" t="s">
        <v>386</v>
      </c>
      <c r="B1881" t="s">
        <v>151</v>
      </c>
      <c r="C1881" s="4">
        <f>(0.0127000784696626/(0.00247367761416449+0.832079466311379+0.0127000784696626)) * 1.25535430439348%</f>
        <v>1.8817394554079557E-4</v>
      </c>
      <c r="D1881" t="s">
        <v>256</v>
      </c>
      <c r="E1881" t="s">
        <v>280</v>
      </c>
      <c r="F1881" t="s">
        <v>386</v>
      </c>
      <c r="G1881" s="4" t="s">
        <v>245</v>
      </c>
    </row>
    <row r="1882" spans="1:7" x14ac:dyDescent="0.25">
      <c r="A1882" t="s">
        <v>386</v>
      </c>
      <c r="B1882" t="s">
        <v>178</v>
      </c>
      <c r="C1882" s="4">
        <f>(0.00247367761416449/(0.00247367761416449+0.832079466311379+0.0127000784696626))*0.479309627690352%</f>
        <v>1.3994133807119158E-5</v>
      </c>
      <c r="D1882" t="s">
        <v>242</v>
      </c>
      <c r="E1882" t="s">
        <v>388</v>
      </c>
      <c r="F1882" t="s">
        <v>386</v>
      </c>
      <c r="G1882" s="4" t="s">
        <v>245</v>
      </c>
    </row>
    <row r="1883" spans="1:7" x14ac:dyDescent="0.25">
      <c r="A1883" t="s">
        <v>386</v>
      </c>
      <c r="B1883" t="s">
        <v>178</v>
      </c>
      <c r="C1883" s="4">
        <f>(0.832079466311379/(0.00247367761416449+0.832079466311379+0.0127000784696626)) * 0.479309627690352%</f>
        <v>4.7072550291282376E-3</v>
      </c>
      <c r="D1883" t="s">
        <v>242</v>
      </c>
      <c r="E1883" t="s">
        <v>315</v>
      </c>
      <c r="F1883" t="s">
        <v>386</v>
      </c>
      <c r="G1883" s="4" t="s">
        <v>245</v>
      </c>
    </row>
    <row r="1884" spans="1:7" x14ac:dyDescent="0.25">
      <c r="A1884" t="s">
        <v>386</v>
      </c>
      <c r="B1884" t="s">
        <v>178</v>
      </c>
      <c r="C1884" s="4">
        <f>(0.0127000784696626/(0.00247367761416449+0.832079466311379+0.0127000784696626)) * 0.479309627690352%</f>
        <v>7.1847113968163755E-5</v>
      </c>
      <c r="D1884" t="s">
        <v>256</v>
      </c>
      <c r="E1884" t="s">
        <v>280</v>
      </c>
      <c r="F1884" t="s">
        <v>386</v>
      </c>
      <c r="G1884" s="4" t="s">
        <v>245</v>
      </c>
    </row>
    <row r="1885" spans="1:7" x14ac:dyDescent="0.25">
      <c r="A1885" t="s">
        <v>386</v>
      </c>
      <c r="B1885" t="s">
        <v>120</v>
      </c>
      <c r="C1885" s="4">
        <f>(0.00247367761416449/(0.00247367761416449+0.832079466311379+0.0127000784696626))*0.0100531848445878%</f>
        <v>2.9351718758662432E-7</v>
      </c>
      <c r="D1885" t="s">
        <v>242</v>
      </c>
      <c r="E1885" t="s">
        <v>388</v>
      </c>
      <c r="F1885" t="s">
        <v>386</v>
      </c>
      <c r="G1885" s="4" t="s">
        <v>245</v>
      </c>
    </row>
    <row r="1886" spans="1:7" x14ac:dyDescent="0.25">
      <c r="A1886" t="s">
        <v>386</v>
      </c>
      <c r="B1886" t="s">
        <v>120</v>
      </c>
      <c r="C1886" s="4">
        <f>(0.832079466311379/(0.00247367761416449+0.832079466311379+0.0127000784696626)) * 0.0100531848445878%</f>
        <v>9.8731388197805363E-5</v>
      </c>
      <c r="D1886" t="s">
        <v>242</v>
      </c>
      <c r="E1886" t="s">
        <v>315</v>
      </c>
      <c r="F1886" t="s">
        <v>386</v>
      </c>
      <c r="G1886" s="4" t="s">
        <v>245</v>
      </c>
    </row>
    <row r="1887" spans="1:7" x14ac:dyDescent="0.25">
      <c r="A1887" t="s">
        <v>386</v>
      </c>
      <c r="B1887" t="s">
        <v>120</v>
      </c>
      <c r="C1887" s="4">
        <f>(0.0127000784696626/(0.00247367761416449+0.832079466311379+0.0127000784696626)) * 0.0100531848445878%</f>
        <v>1.5069430604860252E-6</v>
      </c>
      <c r="D1887" t="s">
        <v>256</v>
      </c>
      <c r="E1887" t="s">
        <v>280</v>
      </c>
      <c r="F1887" t="s">
        <v>386</v>
      </c>
      <c r="G1887" s="4" t="s">
        <v>245</v>
      </c>
    </row>
    <row r="1888" spans="1:7" x14ac:dyDescent="0.25">
      <c r="A1888" t="s">
        <v>386</v>
      </c>
      <c r="B1888" t="s">
        <v>107</v>
      </c>
      <c r="C1888" s="4">
        <f>(0.00247367761416449/(0.00247367761416449+0.832079466311379+0.0127000784696626))*4.45574636111862%</f>
        <v>1.3009192218513279E-4</v>
      </c>
      <c r="D1888" t="s">
        <v>242</v>
      </c>
      <c r="E1888" t="s">
        <v>388</v>
      </c>
      <c r="F1888" t="s">
        <v>386</v>
      </c>
      <c r="G1888" s="4" t="s">
        <v>245</v>
      </c>
    </row>
    <row r="1889" spans="1:7" x14ac:dyDescent="0.25">
      <c r="A1889" t="s">
        <v>386</v>
      </c>
      <c r="B1889" t="s">
        <v>107</v>
      </c>
      <c r="C1889" s="4">
        <f>(0.832079466311379/(0.00247367761416449+0.832079466311379+0.0127000784696626)) * 4.45574636111862%</f>
        <v>4.3759468316888255E-2</v>
      </c>
      <c r="D1889" t="s">
        <v>242</v>
      </c>
      <c r="E1889" t="s">
        <v>315</v>
      </c>
      <c r="F1889" t="s">
        <v>386</v>
      </c>
      <c r="G1889" s="4" t="s">
        <v>245</v>
      </c>
    </row>
    <row r="1890" spans="1:7" x14ac:dyDescent="0.25">
      <c r="A1890" t="s">
        <v>386</v>
      </c>
      <c r="B1890" t="s">
        <v>107</v>
      </c>
      <c r="C1890" s="4">
        <f>(0.0127000784696626/(0.00247367761416449+0.832079466311379+0.0127000784696626)) * 4.45574636111862%</f>
        <v>6.6790337211280755E-4</v>
      </c>
      <c r="D1890" t="s">
        <v>256</v>
      </c>
      <c r="E1890" t="s">
        <v>280</v>
      </c>
      <c r="F1890" t="s">
        <v>386</v>
      </c>
      <c r="G1890" s="4" t="s">
        <v>245</v>
      </c>
    </row>
    <row r="1891" spans="1:7" x14ac:dyDescent="0.25">
      <c r="A1891" t="s">
        <v>386</v>
      </c>
      <c r="B1891" t="s">
        <v>179</v>
      </c>
      <c r="C1891" s="4">
        <f>(0.00247367761416449/(0.00247367761416449+0.832079466311379+0.0127000784696626))*0.0986086304756092%</f>
        <v>2.8790207617192408E-6</v>
      </c>
      <c r="D1891" t="s">
        <v>242</v>
      </c>
      <c r="E1891" t="s">
        <v>388</v>
      </c>
      <c r="F1891" t="s">
        <v>386</v>
      </c>
      <c r="G1891" s="4" t="s">
        <v>245</v>
      </c>
    </row>
    <row r="1892" spans="1:7" x14ac:dyDescent="0.25">
      <c r="A1892" t="s">
        <v>386</v>
      </c>
      <c r="B1892" t="s">
        <v>179</v>
      </c>
      <c r="C1892" s="4">
        <f>(0.832079466311379/(0.00247367761416449+0.832079466311379+0.0127000784696626)) * 0.0986086304756092%</f>
        <v>9.6842613814890962E-4</v>
      </c>
      <c r="D1892" t="s">
        <v>242</v>
      </c>
      <c r="E1892" t="s">
        <v>315</v>
      </c>
      <c r="F1892" t="s">
        <v>386</v>
      </c>
      <c r="G1892" s="4" t="s">
        <v>245</v>
      </c>
    </row>
    <row r="1893" spans="1:7" x14ac:dyDescent="0.25">
      <c r="A1893" t="s">
        <v>386</v>
      </c>
      <c r="B1893" t="s">
        <v>179</v>
      </c>
      <c r="C1893" s="4">
        <f>(0.0127000784696626/(0.00247367761416449+0.832079466311379+0.0127000784696626)) * 0.0986086304756092%</f>
        <v>1.4781145845462948E-5</v>
      </c>
      <c r="D1893" t="s">
        <v>256</v>
      </c>
      <c r="E1893" t="s">
        <v>280</v>
      </c>
      <c r="F1893" t="s">
        <v>386</v>
      </c>
      <c r="G1893" s="4" t="s">
        <v>245</v>
      </c>
    </row>
    <row r="1894" spans="1:7" x14ac:dyDescent="0.25">
      <c r="A1894" t="s">
        <v>386</v>
      </c>
      <c r="B1894" t="s">
        <v>135</v>
      </c>
      <c r="C1894" s="4">
        <f>(0.00247367761416449/(0.00247367761416449+0.832079466311379+0.0127000784696626))*0.00251329621114695%</f>
        <v>7.3379296896656081E-8</v>
      </c>
      <c r="D1894" t="s">
        <v>242</v>
      </c>
      <c r="E1894" t="s">
        <v>388</v>
      </c>
      <c r="F1894" t="s">
        <v>386</v>
      </c>
      <c r="G1894" s="4" t="s">
        <v>245</v>
      </c>
    </row>
    <row r="1895" spans="1:7" x14ac:dyDescent="0.25">
      <c r="A1895" t="s">
        <v>386</v>
      </c>
      <c r="B1895" t="s">
        <v>135</v>
      </c>
      <c r="C1895" s="4">
        <f>(0.832079466311379/(0.00247367761416449+0.832079466311379+0.0127000784696626)) * 0.00251329621114695%</f>
        <v>2.4682847049451341E-5</v>
      </c>
      <c r="D1895" t="s">
        <v>242</v>
      </c>
      <c r="E1895" t="s">
        <v>315</v>
      </c>
      <c r="F1895" t="s">
        <v>386</v>
      </c>
      <c r="G1895" s="4" t="s">
        <v>245</v>
      </c>
    </row>
    <row r="1896" spans="1:7" x14ac:dyDescent="0.25">
      <c r="A1896" t="s">
        <v>386</v>
      </c>
      <c r="B1896" t="s">
        <v>135</v>
      </c>
      <c r="C1896" s="4">
        <f>(0.0127000784696626/(0.00247367761416449+0.832079466311379+0.0127000784696626)) * 0.00251329621114695%</f>
        <v>3.7673576512150631E-7</v>
      </c>
      <c r="D1896" t="s">
        <v>256</v>
      </c>
      <c r="E1896" t="s">
        <v>280</v>
      </c>
      <c r="F1896" t="s">
        <v>386</v>
      </c>
      <c r="G1896" s="4" t="s">
        <v>245</v>
      </c>
    </row>
    <row r="1897" spans="1:7" x14ac:dyDescent="0.25">
      <c r="A1897" t="s">
        <v>386</v>
      </c>
      <c r="B1897" t="s">
        <v>137</v>
      </c>
      <c r="C1897" s="4">
        <f>(0.00247367761416449/(0.00247367761416449+0.832079466311379+0.0127000784696626))*0.810706309667291%</f>
        <v>2.3669736471659478E-5</v>
      </c>
      <c r="D1897" t="s">
        <v>242</v>
      </c>
      <c r="E1897" t="s">
        <v>388</v>
      </c>
      <c r="F1897" t="s">
        <v>386</v>
      </c>
      <c r="G1897" s="4" t="s">
        <v>245</v>
      </c>
    </row>
    <row r="1898" spans="1:7" x14ac:dyDescent="0.25">
      <c r="A1898" t="s">
        <v>386</v>
      </c>
      <c r="B1898" t="s">
        <v>137</v>
      </c>
      <c r="C1898" s="4">
        <f>(0.832079466311379/(0.00247367761416449+0.832079466311379+0.0127000784696626)) * 0.810706309667291%</f>
        <v>7.9618708510331183E-3</v>
      </c>
      <c r="D1898" t="s">
        <v>242</v>
      </c>
      <c r="E1898" t="s">
        <v>315</v>
      </c>
      <c r="F1898" t="s">
        <v>386</v>
      </c>
      <c r="G1898" s="4" t="s">
        <v>245</v>
      </c>
    </row>
    <row r="1899" spans="1:7" x14ac:dyDescent="0.25">
      <c r="A1899" t="s">
        <v>386</v>
      </c>
      <c r="B1899" t="s">
        <v>137</v>
      </c>
      <c r="C1899" s="4">
        <f>(0.0127000784696626/(0.00247367761416449+0.832079466311379+0.0127000784696626)) * 0.810706309667291%</f>
        <v>1.2152250916813321E-4</v>
      </c>
      <c r="D1899" t="s">
        <v>256</v>
      </c>
      <c r="E1899" t="s">
        <v>280</v>
      </c>
      <c r="F1899" t="s">
        <v>386</v>
      </c>
      <c r="G1899" s="4" t="s">
        <v>245</v>
      </c>
    </row>
    <row r="1900" spans="1:7" x14ac:dyDescent="0.25">
      <c r="A1900" t="s">
        <v>386</v>
      </c>
      <c r="B1900" t="s">
        <v>121</v>
      </c>
      <c r="C1900" s="4">
        <f>(0.00247367761416449/(0.00247367761416449+0.832079466311379+0.0127000784696626))*0.205198615527835%</f>
        <v>5.99106864714857E-6</v>
      </c>
      <c r="D1900" t="s">
        <v>242</v>
      </c>
      <c r="E1900" t="s">
        <v>388</v>
      </c>
      <c r="F1900" t="s">
        <v>386</v>
      </c>
      <c r="G1900" s="4" t="s">
        <v>245</v>
      </c>
    </row>
    <row r="1901" spans="1:7" x14ac:dyDescent="0.25">
      <c r="A1901" t="s">
        <v>386</v>
      </c>
      <c r="B1901" t="s">
        <v>121</v>
      </c>
      <c r="C1901" s="4">
        <f>(0.832079466311379/(0.00247367761416449+0.832079466311379+0.0127000784696626)) * 0.205198615527835%</f>
        <v>2.0152364131887767E-3</v>
      </c>
      <c r="D1901" t="s">
        <v>242</v>
      </c>
      <c r="E1901" t="s">
        <v>315</v>
      </c>
      <c r="F1901" t="s">
        <v>386</v>
      </c>
      <c r="G1901" s="4" t="s">
        <v>245</v>
      </c>
    </row>
    <row r="1902" spans="1:7" x14ac:dyDescent="0.25">
      <c r="A1902" t="s">
        <v>386</v>
      </c>
      <c r="B1902" t="s">
        <v>121</v>
      </c>
      <c r="C1902" s="4">
        <f>(0.0127000784696626/(0.00247367761416449+0.832079466311379+0.0127000784696626)) * 0.205198615527835%</f>
        <v>3.0758673442424865E-5</v>
      </c>
      <c r="D1902" t="s">
        <v>256</v>
      </c>
      <c r="E1902" t="s">
        <v>280</v>
      </c>
      <c r="F1902" t="s">
        <v>386</v>
      </c>
      <c r="G1902" s="4" t="s">
        <v>245</v>
      </c>
    </row>
    <row r="1903" spans="1:7" x14ac:dyDescent="0.25">
      <c r="A1903" t="s">
        <v>386</v>
      </c>
      <c r="B1903" t="s">
        <v>138</v>
      </c>
      <c r="C1903" s="4">
        <f>(0.00247367761416449/(0.00247367761416449+0.832079466311379+0.0127000784696626))*1.46559699614334%</f>
        <v>4.2790211768063428E-5</v>
      </c>
      <c r="D1903" t="s">
        <v>242</v>
      </c>
      <c r="E1903" t="s">
        <v>388</v>
      </c>
      <c r="F1903" t="s">
        <v>386</v>
      </c>
      <c r="G1903" s="4" t="s">
        <v>245</v>
      </c>
    </row>
    <row r="1904" spans="1:7" x14ac:dyDescent="0.25">
      <c r="A1904" t="s">
        <v>386</v>
      </c>
      <c r="B1904" t="s">
        <v>138</v>
      </c>
      <c r="C1904" s="4">
        <f>(0.832079466311379/(0.00247367761416449+0.832079466311379+0.0127000784696626)) * 1.46559699614334%</f>
        <v>1.4393491038381332E-2</v>
      </c>
      <c r="D1904" t="s">
        <v>242</v>
      </c>
      <c r="E1904" t="s">
        <v>315</v>
      </c>
      <c r="F1904" t="s">
        <v>386</v>
      </c>
      <c r="G1904" s="4" t="s">
        <v>245</v>
      </c>
    </row>
    <row r="1905" spans="1:7" x14ac:dyDescent="0.25">
      <c r="A1905" t="s">
        <v>386</v>
      </c>
      <c r="B1905" t="s">
        <v>138</v>
      </c>
      <c r="C1905" s="4">
        <f>(0.0127000784696626/(0.00247367761416449+0.832079466311379+0.0127000784696626)) * 1.46559699614334%</f>
        <v>2.1968871128400362E-4</v>
      </c>
      <c r="D1905" t="s">
        <v>256</v>
      </c>
      <c r="E1905" t="s">
        <v>280</v>
      </c>
      <c r="F1905" t="s">
        <v>386</v>
      </c>
      <c r="G1905" s="4" t="s">
        <v>245</v>
      </c>
    </row>
    <row r="1906" spans="1:7" x14ac:dyDescent="0.25">
      <c r="A1906" t="s">
        <v>386</v>
      </c>
      <c r="B1906" t="s">
        <v>139</v>
      </c>
      <c r="C1906" s="4">
        <f>(0.00247367761416449/(0.00247367761416449+0.832079466311379+0.0127000784696626))*1.04157988509822%</f>
        <v>3.0410422492670676E-5</v>
      </c>
      <c r="D1906" t="s">
        <v>242</v>
      </c>
      <c r="E1906" t="s">
        <v>388</v>
      </c>
      <c r="F1906" t="s">
        <v>386</v>
      </c>
      <c r="G1906" s="4" t="s">
        <v>245</v>
      </c>
    </row>
    <row r="1907" spans="1:7" x14ac:dyDescent="0.25">
      <c r="A1907" t="s">
        <v>386</v>
      </c>
      <c r="B1907" t="s">
        <v>139</v>
      </c>
      <c r="C1907" s="4">
        <f>(0.832079466311379/(0.00247367761416449+0.832079466311379+0.0127000784696626)) * 1.04157988509822%</f>
        <v>1.0229258644341016E-2</v>
      </c>
      <c r="D1907" t="s">
        <v>242</v>
      </c>
      <c r="E1907" t="s">
        <v>315</v>
      </c>
      <c r="F1907" t="s">
        <v>386</v>
      </c>
      <c r="G1907" s="4" t="s">
        <v>245</v>
      </c>
    </row>
    <row r="1908" spans="1:7" x14ac:dyDescent="0.25">
      <c r="A1908" t="s">
        <v>386</v>
      </c>
      <c r="B1908" t="s">
        <v>139</v>
      </c>
      <c r="C1908" s="4">
        <f>(0.0127000784696626/(0.00247367761416449+0.832079466311379+0.0127000784696626)) * 1.04157988509822%</f>
        <v>1.5612978414851285E-4</v>
      </c>
      <c r="D1908" t="s">
        <v>256</v>
      </c>
      <c r="E1908" t="s">
        <v>280</v>
      </c>
      <c r="F1908" t="s">
        <v>386</v>
      </c>
      <c r="G1908" s="4" t="s">
        <v>245</v>
      </c>
    </row>
    <row r="1909" spans="1:7" x14ac:dyDescent="0.25">
      <c r="A1909" t="s">
        <v>386</v>
      </c>
      <c r="B1909" t="s">
        <v>112</v>
      </c>
      <c r="C1909" s="4">
        <f>(0.00247367761416449/(0.00247367761416449+0.832079466311379+0.0127000784696626))*1.73832678812721%</f>
        <v>5.075295021878301E-5</v>
      </c>
      <c r="D1909" t="s">
        <v>242</v>
      </c>
      <c r="E1909" t="s">
        <v>388</v>
      </c>
      <c r="F1909" t="s">
        <v>386</v>
      </c>
      <c r="G1909" s="4" t="s">
        <v>245</v>
      </c>
    </row>
    <row r="1910" spans="1:7" x14ac:dyDescent="0.25">
      <c r="A1910" t="s">
        <v>386</v>
      </c>
      <c r="B1910" t="s">
        <v>112</v>
      </c>
      <c r="C1910" s="4">
        <f>(0.832079466311379/(0.00247367761416449+0.832079466311379+0.0127000784696626)) * 1.73832678812721%</f>
        <v>1.7071944820116234E-2</v>
      </c>
      <c r="D1910" t="s">
        <v>242</v>
      </c>
      <c r="E1910" t="s">
        <v>315</v>
      </c>
      <c r="F1910" t="s">
        <v>386</v>
      </c>
      <c r="G1910" s="4" t="s">
        <v>245</v>
      </c>
    </row>
    <row r="1911" spans="1:7" x14ac:dyDescent="0.25">
      <c r="A1911" t="s">
        <v>386</v>
      </c>
      <c r="B1911" t="s">
        <v>112</v>
      </c>
      <c r="C1911" s="4">
        <f>(0.0127000784696626/(0.00247367761416449+0.832079466311379+0.0127000784696626)) * 1.73832678812721%</f>
        <v>2.6057011093708456E-4</v>
      </c>
      <c r="D1911" t="s">
        <v>256</v>
      </c>
      <c r="E1911" t="s">
        <v>280</v>
      </c>
      <c r="F1911" t="s">
        <v>386</v>
      </c>
      <c r="G1911" s="4" t="s">
        <v>245</v>
      </c>
    </row>
    <row r="1912" spans="1:7" x14ac:dyDescent="0.25">
      <c r="A1912" t="s">
        <v>386</v>
      </c>
      <c r="B1912" t="s">
        <v>113</v>
      </c>
      <c r="C1912" s="4">
        <f>(0.00247367761416449/(0.00247367761416449+0.832079466311379+0.0127000784696626))*6.32476455222546%</f>
        <v>1.846605958425416E-4</v>
      </c>
      <c r="D1912" t="s">
        <v>242</v>
      </c>
      <c r="E1912" t="s">
        <v>388</v>
      </c>
      <c r="F1912" t="s">
        <v>386</v>
      </c>
      <c r="G1912" s="4" t="s">
        <v>245</v>
      </c>
    </row>
    <row r="1913" spans="1:7" x14ac:dyDescent="0.25">
      <c r="A1913" t="s">
        <v>386</v>
      </c>
      <c r="B1913" t="s">
        <v>113</v>
      </c>
      <c r="C1913" s="4">
        <f>(0.832079466311379/(0.00247367761416449+0.832079466311379+0.0127000784696626)) * 6.32476455222546%</f>
        <v>6.2114921183575852E-2</v>
      </c>
      <c r="D1913" t="s">
        <v>242</v>
      </c>
      <c r="E1913" t="s">
        <v>315</v>
      </c>
      <c r="F1913" t="s">
        <v>386</v>
      </c>
      <c r="G1913" s="4" t="s">
        <v>245</v>
      </c>
    </row>
    <row r="1914" spans="1:7" x14ac:dyDescent="0.25">
      <c r="A1914" t="s">
        <v>386</v>
      </c>
      <c r="B1914" t="s">
        <v>113</v>
      </c>
      <c r="C1914" s="4">
        <f>(0.0127000784696626/(0.00247367761416449+0.832079466311379+0.0127000784696626)) * 6.32476455222546%</f>
        <v>9.4806374283620885E-4</v>
      </c>
      <c r="D1914" t="s">
        <v>256</v>
      </c>
      <c r="E1914" t="s">
        <v>280</v>
      </c>
      <c r="F1914" t="s">
        <v>386</v>
      </c>
      <c r="G1914" s="4" t="s">
        <v>245</v>
      </c>
    </row>
    <row r="1915" spans="1:7" x14ac:dyDescent="0.25">
      <c r="A1915" t="s">
        <v>386</v>
      </c>
      <c r="B1915" t="s">
        <v>140</v>
      </c>
      <c r="C1915" s="4">
        <f>(0.00247367761416449/(0.00247367761416449+0.832079466311379+0.0127000784696626))*0.00240402246283622%</f>
        <v>7.0188892683758174E-8</v>
      </c>
      <c r="D1915" t="s">
        <v>242</v>
      </c>
      <c r="E1915" t="s">
        <v>388</v>
      </c>
      <c r="F1915" t="s">
        <v>386</v>
      </c>
      <c r="G1915" s="4" t="s">
        <v>245</v>
      </c>
    </row>
    <row r="1916" spans="1:7" x14ac:dyDescent="0.25">
      <c r="A1916" t="s">
        <v>386</v>
      </c>
      <c r="B1916" t="s">
        <v>140</v>
      </c>
      <c r="C1916" s="4">
        <f>(0.832079466311379/(0.00247367761416449+0.832079466311379+0.0127000784696626)) * 0.00240402246283622%</f>
        <v>2.3609679786431783E-5</v>
      </c>
      <c r="D1916" t="s">
        <v>242</v>
      </c>
      <c r="E1916" t="s">
        <v>315</v>
      </c>
      <c r="F1916" t="s">
        <v>386</v>
      </c>
      <c r="G1916" s="4" t="s">
        <v>245</v>
      </c>
    </row>
    <row r="1917" spans="1:7" x14ac:dyDescent="0.25">
      <c r="A1917" t="s">
        <v>386</v>
      </c>
      <c r="B1917" t="s">
        <v>140</v>
      </c>
      <c r="C1917" s="4">
        <f>(0.0127000784696626/(0.00247367761416449+0.832079466311379+0.0127000784696626)) * 0.00240402246283622%</f>
        <v>3.6035594924665922E-7</v>
      </c>
      <c r="D1917" t="s">
        <v>256</v>
      </c>
      <c r="E1917" t="s">
        <v>280</v>
      </c>
      <c r="F1917" t="s">
        <v>386</v>
      </c>
      <c r="G1917" s="4" t="s">
        <v>245</v>
      </c>
    </row>
    <row r="1918" spans="1:7" x14ac:dyDescent="0.25">
      <c r="A1918" t="s">
        <v>386</v>
      </c>
      <c r="B1918" t="s">
        <v>180</v>
      </c>
      <c r="C1918" s="4">
        <f>(0.00247367761416449/(0.00247367761416449+0.832079466311379+0.0127000784696626))*0.50397052720912%</f>
        <v>1.4714144229886023E-5</v>
      </c>
      <c r="D1918" t="s">
        <v>242</v>
      </c>
      <c r="E1918" t="s">
        <v>388</v>
      </c>
      <c r="F1918" t="s">
        <v>386</v>
      </c>
      <c r="G1918" s="4" t="s">
        <v>245</v>
      </c>
    </row>
    <row r="1919" spans="1:7" x14ac:dyDescent="0.25">
      <c r="A1919" t="s">
        <v>386</v>
      </c>
      <c r="B1919" t="s">
        <v>180</v>
      </c>
      <c r="C1919" s="4">
        <f>(0.832079466311379/(0.00247367761416449+0.832079466311379+0.0127000784696626)) * 0.50397052720912%</f>
        <v>4.9494474170465137E-3</v>
      </c>
      <c r="D1919" t="s">
        <v>242</v>
      </c>
      <c r="E1919" t="s">
        <v>315</v>
      </c>
      <c r="F1919" t="s">
        <v>386</v>
      </c>
      <c r="G1919" s="4" t="s">
        <v>245</v>
      </c>
    </row>
    <row r="1920" spans="1:7" x14ac:dyDescent="0.25">
      <c r="A1920" t="s">
        <v>386</v>
      </c>
      <c r="B1920" t="s">
        <v>180</v>
      </c>
      <c r="C1920" s="4">
        <f>(0.0127000784696626/(0.00247367761416449+0.832079466311379+0.0127000784696626)) * 0.50397052720912%</f>
        <v>7.5543710814799604E-5</v>
      </c>
      <c r="D1920" t="s">
        <v>256</v>
      </c>
      <c r="E1920" t="s">
        <v>280</v>
      </c>
      <c r="F1920" t="s">
        <v>386</v>
      </c>
      <c r="G1920" s="4" t="s">
        <v>245</v>
      </c>
    </row>
    <row r="1921" spans="1:8" x14ac:dyDescent="0.25">
      <c r="A1921" t="s">
        <v>386</v>
      </c>
      <c r="B1921" t="s">
        <v>115</v>
      </c>
      <c r="C1921" s="4">
        <f>(0.00247367761416449/(0.00247367761416449+0.832079466311379+0.0127000784696626))*0.228600681466062%</f>
        <v>6.6743256133828126E-6</v>
      </c>
      <c r="D1921" t="s">
        <v>242</v>
      </c>
      <c r="E1921" t="s">
        <v>388</v>
      </c>
      <c r="F1921" t="s">
        <v>386</v>
      </c>
      <c r="G1921" s="4" t="s">
        <v>245</v>
      </c>
    </row>
    <row r="1922" spans="1:8" x14ac:dyDescent="0.25">
      <c r="A1922" t="s">
        <v>386</v>
      </c>
      <c r="B1922" t="s">
        <v>115</v>
      </c>
      <c r="C1922" s="4">
        <f>(0.832079466311379/(0.00247367761416449+0.832079466311379+0.0127000784696626)) * 0.228600681466062%</f>
        <v>2.2450659142370546E-3</v>
      </c>
      <c r="D1922" t="s">
        <v>242</v>
      </c>
      <c r="E1922" t="s">
        <v>315</v>
      </c>
      <c r="F1922" t="s">
        <v>386</v>
      </c>
      <c r="G1922" s="4" t="s">
        <v>245</v>
      </c>
    </row>
    <row r="1923" spans="1:8" x14ac:dyDescent="0.25">
      <c r="A1923" t="s">
        <v>386</v>
      </c>
      <c r="B1923" t="s">
        <v>115</v>
      </c>
      <c r="C1923" s="4">
        <f>(0.0127000784696626/(0.00247367761416449+0.832079466311379+0.0127000784696626)) * 0.228600681466062%</f>
        <v>3.4266574810182268E-5</v>
      </c>
      <c r="D1923" t="s">
        <v>256</v>
      </c>
      <c r="E1923" t="s">
        <v>280</v>
      </c>
      <c r="F1923" t="s">
        <v>386</v>
      </c>
      <c r="G1923" s="4" t="s">
        <v>245</v>
      </c>
    </row>
    <row r="1924" spans="1:8" x14ac:dyDescent="0.25">
      <c r="A1924" t="s">
        <v>390</v>
      </c>
      <c r="B1924" t="s">
        <v>183</v>
      </c>
      <c r="C1924" s="4">
        <v>6.9943899746610736E-4</v>
      </c>
      <c r="D1924" t="s">
        <v>242</v>
      </c>
      <c r="E1924" t="s">
        <v>389</v>
      </c>
      <c r="F1924" t="s">
        <v>390</v>
      </c>
      <c r="G1924" t="s">
        <v>245</v>
      </c>
      <c r="H1924" t="s">
        <v>391</v>
      </c>
    </row>
    <row r="1925" spans="1:8" x14ac:dyDescent="0.25">
      <c r="A1925" t="s">
        <v>390</v>
      </c>
      <c r="B1925" t="s">
        <v>124</v>
      </c>
      <c r="C1925" s="4">
        <v>2.4210127116838218E-3</v>
      </c>
      <c r="D1925" t="s">
        <v>242</v>
      </c>
      <c r="E1925" t="s">
        <v>389</v>
      </c>
      <c r="F1925" t="s">
        <v>390</v>
      </c>
      <c r="G1925" t="s">
        <v>245</v>
      </c>
      <c r="H1925" t="s">
        <v>614</v>
      </c>
    </row>
    <row r="1926" spans="1:8" x14ac:dyDescent="0.25">
      <c r="A1926" t="s">
        <v>390</v>
      </c>
      <c r="B1926" t="s">
        <v>83</v>
      </c>
      <c r="C1926" s="4">
        <v>1.351500540658397E-2</v>
      </c>
      <c r="D1926" t="s">
        <v>242</v>
      </c>
      <c r="E1926" t="s">
        <v>389</v>
      </c>
      <c r="F1926" t="s">
        <v>390</v>
      </c>
      <c r="G1926" t="s">
        <v>245</v>
      </c>
    </row>
    <row r="1927" spans="1:8" x14ac:dyDescent="0.25">
      <c r="A1927" t="s">
        <v>390</v>
      </c>
      <c r="B1927" t="s">
        <v>181</v>
      </c>
      <c r="C1927" s="4">
        <v>2.1301096741013271E-3</v>
      </c>
      <c r="D1927" t="s">
        <v>242</v>
      </c>
      <c r="E1927" t="s">
        <v>389</v>
      </c>
      <c r="F1927" t="s">
        <v>390</v>
      </c>
      <c r="G1927" t="s">
        <v>245</v>
      </c>
    </row>
    <row r="1928" spans="1:8" x14ac:dyDescent="0.25">
      <c r="A1928" t="s">
        <v>390</v>
      </c>
      <c r="B1928" t="s">
        <v>163</v>
      </c>
      <c r="C1928" s="4">
        <v>1.103075705099287E-2</v>
      </c>
      <c r="D1928" t="s">
        <v>242</v>
      </c>
      <c r="E1928" t="s">
        <v>389</v>
      </c>
      <c r="F1928" t="s">
        <v>390</v>
      </c>
      <c r="G1928" t="s">
        <v>245</v>
      </c>
    </row>
    <row r="1929" spans="1:8" x14ac:dyDescent="0.25">
      <c r="A1929" t="s">
        <v>390</v>
      </c>
      <c r="B1929" t="s">
        <v>144</v>
      </c>
      <c r="C1929" s="4">
        <v>1.4147743357837171E-4</v>
      </c>
      <c r="D1929" t="s">
        <v>242</v>
      </c>
      <c r="E1929" t="s">
        <v>389</v>
      </c>
      <c r="F1929" t="s">
        <v>390</v>
      </c>
      <c r="G1929" t="s">
        <v>245</v>
      </c>
    </row>
    <row r="1930" spans="1:8" x14ac:dyDescent="0.25">
      <c r="A1930" t="s">
        <v>390</v>
      </c>
      <c r="B1930" t="s">
        <v>84</v>
      </c>
      <c r="C1930" s="4">
        <v>4.1330486213906352E-7</v>
      </c>
      <c r="D1930" t="s">
        <v>242</v>
      </c>
      <c r="E1930" t="s">
        <v>389</v>
      </c>
      <c r="F1930" t="s">
        <v>390</v>
      </c>
      <c r="G1930" t="s">
        <v>245</v>
      </c>
    </row>
    <row r="1931" spans="1:8" x14ac:dyDescent="0.25">
      <c r="A1931" t="s">
        <v>390</v>
      </c>
      <c r="B1931" t="s">
        <v>85</v>
      </c>
      <c r="C1931" s="4">
        <v>2.018116773534322E-2</v>
      </c>
      <c r="D1931" t="s">
        <v>242</v>
      </c>
      <c r="E1931" t="s">
        <v>389</v>
      </c>
      <c r="F1931" t="s">
        <v>390</v>
      </c>
      <c r="G1931" t="s">
        <v>245</v>
      </c>
    </row>
    <row r="1932" spans="1:8" x14ac:dyDescent="0.25">
      <c r="A1932" t="s">
        <v>390</v>
      </c>
      <c r="B1932" t="s">
        <v>147</v>
      </c>
      <c r="C1932" s="4">
        <v>8.106911285494324E-3</v>
      </c>
      <c r="D1932" t="s">
        <v>242</v>
      </c>
      <c r="E1932" t="s">
        <v>389</v>
      </c>
      <c r="F1932" t="s">
        <v>390</v>
      </c>
      <c r="G1932" t="s">
        <v>245</v>
      </c>
    </row>
    <row r="1933" spans="1:8" x14ac:dyDescent="0.25">
      <c r="A1933" t="s">
        <v>390</v>
      </c>
      <c r="B1933" t="s">
        <v>116</v>
      </c>
      <c r="C1933" s="4">
        <v>1.8798758349533162E-2</v>
      </c>
      <c r="D1933" t="s">
        <v>242</v>
      </c>
      <c r="E1933" t="s">
        <v>389</v>
      </c>
      <c r="F1933" t="s">
        <v>390</v>
      </c>
      <c r="G1933" t="s">
        <v>245</v>
      </c>
    </row>
    <row r="1934" spans="1:8" x14ac:dyDescent="0.25">
      <c r="A1934" t="s">
        <v>390</v>
      </c>
      <c r="B1934" t="s">
        <v>145</v>
      </c>
      <c r="C1934" s="4">
        <v>1.065054837050664E-3</v>
      </c>
      <c r="D1934" t="s">
        <v>242</v>
      </c>
      <c r="E1934" t="s">
        <v>389</v>
      </c>
      <c r="F1934" t="s">
        <v>390</v>
      </c>
      <c r="G1934" t="s">
        <v>245</v>
      </c>
    </row>
    <row r="1935" spans="1:8" x14ac:dyDescent="0.25">
      <c r="A1935" t="s">
        <v>390</v>
      </c>
      <c r="B1935" t="s">
        <v>86</v>
      </c>
      <c r="C1935" s="4">
        <v>0.45620460332914842</v>
      </c>
      <c r="D1935" t="s">
        <v>242</v>
      </c>
      <c r="E1935" t="s">
        <v>389</v>
      </c>
      <c r="F1935" t="s">
        <v>390</v>
      </c>
      <c r="G1935" t="s">
        <v>245</v>
      </c>
    </row>
    <row r="1936" spans="1:8" x14ac:dyDescent="0.25">
      <c r="A1936" t="s">
        <v>390</v>
      </c>
      <c r="B1936" t="s">
        <v>87</v>
      </c>
      <c r="C1936" s="4">
        <v>3.3859206013700199E-3</v>
      </c>
      <c r="D1936" t="s">
        <v>242</v>
      </c>
      <c r="E1936" t="s">
        <v>389</v>
      </c>
      <c r="F1936" t="s">
        <v>390</v>
      </c>
      <c r="G1936" t="s">
        <v>245</v>
      </c>
    </row>
    <row r="1937" spans="1:7" x14ac:dyDescent="0.25">
      <c r="A1937" t="s">
        <v>390</v>
      </c>
      <c r="B1937" t="s">
        <v>190</v>
      </c>
      <c r="C1937" s="4">
        <v>7.5348655636121571E-4</v>
      </c>
      <c r="D1937" t="s">
        <v>242</v>
      </c>
      <c r="E1937" t="s">
        <v>389</v>
      </c>
      <c r="F1937" t="s">
        <v>390</v>
      </c>
      <c r="G1937" t="s">
        <v>245</v>
      </c>
    </row>
    <row r="1938" spans="1:7" x14ac:dyDescent="0.25">
      <c r="A1938" t="s">
        <v>390</v>
      </c>
      <c r="B1938" t="s">
        <v>88</v>
      </c>
      <c r="C1938" s="4">
        <v>3.8946035086180982E-4</v>
      </c>
      <c r="D1938" t="s">
        <v>242</v>
      </c>
      <c r="E1938" t="s">
        <v>389</v>
      </c>
      <c r="F1938" t="s">
        <v>390</v>
      </c>
      <c r="G1938" t="s">
        <v>245</v>
      </c>
    </row>
    <row r="1939" spans="1:7" x14ac:dyDescent="0.25">
      <c r="A1939" t="s">
        <v>390</v>
      </c>
      <c r="B1939" t="s">
        <v>160</v>
      </c>
      <c r="C1939" s="4">
        <v>3.97408521287561E-4</v>
      </c>
      <c r="D1939" t="s">
        <v>242</v>
      </c>
      <c r="E1939" t="s">
        <v>389</v>
      </c>
      <c r="F1939" t="s">
        <v>390</v>
      </c>
      <c r="G1939" t="s">
        <v>245</v>
      </c>
    </row>
    <row r="1940" spans="1:7" x14ac:dyDescent="0.25">
      <c r="A1940" t="s">
        <v>390</v>
      </c>
      <c r="B1940" t="s">
        <v>217</v>
      </c>
      <c r="C1940" s="4">
        <v>3.3859206013700199E-3</v>
      </c>
      <c r="D1940" t="s">
        <v>242</v>
      </c>
      <c r="E1940" t="s">
        <v>389</v>
      </c>
      <c r="F1940" t="s">
        <v>390</v>
      </c>
      <c r="G1940" t="s">
        <v>245</v>
      </c>
    </row>
    <row r="1941" spans="1:7" x14ac:dyDescent="0.25">
      <c r="A1941" t="s">
        <v>390</v>
      </c>
      <c r="B1941" t="s">
        <v>89</v>
      </c>
      <c r="C1941" s="4">
        <v>5.2457924809958055E-4</v>
      </c>
      <c r="D1941" t="s">
        <v>242</v>
      </c>
      <c r="E1941" t="s">
        <v>389</v>
      </c>
      <c r="F1941" t="s">
        <v>390</v>
      </c>
      <c r="G1941" t="s">
        <v>245</v>
      </c>
    </row>
    <row r="1942" spans="1:7" x14ac:dyDescent="0.25">
      <c r="A1942" t="s">
        <v>390</v>
      </c>
      <c r="B1942" t="s">
        <v>128</v>
      </c>
      <c r="C1942" s="4">
        <v>2.0983169923983222E-3</v>
      </c>
      <c r="D1942" t="s">
        <v>242</v>
      </c>
      <c r="E1942" t="s">
        <v>389</v>
      </c>
      <c r="F1942" t="s">
        <v>390</v>
      </c>
      <c r="G1942" t="s">
        <v>245</v>
      </c>
    </row>
    <row r="1943" spans="1:7" x14ac:dyDescent="0.25">
      <c r="A1943" t="s">
        <v>390</v>
      </c>
      <c r="B1943" t="s">
        <v>231</v>
      </c>
      <c r="C1943" s="4">
        <v>7.1771978944533518E-4</v>
      </c>
      <c r="D1943" t="s">
        <v>242</v>
      </c>
      <c r="E1943" t="s">
        <v>389</v>
      </c>
      <c r="F1943" t="s">
        <v>390</v>
      </c>
      <c r="G1943" t="s">
        <v>245</v>
      </c>
    </row>
    <row r="1944" spans="1:7" x14ac:dyDescent="0.25">
      <c r="A1944" t="s">
        <v>390</v>
      </c>
      <c r="B1944" t="s">
        <v>91</v>
      </c>
      <c r="C1944" s="4">
        <v>5.4047558895108294E-3</v>
      </c>
      <c r="D1944" t="s">
        <v>242</v>
      </c>
      <c r="E1944" t="s">
        <v>389</v>
      </c>
      <c r="F1944" t="s">
        <v>390</v>
      </c>
      <c r="G1944" t="s">
        <v>245</v>
      </c>
    </row>
    <row r="1945" spans="1:7" x14ac:dyDescent="0.25">
      <c r="A1945" t="s">
        <v>390</v>
      </c>
      <c r="B1945" t="s">
        <v>117</v>
      </c>
      <c r="C1945" s="4">
        <v>2.607009437450911E-2</v>
      </c>
      <c r="D1945" t="s">
        <v>242</v>
      </c>
      <c r="E1945" t="s">
        <v>389</v>
      </c>
      <c r="F1945" t="s">
        <v>390</v>
      </c>
      <c r="G1945" t="s">
        <v>245</v>
      </c>
    </row>
    <row r="1946" spans="1:7" x14ac:dyDescent="0.25">
      <c r="A1946" t="s">
        <v>390</v>
      </c>
      <c r="B1946" t="s">
        <v>92</v>
      </c>
      <c r="C1946" s="4">
        <v>2.8305024520185239E-4</v>
      </c>
      <c r="D1946" t="s">
        <v>242</v>
      </c>
      <c r="E1946" t="s">
        <v>389</v>
      </c>
      <c r="F1946" t="s">
        <v>390</v>
      </c>
      <c r="G1946" t="s">
        <v>245</v>
      </c>
    </row>
    <row r="1947" spans="1:7" x14ac:dyDescent="0.25">
      <c r="A1947" t="s">
        <v>390</v>
      </c>
      <c r="B1947" t="s">
        <v>93</v>
      </c>
      <c r="C1947" s="4">
        <v>2.2413840600618439E-3</v>
      </c>
      <c r="D1947" t="s">
        <v>242</v>
      </c>
      <c r="E1947" t="s">
        <v>389</v>
      </c>
      <c r="F1947" t="s">
        <v>390</v>
      </c>
      <c r="G1947" t="s">
        <v>245</v>
      </c>
    </row>
    <row r="1948" spans="1:7" x14ac:dyDescent="0.25">
      <c r="A1948" t="s">
        <v>390</v>
      </c>
      <c r="B1948" t="s">
        <v>196</v>
      </c>
      <c r="C1948" s="4">
        <v>9.37884110238644E-4</v>
      </c>
      <c r="D1948" t="s">
        <v>242</v>
      </c>
      <c r="E1948" t="s">
        <v>389</v>
      </c>
      <c r="F1948" t="s">
        <v>390</v>
      </c>
      <c r="G1948" t="s">
        <v>245</v>
      </c>
    </row>
    <row r="1949" spans="1:7" x14ac:dyDescent="0.25">
      <c r="A1949" t="s">
        <v>390</v>
      </c>
      <c r="B1949" t="s">
        <v>197</v>
      </c>
      <c r="C1949" s="4">
        <v>4.5304571426781949E-4</v>
      </c>
      <c r="D1949" t="s">
        <v>242</v>
      </c>
      <c r="E1949" t="s">
        <v>389</v>
      </c>
      <c r="F1949" t="s">
        <v>390</v>
      </c>
      <c r="G1949" t="s">
        <v>245</v>
      </c>
    </row>
    <row r="1950" spans="1:7" x14ac:dyDescent="0.25">
      <c r="A1950" t="s">
        <v>390</v>
      </c>
      <c r="B1950" t="s">
        <v>97</v>
      </c>
      <c r="C1950" s="4">
        <v>4.8581729264045997E-2</v>
      </c>
      <c r="D1950" t="s">
        <v>242</v>
      </c>
      <c r="E1950" t="s">
        <v>389</v>
      </c>
      <c r="F1950" t="s">
        <v>390</v>
      </c>
      <c r="G1950" t="s">
        <v>245</v>
      </c>
    </row>
    <row r="1951" spans="1:7" x14ac:dyDescent="0.25">
      <c r="A1951" t="s">
        <v>390</v>
      </c>
      <c r="B1951" t="s">
        <v>98</v>
      </c>
      <c r="C1951" s="4">
        <v>4.1489449622421374E-3</v>
      </c>
      <c r="D1951" t="s">
        <v>242</v>
      </c>
      <c r="E1951" t="s">
        <v>389</v>
      </c>
      <c r="F1951" t="s">
        <v>390</v>
      </c>
      <c r="G1951" t="s">
        <v>245</v>
      </c>
    </row>
    <row r="1952" spans="1:7" x14ac:dyDescent="0.25">
      <c r="A1952" t="s">
        <v>390</v>
      </c>
      <c r="B1952" t="s">
        <v>99</v>
      </c>
      <c r="C1952" s="4">
        <v>9.7921459645255032E-3</v>
      </c>
      <c r="D1952" t="s">
        <v>242</v>
      </c>
      <c r="E1952" t="s">
        <v>389</v>
      </c>
      <c r="F1952" t="s">
        <v>390</v>
      </c>
      <c r="G1952" t="s">
        <v>245</v>
      </c>
    </row>
    <row r="1953" spans="1:7" x14ac:dyDescent="0.25">
      <c r="A1953" t="s">
        <v>390</v>
      </c>
      <c r="B1953" t="s">
        <v>118</v>
      </c>
      <c r="C1953" s="4">
        <v>1.1890462956923821E-3</v>
      </c>
      <c r="D1953" t="s">
        <v>242</v>
      </c>
      <c r="E1953" t="s">
        <v>389</v>
      </c>
      <c r="F1953" t="s">
        <v>390</v>
      </c>
      <c r="G1953" t="s">
        <v>245</v>
      </c>
    </row>
    <row r="1954" spans="1:7" x14ac:dyDescent="0.25">
      <c r="A1954" t="s">
        <v>390</v>
      </c>
      <c r="B1954" t="s">
        <v>222</v>
      </c>
      <c r="C1954" s="4">
        <v>2.0012380388181972E-3</v>
      </c>
      <c r="D1954" t="s">
        <v>242</v>
      </c>
      <c r="E1954" t="s">
        <v>389</v>
      </c>
      <c r="F1954" t="s">
        <v>390</v>
      </c>
      <c r="G1954" t="s">
        <v>245</v>
      </c>
    </row>
    <row r="1955" spans="1:7" x14ac:dyDescent="0.25">
      <c r="A1955" t="s">
        <v>390</v>
      </c>
      <c r="B1955" t="s">
        <v>182</v>
      </c>
      <c r="C1955" s="4">
        <v>1.289670133282393E-2</v>
      </c>
      <c r="D1955" t="s">
        <v>242</v>
      </c>
      <c r="E1955" t="s">
        <v>389</v>
      </c>
      <c r="F1955" t="s">
        <v>390</v>
      </c>
      <c r="G1955" t="s">
        <v>245</v>
      </c>
    </row>
    <row r="1956" spans="1:7" x14ac:dyDescent="0.25">
      <c r="A1956" t="s">
        <v>390</v>
      </c>
      <c r="B1956" t="s">
        <v>119</v>
      </c>
      <c r="C1956" s="4">
        <v>1.9085146826313831E-2</v>
      </c>
      <c r="D1956" t="s">
        <v>242</v>
      </c>
      <c r="E1956" t="s">
        <v>389</v>
      </c>
      <c r="F1956" t="s">
        <v>390</v>
      </c>
      <c r="G1956" t="s">
        <v>245</v>
      </c>
    </row>
    <row r="1957" spans="1:7" x14ac:dyDescent="0.25">
      <c r="A1957" t="s">
        <v>390</v>
      </c>
      <c r="B1957" t="s">
        <v>102</v>
      </c>
      <c r="C1957" s="4">
        <v>1.0461477292418871E-2</v>
      </c>
      <c r="D1957" t="s">
        <v>242</v>
      </c>
      <c r="E1957" t="s">
        <v>389</v>
      </c>
      <c r="F1957" t="s">
        <v>390</v>
      </c>
      <c r="G1957" t="s">
        <v>245</v>
      </c>
    </row>
    <row r="1958" spans="1:7" x14ac:dyDescent="0.25">
      <c r="A1958" t="s">
        <v>390</v>
      </c>
      <c r="B1958" t="s">
        <v>198</v>
      </c>
      <c r="C1958" s="4">
        <v>8.5840240598113174E-5</v>
      </c>
      <c r="D1958" t="s">
        <v>242</v>
      </c>
      <c r="E1958" t="s">
        <v>389</v>
      </c>
      <c r="F1958" t="s">
        <v>390</v>
      </c>
      <c r="G1958" t="s">
        <v>245</v>
      </c>
    </row>
    <row r="1959" spans="1:7" x14ac:dyDescent="0.25">
      <c r="A1959" t="s">
        <v>390</v>
      </c>
      <c r="B1959" t="s">
        <v>148</v>
      </c>
      <c r="C1959" s="4">
        <v>6.343593780200564E-2</v>
      </c>
      <c r="D1959" t="s">
        <v>242</v>
      </c>
      <c r="E1959" t="s">
        <v>389</v>
      </c>
      <c r="F1959" t="s">
        <v>390</v>
      </c>
      <c r="G1959" t="s">
        <v>245</v>
      </c>
    </row>
    <row r="1960" spans="1:7" x14ac:dyDescent="0.25">
      <c r="A1960" t="s">
        <v>390</v>
      </c>
      <c r="B1960" t="s">
        <v>149</v>
      </c>
      <c r="C1960" s="4">
        <v>2.066524310695317E-4</v>
      </c>
      <c r="D1960" t="s">
        <v>242</v>
      </c>
      <c r="E1960" t="s">
        <v>389</v>
      </c>
      <c r="F1960" t="s">
        <v>390</v>
      </c>
      <c r="G1960" t="s">
        <v>245</v>
      </c>
    </row>
    <row r="1961" spans="1:7" x14ac:dyDescent="0.25">
      <c r="A1961" t="s">
        <v>390</v>
      </c>
      <c r="B1961" t="s">
        <v>232</v>
      </c>
      <c r="C1961" s="4">
        <v>1.36549567914406E-3</v>
      </c>
      <c r="D1961" t="s">
        <v>242</v>
      </c>
      <c r="E1961" t="s">
        <v>389</v>
      </c>
      <c r="F1961" t="s">
        <v>390</v>
      </c>
      <c r="G1961" t="s">
        <v>245</v>
      </c>
    </row>
    <row r="1962" spans="1:7" x14ac:dyDescent="0.25">
      <c r="A1962" t="s">
        <v>390</v>
      </c>
      <c r="B1962" t="s">
        <v>103</v>
      </c>
      <c r="C1962" s="4">
        <v>2.559310877091893E-3</v>
      </c>
      <c r="D1962" t="s">
        <v>242</v>
      </c>
      <c r="E1962" t="s">
        <v>389</v>
      </c>
      <c r="F1962" t="s">
        <v>390</v>
      </c>
      <c r="G1962" t="s">
        <v>245</v>
      </c>
    </row>
    <row r="1963" spans="1:7" x14ac:dyDescent="0.25">
      <c r="A1963" t="s">
        <v>390</v>
      </c>
      <c r="B1963" t="s">
        <v>150</v>
      </c>
      <c r="C1963" s="4">
        <v>3.4004673428832302E-2</v>
      </c>
      <c r="D1963" t="s">
        <v>242</v>
      </c>
      <c r="E1963" t="s">
        <v>389</v>
      </c>
      <c r="F1963" t="s">
        <v>390</v>
      </c>
      <c r="G1963" t="s">
        <v>245</v>
      </c>
    </row>
    <row r="1964" spans="1:7" x14ac:dyDescent="0.25">
      <c r="A1964" t="s">
        <v>390</v>
      </c>
      <c r="B1964" t="s">
        <v>161</v>
      </c>
      <c r="C1964" s="4">
        <v>6.0406095235709272E-4</v>
      </c>
      <c r="D1964" t="s">
        <v>242</v>
      </c>
      <c r="E1964" t="s">
        <v>389</v>
      </c>
      <c r="F1964" t="s">
        <v>390</v>
      </c>
      <c r="G1964" t="s">
        <v>245</v>
      </c>
    </row>
    <row r="1965" spans="1:7" x14ac:dyDescent="0.25">
      <c r="A1965" t="s">
        <v>390</v>
      </c>
      <c r="B1965" t="s">
        <v>105</v>
      </c>
      <c r="C1965" s="4">
        <v>3.1772016459897932E-4</v>
      </c>
      <c r="D1965" t="s">
        <v>242</v>
      </c>
      <c r="E1965" t="s">
        <v>389</v>
      </c>
      <c r="F1965" t="s">
        <v>390</v>
      </c>
      <c r="G1965" t="s">
        <v>245</v>
      </c>
    </row>
    <row r="1966" spans="1:7" x14ac:dyDescent="0.25">
      <c r="A1966" t="s">
        <v>390</v>
      </c>
      <c r="B1966" t="s">
        <v>174</v>
      </c>
      <c r="C1966" s="4">
        <v>8.8542618542868589E-4</v>
      </c>
      <c r="D1966" t="s">
        <v>242</v>
      </c>
      <c r="E1966" t="s">
        <v>389</v>
      </c>
      <c r="F1966" t="s">
        <v>390</v>
      </c>
      <c r="G1966" t="s">
        <v>245</v>
      </c>
    </row>
    <row r="1967" spans="1:7" x14ac:dyDescent="0.25">
      <c r="A1967" t="s">
        <v>390</v>
      </c>
      <c r="B1967" t="s">
        <v>130</v>
      </c>
      <c r="C1967" s="4">
        <v>2.797755989864429E-3</v>
      </c>
      <c r="D1967" t="s">
        <v>242</v>
      </c>
      <c r="E1967" t="s">
        <v>389</v>
      </c>
      <c r="F1967" t="s">
        <v>390</v>
      </c>
      <c r="G1967" t="s">
        <v>245</v>
      </c>
    </row>
    <row r="1968" spans="1:7" x14ac:dyDescent="0.25">
      <c r="A1968" t="s">
        <v>390</v>
      </c>
      <c r="B1968" t="s">
        <v>203</v>
      </c>
      <c r="C1968" s="4">
        <v>9.6967679194164881E-4</v>
      </c>
      <c r="D1968" t="s">
        <v>242</v>
      </c>
      <c r="E1968" t="s">
        <v>389</v>
      </c>
      <c r="F1968" t="s">
        <v>390</v>
      </c>
      <c r="G1968" t="s">
        <v>245</v>
      </c>
    </row>
    <row r="1969" spans="1:7" x14ac:dyDescent="0.25">
      <c r="A1969" t="s">
        <v>390</v>
      </c>
      <c r="B1969" t="s">
        <v>133</v>
      </c>
      <c r="C1969" s="4">
        <v>6.9943899746610734E-7</v>
      </c>
      <c r="D1969" t="s">
        <v>242</v>
      </c>
      <c r="E1969" t="s">
        <v>389</v>
      </c>
      <c r="F1969" t="s">
        <v>390</v>
      </c>
      <c r="G1969" t="s">
        <v>245</v>
      </c>
    </row>
    <row r="1970" spans="1:7" x14ac:dyDescent="0.25">
      <c r="A1970" t="s">
        <v>390</v>
      </c>
      <c r="B1970" t="s">
        <v>106</v>
      </c>
      <c r="C1970" s="4">
        <v>1.89166456132879E-3</v>
      </c>
      <c r="D1970" t="s">
        <v>242</v>
      </c>
      <c r="E1970" t="s">
        <v>389</v>
      </c>
      <c r="F1970" t="s">
        <v>390</v>
      </c>
      <c r="G1970" t="s">
        <v>245</v>
      </c>
    </row>
    <row r="1971" spans="1:7" x14ac:dyDescent="0.25">
      <c r="A1971" t="s">
        <v>390</v>
      </c>
      <c r="B1971" t="s">
        <v>146</v>
      </c>
      <c r="C1971" s="4">
        <v>1.0841304460724661E-3</v>
      </c>
      <c r="D1971" t="s">
        <v>242</v>
      </c>
      <c r="E1971" t="s">
        <v>389</v>
      </c>
      <c r="F1971" t="s">
        <v>390</v>
      </c>
      <c r="G1971" t="s">
        <v>245</v>
      </c>
    </row>
    <row r="1972" spans="1:7" x14ac:dyDescent="0.25">
      <c r="A1972" t="s">
        <v>390</v>
      </c>
      <c r="B1972" t="s">
        <v>156</v>
      </c>
      <c r="C1972" s="4">
        <v>7.9481704257512199E-4</v>
      </c>
      <c r="D1972" t="s">
        <v>242</v>
      </c>
      <c r="E1972" t="s">
        <v>389</v>
      </c>
      <c r="F1972" t="s">
        <v>390</v>
      </c>
      <c r="G1972" t="s">
        <v>245</v>
      </c>
    </row>
    <row r="1973" spans="1:7" x14ac:dyDescent="0.25">
      <c r="A1973" t="s">
        <v>390</v>
      </c>
      <c r="B1973" t="s">
        <v>151</v>
      </c>
      <c r="C1973" s="4">
        <v>1.206325618197966E-2</v>
      </c>
      <c r="D1973" t="s">
        <v>242</v>
      </c>
      <c r="E1973" t="s">
        <v>389</v>
      </c>
      <c r="F1973" t="s">
        <v>390</v>
      </c>
      <c r="G1973" t="s">
        <v>245</v>
      </c>
    </row>
    <row r="1974" spans="1:7" x14ac:dyDescent="0.25">
      <c r="A1974" t="s">
        <v>390</v>
      </c>
      <c r="B1974" t="s">
        <v>178</v>
      </c>
      <c r="C1974" s="4">
        <v>7.6302436087211719E-4</v>
      </c>
      <c r="D1974" t="s">
        <v>242</v>
      </c>
      <c r="E1974" t="s">
        <v>389</v>
      </c>
      <c r="F1974" t="s">
        <v>390</v>
      </c>
      <c r="G1974" t="s">
        <v>245</v>
      </c>
    </row>
    <row r="1975" spans="1:7" x14ac:dyDescent="0.25">
      <c r="A1975" t="s">
        <v>390</v>
      </c>
      <c r="B1975" t="s">
        <v>120</v>
      </c>
      <c r="C1975" s="4">
        <v>1.653219448556254E-3</v>
      </c>
      <c r="D1975" t="s">
        <v>242</v>
      </c>
      <c r="E1975" t="s">
        <v>389</v>
      </c>
      <c r="F1975" t="s">
        <v>390</v>
      </c>
      <c r="G1975" t="s">
        <v>245</v>
      </c>
    </row>
    <row r="1976" spans="1:7" x14ac:dyDescent="0.25">
      <c r="A1976" t="s">
        <v>390</v>
      </c>
      <c r="B1976" t="s">
        <v>107</v>
      </c>
      <c r="C1976" s="4">
        <v>1.117512761860621E-2</v>
      </c>
      <c r="D1976" t="s">
        <v>242</v>
      </c>
      <c r="E1976" t="s">
        <v>389</v>
      </c>
      <c r="F1976" t="s">
        <v>390</v>
      </c>
      <c r="G1976" t="s">
        <v>245</v>
      </c>
    </row>
    <row r="1977" spans="1:7" x14ac:dyDescent="0.25">
      <c r="A1977" t="s">
        <v>390</v>
      </c>
      <c r="B1977" t="s">
        <v>108</v>
      </c>
      <c r="C1977" s="4">
        <v>5.4683412529168392E-3</v>
      </c>
      <c r="D1977" t="s">
        <v>242</v>
      </c>
      <c r="E1977" t="s">
        <v>389</v>
      </c>
      <c r="F1977" t="s">
        <v>390</v>
      </c>
      <c r="G1977" t="s">
        <v>245</v>
      </c>
    </row>
    <row r="1978" spans="1:7" x14ac:dyDescent="0.25">
      <c r="A1978" t="s">
        <v>390</v>
      </c>
      <c r="B1978" t="s">
        <v>205</v>
      </c>
      <c r="C1978" s="4">
        <v>3.231567131701931E-4</v>
      </c>
      <c r="D1978" t="s">
        <v>242</v>
      </c>
      <c r="E1978" t="s">
        <v>389</v>
      </c>
      <c r="F1978" t="s">
        <v>390</v>
      </c>
      <c r="G1978" t="s">
        <v>245</v>
      </c>
    </row>
    <row r="1979" spans="1:7" x14ac:dyDescent="0.25">
      <c r="A1979" t="s">
        <v>390</v>
      </c>
      <c r="B1979" t="s">
        <v>179</v>
      </c>
      <c r="C1979" s="4">
        <v>1.176329223011181E-3</v>
      </c>
      <c r="D1979" t="s">
        <v>242</v>
      </c>
      <c r="E1979" t="s">
        <v>389</v>
      </c>
      <c r="F1979" t="s">
        <v>390</v>
      </c>
      <c r="G1979" t="s">
        <v>245</v>
      </c>
    </row>
    <row r="1980" spans="1:7" x14ac:dyDescent="0.25">
      <c r="A1980" t="s">
        <v>390</v>
      </c>
      <c r="B1980" t="s">
        <v>135</v>
      </c>
      <c r="C1980" s="4">
        <v>6.9943899746610736E-4</v>
      </c>
      <c r="D1980" t="s">
        <v>242</v>
      </c>
      <c r="E1980" t="s">
        <v>389</v>
      </c>
      <c r="F1980" t="s">
        <v>390</v>
      </c>
      <c r="G1980" t="s">
        <v>245</v>
      </c>
    </row>
    <row r="1981" spans="1:7" x14ac:dyDescent="0.25">
      <c r="A1981" t="s">
        <v>390</v>
      </c>
      <c r="B1981" t="s">
        <v>136</v>
      </c>
      <c r="C1981" s="4">
        <v>9.37884110238644E-4</v>
      </c>
      <c r="D1981" t="s">
        <v>242</v>
      </c>
      <c r="E1981" t="s">
        <v>389</v>
      </c>
      <c r="F1981" t="s">
        <v>390</v>
      </c>
      <c r="G1981" t="s">
        <v>245</v>
      </c>
    </row>
    <row r="1982" spans="1:7" x14ac:dyDescent="0.25">
      <c r="A1982" t="s">
        <v>390</v>
      </c>
      <c r="B1982" t="s">
        <v>137</v>
      </c>
      <c r="C1982" s="4">
        <v>4.4350790975691808E-3</v>
      </c>
      <c r="D1982" t="s">
        <v>242</v>
      </c>
      <c r="E1982" t="s">
        <v>389</v>
      </c>
      <c r="F1982" t="s">
        <v>390</v>
      </c>
      <c r="G1982" t="s">
        <v>245</v>
      </c>
    </row>
    <row r="1983" spans="1:7" x14ac:dyDescent="0.25">
      <c r="A1983" t="s">
        <v>390</v>
      </c>
      <c r="B1983" t="s">
        <v>121</v>
      </c>
      <c r="C1983" s="4">
        <v>1.4894871377857791E-2</v>
      </c>
      <c r="D1983" t="s">
        <v>242</v>
      </c>
      <c r="E1983" t="s">
        <v>389</v>
      </c>
      <c r="F1983" t="s">
        <v>390</v>
      </c>
      <c r="G1983" t="s">
        <v>245</v>
      </c>
    </row>
    <row r="1984" spans="1:7" x14ac:dyDescent="0.25">
      <c r="A1984" t="s">
        <v>390</v>
      </c>
      <c r="B1984" t="s">
        <v>211</v>
      </c>
      <c r="C1984" s="4">
        <v>3.64884607905387E-4</v>
      </c>
      <c r="D1984" t="s">
        <v>242</v>
      </c>
      <c r="E1984" t="s">
        <v>389</v>
      </c>
      <c r="F1984" t="s">
        <v>390</v>
      </c>
      <c r="G1984" t="s">
        <v>245</v>
      </c>
    </row>
    <row r="1985" spans="1:8" x14ac:dyDescent="0.25">
      <c r="A1985" t="s">
        <v>390</v>
      </c>
      <c r="B1985" t="s">
        <v>138</v>
      </c>
      <c r="C1985" s="4">
        <v>5.9953526411667003E-3</v>
      </c>
      <c r="D1985" t="s">
        <v>242</v>
      </c>
      <c r="E1985" t="s">
        <v>389</v>
      </c>
      <c r="F1985" t="s">
        <v>390</v>
      </c>
      <c r="G1985" t="s">
        <v>245</v>
      </c>
    </row>
    <row r="1986" spans="1:8" x14ac:dyDescent="0.25">
      <c r="A1986" t="s">
        <v>390</v>
      </c>
      <c r="B1986" t="s">
        <v>208</v>
      </c>
      <c r="C1986" s="4">
        <v>4.3079083707571611E-3</v>
      </c>
      <c r="D1986" t="s">
        <v>242</v>
      </c>
      <c r="E1986" t="s">
        <v>389</v>
      </c>
      <c r="F1986" t="s">
        <v>390</v>
      </c>
      <c r="G1986" t="s">
        <v>245</v>
      </c>
    </row>
    <row r="1987" spans="1:8" x14ac:dyDescent="0.25">
      <c r="A1987" t="s">
        <v>390</v>
      </c>
      <c r="B1987" t="s">
        <v>139</v>
      </c>
      <c r="C1987" s="4">
        <v>9.2198776938714157E-5</v>
      </c>
      <c r="D1987" t="s">
        <v>242</v>
      </c>
      <c r="E1987" t="s">
        <v>389</v>
      </c>
      <c r="F1987" t="s">
        <v>390</v>
      </c>
      <c r="G1987" t="s">
        <v>245</v>
      </c>
    </row>
    <row r="1988" spans="1:8" x14ac:dyDescent="0.25">
      <c r="A1988" t="s">
        <v>390</v>
      </c>
      <c r="B1988" t="s">
        <v>111</v>
      </c>
      <c r="C1988" s="4">
        <v>1.3988779949322149E-4</v>
      </c>
      <c r="D1988" t="s">
        <v>242</v>
      </c>
      <c r="E1988" t="s">
        <v>389</v>
      </c>
      <c r="F1988" t="s">
        <v>390</v>
      </c>
      <c r="G1988" t="s">
        <v>245</v>
      </c>
    </row>
    <row r="1989" spans="1:8" x14ac:dyDescent="0.25">
      <c r="A1989" t="s">
        <v>390</v>
      </c>
      <c r="B1989" t="s">
        <v>215</v>
      </c>
      <c r="C1989" s="4">
        <v>6.6923594984825271E-3</v>
      </c>
      <c r="D1989" t="s">
        <v>242</v>
      </c>
      <c r="E1989" t="s">
        <v>389</v>
      </c>
      <c r="F1989" t="s">
        <v>390</v>
      </c>
      <c r="G1989" t="s">
        <v>245</v>
      </c>
    </row>
    <row r="1990" spans="1:8" x14ac:dyDescent="0.25">
      <c r="A1990" t="s">
        <v>390</v>
      </c>
      <c r="B1990" t="s">
        <v>112</v>
      </c>
      <c r="C1990" s="4">
        <v>4.5463534835296984E-3</v>
      </c>
      <c r="D1990" t="s">
        <v>242</v>
      </c>
      <c r="E1990" t="s">
        <v>389</v>
      </c>
      <c r="F1990" t="s">
        <v>390</v>
      </c>
      <c r="G1990" t="s">
        <v>245</v>
      </c>
    </row>
    <row r="1991" spans="1:8" x14ac:dyDescent="0.25">
      <c r="A1991" t="s">
        <v>390</v>
      </c>
      <c r="B1991" t="s">
        <v>113</v>
      </c>
      <c r="C1991" s="4">
        <v>8.8622100247126107E-2</v>
      </c>
      <c r="D1991" t="s">
        <v>242</v>
      </c>
      <c r="E1991" t="s">
        <v>389</v>
      </c>
      <c r="F1991" t="s">
        <v>390</v>
      </c>
      <c r="G1991" t="s">
        <v>245</v>
      </c>
    </row>
    <row r="1992" spans="1:8" x14ac:dyDescent="0.25">
      <c r="A1992" t="s">
        <v>390</v>
      </c>
      <c r="B1992" t="s">
        <v>142</v>
      </c>
      <c r="C1992" s="4">
        <v>6.3585363406009761E-5</v>
      </c>
      <c r="D1992" t="s">
        <v>242</v>
      </c>
      <c r="E1992" t="s">
        <v>389</v>
      </c>
      <c r="F1992" t="s">
        <v>390</v>
      </c>
      <c r="G1992" t="s">
        <v>245</v>
      </c>
    </row>
    <row r="1993" spans="1:8" x14ac:dyDescent="0.25">
      <c r="A1993" t="s">
        <v>390</v>
      </c>
      <c r="B1993" t="s">
        <v>122</v>
      </c>
      <c r="C1993" s="4">
        <v>2.7367140409946598E-3</v>
      </c>
      <c r="D1993" t="s">
        <v>242</v>
      </c>
      <c r="E1993" t="s">
        <v>389</v>
      </c>
      <c r="F1993" t="s">
        <v>390</v>
      </c>
      <c r="G1993" t="s">
        <v>245</v>
      </c>
    </row>
    <row r="1994" spans="1:8" x14ac:dyDescent="0.25">
      <c r="A1994" t="s">
        <v>390</v>
      </c>
      <c r="B1994" t="s">
        <v>123</v>
      </c>
      <c r="C1994" s="4">
        <v>1.971146265586303E-3</v>
      </c>
      <c r="D1994" t="s">
        <v>242</v>
      </c>
      <c r="E1994" t="s">
        <v>389</v>
      </c>
      <c r="F1994" t="s">
        <v>390</v>
      </c>
      <c r="G1994" t="s">
        <v>245</v>
      </c>
    </row>
    <row r="1995" spans="1:8" x14ac:dyDescent="0.25">
      <c r="A1995" t="s">
        <v>390</v>
      </c>
      <c r="B1995" t="s">
        <v>140</v>
      </c>
      <c r="C1995" s="4">
        <v>2.4909566114304321E-2</v>
      </c>
      <c r="D1995" t="s">
        <v>242</v>
      </c>
      <c r="E1995" t="s">
        <v>389</v>
      </c>
      <c r="F1995" t="s">
        <v>390</v>
      </c>
      <c r="G1995" t="s">
        <v>245</v>
      </c>
    </row>
    <row r="1996" spans="1:8" x14ac:dyDescent="0.25">
      <c r="A1996" t="s">
        <v>390</v>
      </c>
      <c r="B1996" t="s">
        <v>180</v>
      </c>
      <c r="C1996" s="4">
        <v>1.7215737142177139E-3</v>
      </c>
      <c r="D1996" t="s">
        <v>242</v>
      </c>
      <c r="E1996" t="s">
        <v>389</v>
      </c>
      <c r="F1996" t="s">
        <v>390</v>
      </c>
      <c r="G1996" t="s">
        <v>245</v>
      </c>
    </row>
    <row r="1997" spans="1:8" x14ac:dyDescent="0.25">
      <c r="A1997" t="s">
        <v>390</v>
      </c>
      <c r="B1997" t="s">
        <v>114</v>
      </c>
      <c r="C1997" s="4">
        <v>7.5660223916811011E-4</v>
      </c>
      <c r="D1997" t="s">
        <v>242</v>
      </c>
      <c r="E1997" t="s">
        <v>389</v>
      </c>
      <c r="F1997" t="s">
        <v>390</v>
      </c>
      <c r="G1997" t="s">
        <v>245</v>
      </c>
    </row>
    <row r="1998" spans="1:8" x14ac:dyDescent="0.25">
      <c r="A1998" t="s">
        <v>390</v>
      </c>
      <c r="B1998" t="s">
        <v>115</v>
      </c>
      <c r="C1998" s="4">
        <v>2.6260755086682029E-3</v>
      </c>
      <c r="D1998" t="s">
        <v>242</v>
      </c>
      <c r="E1998" t="s">
        <v>389</v>
      </c>
      <c r="F1998" t="s">
        <v>390</v>
      </c>
      <c r="G1998" t="s">
        <v>245</v>
      </c>
    </row>
    <row r="1999" spans="1:8" x14ac:dyDescent="0.25">
      <c r="A1999" t="s">
        <v>390</v>
      </c>
      <c r="B1999" t="s">
        <v>143</v>
      </c>
      <c r="C1999" s="4">
        <v>3.6593376640158622E-4</v>
      </c>
      <c r="D1999" t="s">
        <v>242</v>
      </c>
      <c r="E1999" t="s">
        <v>389</v>
      </c>
      <c r="F1999" t="s">
        <v>390</v>
      </c>
      <c r="G1999" t="s">
        <v>245</v>
      </c>
    </row>
    <row r="2000" spans="1:8" x14ac:dyDescent="0.25">
      <c r="A2000" t="s">
        <v>475</v>
      </c>
      <c r="B2000" t="s">
        <v>124</v>
      </c>
      <c r="D2000" t="s">
        <v>465</v>
      </c>
      <c r="E2000" t="s">
        <v>476</v>
      </c>
      <c r="F2000" t="s">
        <v>475</v>
      </c>
      <c r="G2000" t="s">
        <v>245</v>
      </c>
      <c r="H2000" t="s">
        <v>471</v>
      </c>
    </row>
    <row r="2001" spans="1:8" x14ac:dyDescent="0.25">
      <c r="A2001" t="s">
        <v>474</v>
      </c>
      <c r="B2001" t="s">
        <v>124</v>
      </c>
      <c r="D2001" t="s">
        <v>465</v>
      </c>
      <c r="E2001" s="5" t="s">
        <v>638</v>
      </c>
      <c r="F2001" t="s">
        <v>470</v>
      </c>
      <c r="G2001" t="s">
        <v>245</v>
      </c>
      <c r="H2001" t="s">
        <v>471</v>
      </c>
    </row>
    <row r="2002" spans="1:8" x14ac:dyDescent="0.25">
      <c r="A2002" t="s">
        <v>473</v>
      </c>
      <c r="B2002" t="s">
        <v>124</v>
      </c>
      <c r="D2002" t="s">
        <v>465</v>
      </c>
      <c r="E2002" t="s">
        <v>472</v>
      </c>
      <c r="F2002" t="s">
        <v>470</v>
      </c>
      <c r="G2002" t="s">
        <v>245</v>
      </c>
      <c r="H2002" t="s">
        <v>471</v>
      </c>
    </row>
    <row r="2003" spans="1:8" x14ac:dyDescent="0.25">
      <c r="A2003" t="s">
        <v>464</v>
      </c>
      <c r="B2003" t="s">
        <v>124</v>
      </c>
      <c r="C2003" s="4">
        <f>(0.0783801436969301/(0.0783801436969301+0.261267145656433+0.0326583932070542)) * 7.35119953980983%</f>
        <v>1.5476209557494406E-2</v>
      </c>
      <c r="D2003" t="s">
        <v>465</v>
      </c>
      <c r="E2003" t="s">
        <v>462</v>
      </c>
      <c r="F2003" t="s">
        <v>464</v>
      </c>
      <c r="G2003" t="s">
        <v>245</v>
      </c>
    </row>
    <row r="2004" spans="1:8" x14ac:dyDescent="0.25">
      <c r="A2004" t="s">
        <v>475</v>
      </c>
      <c r="B2004" t="s">
        <v>124</v>
      </c>
      <c r="D2004" t="s">
        <v>465</v>
      </c>
      <c r="E2004" t="s">
        <v>492</v>
      </c>
      <c r="F2004" t="s">
        <v>475</v>
      </c>
      <c r="G2004" t="s">
        <v>245</v>
      </c>
      <c r="H2004" t="s">
        <v>471</v>
      </c>
    </row>
    <row r="2005" spans="1:8" x14ac:dyDescent="0.25">
      <c r="A2005" t="s">
        <v>482</v>
      </c>
      <c r="B2005" t="s">
        <v>124</v>
      </c>
      <c r="D2005" t="s">
        <v>465</v>
      </c>
      <c r="E2005" t="s">
        <v>491</v>
      </c>
      <c r="F2005" t="s">
        <v>482</v>
      </c>
      <c r="G2005" t="s">
        <v>245</v>
      </c>
      <c r="H2005" t="s">
        <v>471</v>
      </c>
    </row>
    <row r="2006" spans="1:8" x14ac:dyDescent="0.25">
      <c r="A2006" t="s">
        <v>478</v>
      </c>
      <c r="B2006" t="s">
        <v>124</v>
      </c>
      <c r="D2006" t="s">
        <v>465</v>
      </c>
      <c r="E2006" t="s">
        <v>490</v>
      </c>
      <c r="F2006" t="s">
        <v>478</v>
      </c>
      <c r="G2006" t="s">
        <v>245</v>
      </c>
      <c r="H2006" t="s">
        <v>471</v>
      </c>
    </row>
    <row r="2007" spans="1:8" x14ac:dyDescent="0.25">
      <c r="A2007" t="s">
        <v>489</v>
      </c>
      <c r="B2007" t="s">
        <v>124</v>
      </c>
      <c r="D2007" t="s">
        <v>465</v>
      </c>
      <c r="E2007" t="s">
        <v>488</v>
      </c>
      <c r="F2007" t="s">
        <v>489</v>
      </c>
      <c r="G2007" t="s">
        <v>245</v>
      </c>
      <c r="H2007" t="s">
        <v>471</v>
      </c>
    </row>
    <row r="2008" spans="1:8" x14ac:dyDescent="0.25">
      <c r="A2008" t="s">
        <v>487</v>
      </c>
      <c r="B2008" t="s">
        <v>124</v>
      </c>
      <c r="D2008" t="s">
        <v>465</v>
      </c>
      <c r="E2008" t="s">
        <v>486</v>
      </c>
      <c r="F2008" t="s">
        <v>487</v>
      </c>
      <c r="G2008" t="s">
        <v>245</v>
      </c>
      <c r="H2008" t="s">
        <v>471</v>
      </c>
    </row>
    <row r="2009" spans="1:8" x14ac:dyDescent="0.25">
      <c r="A2009" t="s">
        <v>474</v>
      </c>
      <c r="B2009" t="s">
        <v>124</v>
      </c>
      <c r="D2009" t="s">
        <v>465</v>
      </c>
      <c r="E2009" t="s">
        <v>485</v>
      </c>
      <c r="F2009" t="s">
        <v>470</v>
      </c>
      <c r="G2009" t="s">
        <v>245</v>
      </c>
      <c r="H2009" t="s">
        <v>471</v>
      </c>
    </row>
    <row r="2010" spans="1:8" x14ac:dyDescent="0.25">
      <c r="A2010" t="s">
        <v>473</v>
      </c>
      <c r="B2010" t="s">
        <v>124</v>
      </c>
      <c r="D2010" t="s">
        <v>465</v>
      </c>
      <c r="E2010" t="s">
        <v>484</v>
      </c>
      <c r="F2010" t="s">
        <v>470</v>
      </c>
      <c r="G2010" t="s">
        <v>245</v>
      </c>
      <c r="H2010" t="s">
        <v>471</v>
      </c>
    </row>
    <row r="2011" spans="1:8" x14ac:dyDescent="0.25">
      <c r="A2011" t="s">
        <v>464</v>
      </c>
      <c r="B2011" t="s">
        <v>124</v>
      </c>
      <c r="C2011" s="4">
        <f>(0.261267145656433/(0.0783801436969301+0.261267145656433+0.0326583932070542)) * 7.35119953980983%</f>
        <v>5.1587365191647895E-2</v>
      </c>
      <c r="D2011" t="s">
        <v>465</v>
      </c>
      <c r="E2011" t="s">
        <v>461</v>
      </c>
      <c r="F2011" t="s">
        <v>464</v>
      </c>
      <c r="G2011" t="s">
        <v>245</v>
      </c>
    </row>
    <row r="2012" spans="1:8" x14ac:dyDescent="0.25">
      <c r="A2012" t="s">
        <v>475</v>
      </c>
      <c r="B2012" t="s">
        <v>124</v>
      </c>
      <c r="D2012" t="s">
        <v>465</v>
      </c>
      <c r="E2012" t="s">
        <v>483</v>
      </c>
      <c r="F2012" t="s">
        <v>475</v>
      </c>
      <c r="G2012" t="s">
        <v>245</v>
      </c>
      <c r="H2012" t="s">
        <v>471</v>
      </c>
    </row>
    <row r="2013" spans="1:8" x14ac:dyDescent="0.25">
      <c r="A2013" t="s">
        <v>482</v>
      </c>
      <c r="B2013" t="s">
        <v>124</v>
      </c>
      <c r="D2013" t="s">
        <v>465</v>
      </c>
      <c r="E2013" t="s">
        <v>481</v>
      </c>
      <c r="F2013" t="s">
        <v>482</v>
      </c>
      <c r="G2013" t="s">
        <v>245</v>
      </c>
      <c r="H2013" t="s">
        <v>471</v>
      </c>
    </row>
    <row r="2014" spans="1:8" x14ac:dyDescent="0.25">
      <c r="A2014" t="s">
        <v>478</v>
      </c>
      <c r="B2014" t="s">
        <v>124</v>
      </c>
      <c r="D2014" t="s">
        <v>465</v>
      </c>
      <c r="E2014" t="s">
        <v>480</v>
      </c>
      <c r="F2014" t="s">
        <v>478</v>
      </c>
      <c r="G2014" t="s">
        <v>245</v>
      </c>
      <c r="H2014" t="s">
        <v>471</v>
      </c>
    </row>
    <row r="2015" spans="1:8" x14ac:dyDescent="0.25">
      <c r="A2015" t="s">
        <v>474</v>
      </c>
      <c r="B2015" t="s">
        <v>124</v>
      </c>
      <c r="D2015" t="s">
        <v>465</v>
      </c>
      <c r="E2015" t="s">
        <v>479</v>
      </c>
      <c r="F2015" t="s">
        <v>470</v>
      </c>
      <c r="G2015" t="s">
        <v>245</v>
      </c>
      <c r="H2015" t="s">
        <v>471</v>
      </c>
    </row>
    <row r="2016" spans="1:8" x14ac:dyDescent="0.25">
      <c r="A2016" t="s">
        <v>473</v>
      </c>
      <c r="B2016" t="s">
        <v>124</v>
      </c>
      <c r="D2016" t="s">
        <v>465</v>
      </c>
      <c r="E2016" t="s">
        <v>477</v>
      </c>
      <c r="F2016" t="s">
        <v>470</v>
      </c>
      <c r="G2016" t="s">
        <v>245</v>
      </c>
      <c r="H2016" t="s">
        <v>471</v>
      </c>
    </row>
    <row r="2017" spans="1:8" x14ac:dyDescent="0.25">
      <c r="A2017" t="s">
        <v>464</v>
      </c>
      <c r="B2017" t="s">
        <v>124</v>
      </c>
      <c r="C2017" s="4">
        <f>(0.0326583932070542/(0.0783801436969301+0.261267145656433+0.0326583932070542)) * 7.35119953980983%</f>
        <v>6.4484206489560008E-3</v>
      </c>
      <c r="D2017" t="s">
        <v>465</v>
      </c>
      <c r="E2017" t="s">
        <v>463</v>
      </c>
      <c r="F2017" t="s">
        <v>464</v>
      </c>
      <c r="G2017" t="s">
        <v>245</v>
      </c>
    </row>
    <row r="2018" spans="1:8" x14ac:dyDescent="0.25">
      <c r="A2018" t="s">
        <v>493</v>
      </c>
      <c r="B2018" t="s">
        <v>83</v>
      </c>
      <c r="C2018" s="2">
        <f>C2019/($C$2034+$C$2036+$C$2038+$C$2040+$C$2042+$C$2044+$C$2023+$C$2019)</f>
        <v>0.77349043268801587</v>
      </c>
      <c r="D2018" t="s">
        <v>307</v>
      </c>
      <c r="E2018" t="s">
        <v>494</v>
      </c>
      <c r="F2018" t="s">
        <v>493</v>
      </c>
      <c r="G2018" t="s">
        <v>245</v>
      </c>
    </row>
    <row r="2019" spans="1:8" x14ac:dyDescent="0.25">
      <c r="A2019" t="s">
        <v>464</v>
      </c>
      <c r="B2019" t="s">
        <v>83</v>
      </c>
      <c r="C2019" s="2">
        <v>0.51378244171488507</v>
      </c>
      <c r="D2019" t="s">
        <v>254</v>
      </c>
      <c r="E2019" t="s">
        <v>467</v>
      </c>
      <c r="F2019" t="s">
        <v>468</v>
      </c>
      <c r="G2019" t="s">
        <v>245</v>
      </c>
    </row>
    <row r="2020" spans="1:8" x14ac:dyDescent="0.25">
      <c r="A2020" t="s">
        <v>464</v>
      </c>
      <c r="B2020" t="s">
        <v>144</v>
      </c>
      <c r="C2020" s="2">
        <v>5.646634859405136E-4</v>
      </c>
      <c r="D2020" t="s">
        <v>311</v>
      </c>
      <c r="E2020" t="s">
        <v>460</v>
      </c>
      <c r="F2020" t="s">
        <v>464</v>
      </c>
      <c r="G2020" t="s">
        <v>245</v>
      </c>
    </row>
    <row r="2021" spans="1:8" x14ac:dyDescent="0.25">
      <c r="A2021" t="s">
        <v>464</v>
      </c>
      <c r="B2021" t="s">
        <v>85</v>
      </c>
      <c r="C2021" s="2">
        <v>1.4507833384089601E-3</v>
      </c>
      <c r="D2021" t="s">
        <v>311</v>
      </c>
      <c r="E2021" t="s">
        <v>460</v>
      </c>
      <c r="F2021" t="s">
        <v>464</v>
      </c>
      <c r="G2021" t="s">
        <v>245</v>
      </c>
    </row>
    <row r="2022" spans="1:8" x14ac:dyDescent="0.25">
      <c r="A2022" t="s">
        <v>493</v>
      </c>
      <c r="B2022" t="s">
        <v>116</v>
      </c>
      <c r="C2022" s="2">
        <f>C2023/($C$2034+$C$2036+$C$2038+$C$2040+$C$2042+$C$2044+$C$2023+$C$2019)</f>
        <v>1.3967599245093771E-2</v>
      </c>
      <c r="D2022" t="s">
        <v>256</v>
      </c>
      <c r="E2022" t="s">
        <v>494</v>
      </c>
      <c r="F2022" t="s">
        <v>493</v>
      </c>
      <c r="G2022" t="s">
        <v>245</v>
      </c>
    </row>
    <row r="2023" spans="1:8" x14ac:dyDescent="0.25">
      <c r="A2023" t="s">
        <v>464</v>
      </c>
      <c r="B2023" t="s">
        <v>116</v>
      </c>
      <c r="C2023" s="2">
        <v>9.2778228944607986E-3</v>
      </c>
      <c r="D2023" t="s">
        <v>254</v>
      </c>
      <c r="E2023" t="s">
        <v>467</v>
      </c>
      <c r="F2023" t="s">
        <v>468</v>
      </c>
      <c r="G2023" t="s">
        <v>245</v>
      </c>
    </row>
    <row r="2024" spans="1:8" x14ac:dyDescent="0.25">
      <c r="A2024" t="s">
        <v>475</v>
      </c>
      <c r="B2024" t="s">
        <v>145</v>
      </c>
      <c r="C2024" s="2"/>
      <c r="E2024" t="s">
        <v>502</v>
      </c>
      <c r="F2024" t="s">
        <v>475</v>
      </c>
      <c r="G2024" t="s">
        <v>245</v>
      </c>
      <c r="H2024" t="s">
        <v>471</v>
      </c>
    </row>
    <row r="2025" spans="1:8" x14ac:dyDescent="0.25">
      <c r="A2025" t="s">
        <v>482</v>
      </c>
      <c r="B2025" t="s">
        <v>145</v>
      </c>
      <c r="C2025" s="2"/>
      <c r="E2025" t="s">
        <v>501</v>
      </c>
      <c r="F2025" t="s">
        <v>482</v>
      </c>
      <c r="G2025" t="s">
        <v>245</v>
      </c>
      <c r="H2025" t="s">
        <v>471</v>
      </c>
    </row>
    <row r="2026" spans="1:8" x14ac:dyDescent="0.25">
      <c r="A2026" t="s">
        <v>478</v>
      </c>
      <c r="B2026" t="s">
        <v>145</v>
      </c>
      <c r="C2026" s="2"/>
      <c r="E2026" t="s">
        <v>500</v>
      </c>
      <c r="F2026" t="s">
        <v>478</v>
      </c>
      <c r="G2026" t="s">
        <v>245</v>
      </c>
      <c r="H2026" t="s">
        <v>471</v>
      </c>
    </row>
    <row r="2027" spans="1:8" x14ac:dyDescent="0.25">
      <c r="A2027" t="s">
        <v>489</v>
      </c>
      <c r="B2027" t="s">
        <v>145</v>
      </c>
      <c r="C2027" s="2"/>
      <c r="E2027" t="s">
        <v>499</v>
      </c>
      <c r="F2027" t="s">
        <v>489</v>
      </c>
      <c r="G2027" t="s">
        <v>245</v>
      </c>
      <c r="H2027" t="s">
        <v>471</v>
      </c>
    </row>
    <row r="2028" spans="1:8" x14ac:dyDescent="0.25">
      <c r="A2028" t="s">
        <v>474</v>
      </c>
      <c r="B2028" t="s">
        <v>145</v>
      </c>
      <c r="C2028" s="2"/>
      <c r="E2028" t="s">
        <v>498</v>
      </c>
      <c r="F2028" t="s">
        <v>470</v>
      </c>
      <c r="G2028" t="s">
        <v>245</v>
      </c>
      <c r="H2028" t="s">
        <v>471</v>
      </c>
    </row>
    <row r="2029" spans="1:8" x14ac:dyDescent="0.25">
      <c r="A2029" t="s">
        <v>497</v>
      </c>
      <c r="B2029" t="s">
        <v>145</v>
      </c>
      <c r="C2029" s="2"/>
      <c r="E2029" t="s">
        <v>496</v>
      </c>
      <c r="F2029" t="s">
        <v>497</v>
      </c>
      <c r="G2029" t="s">
        <v>245</v>
      </c>
      <c r="H2029" t="s">
        <v>471</v>
      </c>
    </row>
    <row r="2030" spans="1:8" x14ac:dyDescent="0.25">
      <c r="A2030" t="s">
        <v>473</v>
      </c>
      <c r="B2030" t="s">
        <v>145</v>
      </c>
      <c r="C2030" s="2"/>
      <c r="E2030" t="s">
        <v>495</v>
      </c>
      <c r="F2030" t="s">
        <v>470</v>
      </c>
      <c r="G2030" t="s">
        <v>245</v>
      </c>
      <c r="H2030" t="s">
        <v>471</v>
      </c>
    </row>
    <row r="2031" spans="1:8" x14ac:dyDescent="0.25">
      <c r="A2031" t="s">
        <v>464</v>
      </c>
      <c r="B2031" t="s">
        <v>145</v>
      </c>
      <c r="C2031" s="2">
        <v>0.22691647210097113</v>
      </c>
      <c r="D2031" t="s">
        <v>311</v>
      </c>
      <c r="E2031" t="s">
        <v>460</v>
      </c>
      <c r="F2031" t="s">
        <v>464</v>
      </c>
      <c r="G2031" t="s">
        <v>245</v>
      </c>
    </row>
    <row r="2032" spans="1:8" x14ac:dyDescent="0.25">
      <c r="A2032" t="s">
        <v>464</v>
      </c>
      <c r="B2032" t="s">
        <v>86</v>
      </c>
      <c r="C2032" s="2">
        <f xml:space="preserve"> 11.0394883768145%* (1-0.6982)</f>
        <v>3.3317175921226155E-2</v>
      </c>
      <c r="D2032" t="s">
        <v>254</v>
      </c>
      <c r="E2032" t="s">
        <v>466</v>
      </c>
      <c r="F2032" t="s">
        <v>464</v>
      </c>
      <c r="G2032" t="s">
        <v>245</v>
      </c>
      <c r="H2032" t="s">
        <v>469</v>
      </c>
    </row>
    <row r="2033" spans="1:8" x14ac:dyDescent="0.25">
      <c r="A2033" t="s">
        <v>493</v>
      </c>
      <c r="B2033" t="s">
        <v>86</v>
      </c>
      <c r="C2033" s="2">
        <f>C2034/($C$2034+$C$2036+$C$2038+$C$2040+$C$2042+$C$2044+$C$2023+$C$2019)</f>
        <v>0.11603913398464914</v>
      </c>
      <c r="D2033" t="s">
        <v>256</v>
      </c>
      <c r="E2033" t="s">
        <v>494</v>
      </c>
      <c r="F2033" t="s">
        <v>493</v>
      </c>
      <c r="G2033" t="s">
        <v>245</v>
      </c>
      <c r="H2033" t="s">
        <v>471</v>
      </c>
    </row>
    <row r="2034" spans="1:8" x14ac:dyDescent="0.25">
      <c r="A2034" t="s">
        <v>464</v>
      </c>
      <c r="B2034" t="s">
        <v>86</v>
      </c>
      <c r="C2034" s="2">
        <f xml:space="preserve"> 11.0394883768145%* (0.6982)</f>
        <v>7.707770784691885E-2</v>
      </c>
      <c r="D2034" t="s">
        <v>254</v>
      </c>
      <c r="E2034" t="s">
        <v>467</v>
      </c>
      <c r="F2034" t="s">
        <v>468</v>
      </c>
      <c r="G2034" t="s">
        <v>245</v>
      </c>
    </row>
    <row r="2035" spans="1:8" x14ac:dyDescent="0.25">
      <c r="A2035" t="s">
        <v>493</v>
      </c>
      <c r="B2035" t="s">
        <v>175</v>
      </c>
      <c r="C2035" s="2">
        <f>C2036/($C$2034+$C$2036+$C$2038+$C$2040+$C$2042+$C$2044+$C$2023+$C$2019)</f>
        <v>2.801797888233991E-4</v>
      </c>
      <c r="D2035" t="s">
        <v>256</v>
      </c>
      <c r="E2035" t="s">
        <v>494</v>
      </c>
      <c r="F2035" t="s">
        <v>493</v>
      </c>
      <c r="G2035" t="s">
        <v>245</v>
      </c>
      <c r="H2035" t="s">
        <v>471</v>
      </c>
    </row>
    <row r="2036" spans="1:8" x14ac:dyDescent="0.25">
      <c r="A2036" t="s">
        <v>464</v>
      </c>
      <c r="B2036" t="s">
        <v>175</v>
      </c>
      <c r="C2036" s="2">
        <v>1.8610631746354009E-4</v>
      </c>
      <c r="D2036" t="s">
        <v>254</v>
      </c>
      <c r="E2036" t="s">
        <v>467</v>
      </c>
      <c r="F2036" t="s">
        <v>468</v>
      </c>
      <c r="G2036" t="s">
        <v>245</v>
      </c>
    </row>
    <row r="2037" spans="1:8" x14ac:dyDescent="0.25">
      <c r="A2037" t="s">
        <v>493</v>
      </c>
      <c r="B2037" t="s">
        <v>203</v>
      </c>
      <c r="C2037" s="2">
        <f>C2038/($C$2034+$C$2036+$C$2038+$C$2040+$C$2042+$C$2044+$C$2023+$C$2019)</f>
        <v>9.5515837098886068E-5</v>
      </c>
      <c r="D2037" t="s">
        <v>256</v>
      </c>
      <c r="E2037" t="s">
        <v>494</v>
      </c>
      <c r="F2037" t="s">
        <v>493</v>
      </c>
      <c r="G2037" t="s">
        <v>245</v>
      </c>
      <c r="H2037" t="s">
        <v>471</v>
      </c>
    </row>
    <row r="2038" spans="1:8" x14ac:dyDescent="0.25">
      <c r="A2038" t="s">
        <v>464</v>
      </c>
      <c r="B2038" t="s">
        <v>203</v>
      </c>
      <c r="C2038" s="2">
        <v>6.3445335498934122E-5</v>
      </c>
      <c r="D2038" t="s">
        <v>254</v>
      </c>
      <c r="E2038" t="s">
        <v>467</v>
      </c>
      <c r="F2038" t="s">
        <v>468</v>
      </c>
      <c r="G2038" t="s">
        <v>245</v>
      </c>
    </row>
    <row r="2039" spans="1:8" x14ac:dyDescent="0.25">
      <c r="A2039" t="s">
        <v>493</v>
      </c>
      <c r="B2039" t="s">
        <v>178</v>
      </c>
      <c r="C2039" s="2">
        <f>C2040/($C$2034+$C$2036+$C$2038+$C$2040+$C$2042+$C$2044+$C$2023+$C$2019)</f>
        <v>5.6672730012005722E-3</v>
      </c>
      <c r="D2039" t="s">
        <v>256</v>
      </c>
      <c r="E2039" t="s">
        <v>494</v>
      </c>
      <c r="F2039" t="s">
        <v>493</v>
      </c>
      <c r="G2039" t="s">
        <v>245</v>
      </c>
      <c r="H2039" t="s">
        <v>471</v>
      </c>
    </row>
    <row r="2040" spans="1:8" x14ac:dyDescent="0.25">
      <c r="A2040" t="s">
        <v>464</v>
      </c>
      <c r="B2040" t="s">
        <v>178</v>
      </c>
      <c r="C2040" s="2">
        <v>3.7644232396034242E-3</v>
      </c>
      <c r="D2040" t="s">
        <v>254</v>
      </c>
      <c r="E2040" t="s">
        <v>467</v>
      </c>
      <c r="F2040" t="s">
        <v>468</v>
      </c>
      <c r="G2040" t="s">
        <v>245</v>
      </c>
    </row>
    <row r="2041" spans="1:8" x14ac:dyDescent="0.25">
      <c r="A2041" t="s">
        <v>493</v>
      </c>
      <c r="B2041" t="s">
        <v>113</v>
      </c>
      <c r="C2041" s="2">
        <f>C2042/($C$2034+$C$2036+$C$2038+$C$2040+$C$2042+$C$2044+$C$2023+$C$2019)</f>
        <v>7.6412669679108841E-2</v>
      </c>
      <c r="D2041" t="s">
        <v>256</v>
      </c>
      <c r="E2041" t="s">
        <v>494</v>
      </c>
      <c r="F2041" t="s">
        <v>493</v>
      </c>
      <c r="G2041" t="s">
        <v>245</v>
      </c>
      <c r="H2041" t="s">
        <v>471</v>
      </c>
    </row>
    <row r="2042" spans="1:8" x14ac:dyDescent="0.25">
      <c r="A2042" t="s">
        <v>464</v>
      </c>
      <c r="B2042" t="s">
        <v>113</v>
      </c>
      <c r="C2042" s="2">
        <v>5.0756268399147292E-2</v>
      </c>
      <c r="D2042" t="s">
        <v>254</v>
      </c>
      <c r="E2042" t="s">
        <v>467</v>
      </c>
      <c r="F2042" t="s">
        <v>468</v>
      </c>
      <c r="G2042" t="s">
        <v>245</v>
      </c>
    </row>
    <row r="2043" spans="1:8" x14ac:dyDescent="0.25">
      <c r="A2043" t="s">
        <v>493</v>
      </c>
      <c r="B2043" t="s">
        <v>158</v>
      </c>
      <c r="C2043" s="2">
        <f>C2044/($C$2034+$C$2036+$C$2038+$C$2040+$C$2042+$C$2044+$C$2023+$C$2019)</f>
        <v>1.4047195776009509E-2</v>
      </c>
      <c r="D2043" t="s">
        <v>256</v>
      </c>
      <c r="E2043" t="s">
        <v>494</v>
      </c>
      <c r="F2043" t="s">
        <v>493</v>
      </c>
      <c r="G2043" t="s">
        <v>245</v>
      </c>
      <c r="H2043" t="s">
        <v>471</v>
      </c>
    </row>
    <row r="2044" spans="1:8" x14ac:dyDescent="0.25">
      <c r="A2044" t="s">
        <v>464</v>
      </c>
      <c r="B2044" t="s">
        <v>158</v>
      </c>
      <c r="C2044" s="2">
        <v>9.3306940073765773E-3</v>
      </c>
      <c r="D2044" t="s">
        <v>254</v>
      </c>
      <c r="E2044" t="s">
        <v>467</v>
      </c>
      <c r="F2044" t="s">
        <v>468</v>
      </c>
      <c r="G2044" t="s">
        <v>245</v>
      </c>
    </row>
    <row r="2045" spans="1:8" x14ac:dyDescent="0.25">
      <c r="A2045" t="s">
        <v>374</v>
      </c>
      <c r="B2045" t="s">
        <v>83</v>
      </c>
      <c r="C2045" s="4">
        <v>2.888830454684797E-2</v>
      </c>
      <c r="D2045" t="s">
        <v>333</v>
      </c>
      <c r="E2045" t="s">
        <v>373</v>
      </c>
      <c r="F2045" t="s">
        <v>374</v>
      </c>
      <c r="G2045" t="s">
        <v>245</v>
      </c>
      <c r="H2045" t="s">
        <v>615</v>
      </c>
    </row>
    <row r="2046" spans="1:8" x14ac:dyDescent="0.25">
      <c r="A2046" t="s">
        <v>374</v>
      </c>
      <c r="B2046" t="s">
        <v>181</v>
      </c>
      <c r="C2046" s="4">
        <v>2.4912062039326881E-2</v>
      </c>
      <c r="D2046" t="s">
        <v>256</v>
      </c>
      <c r="E2046" t="s">
        <v>373</v>
      </c>
      <c r="F2046" t="s">
        <v>374</v>
      </c>
      <c r="G2046" t="s">
        <v>245</v>
      </c>
    </row>
    <row r="2047" spans="1:8" x14ac:dyDescent="0.25">
      <c r="A2047" t="s">
        <v>374</v>
      </c>
      <c r="B2047" t="s">
        <v>85</v>
      </c>
      <c r="C2047" s="4">
        <v>8.523514932486119E-2</v>
      </c>
      <c r="D2047" t="s">
        <v>256</v>
      </c>
      <c r="E2047" t="s">
        <v>373</v>
      </c>
      <c r="F2047" t="s">
        <v>374</v>
      </c>
      <c r="G2047" t="s">
        <v>245</v>
      </c>
    </row>
    <row r="2048" spans="1:8" x14ac:dyDescent="0.25">
      <c r="A2048" t="s">
        <v>374</v>
      </c>
      <c r="B2048" t="s">
        <v>116</v>
      </c>
      <c r="C2048" s="4">
        <v>5.377773512264406E-3</v>
      </c>
      <c r="D2048" t="s">
        <v>256</v>
      </c>
      <c r="E2048" t="s">
        <v>373</v>
      </c>
      <c r="F2048" t="s">
        <v>374</v>
      </c>
      <c r="G2048" t="s">
        <v>245</v>
      </c>
    </row>
    <row r="2049" spans="1:7" x14ac:dyDescent="0.25">
      <c r="A2049" t="s">
        <v>374</v>
      </c>
      <c r="B2049" t="s">
        <v>86</v>
      </c>
      <c r="C2049" s="4">
        <v>0.61780374277799432</v>
      </c>
      <c r="D2049" t="s">
        <v>256</v>
      </c>
      <c r="E2049" t="s">
        <v>373</v>
      </c>
      <c r="F2049" t="s">
        <v>374</v>
      </c>
      <c r="G2049" t="s">
        <v>245</v>
      </c>
    </row>
    <row r="2050" spans="1:7" x14ac:dyDescent="0.25">
      <c r="A2050" t="s">
        <v>374</v>
      </c>
      <c r="B2050" t="s">
        <v>87</v>
      </c>
      <c r="C2050" s="4">
        <v>3.7618806140554353E-5</v>
      </c>
      <c r="D2050" t="s">
        <v>256</v>
      </c>
      <c r="E2050" t="s">
        <v>373</v>
      </c>
      <c r="F2050" t="s">
        <v>374</v>
      </c>
      <c r="G2050" t="s">
        <v>245</v>
      </c>
    </row>
    <row r="2051" spans="1:7" x14ac:dyDescent="0.25">
      <c r="A2051" t="s">
        <v>374</v>
      </c>
      <c r="B2051" t="s">
        <v>154</v>
      </c>
      <c r="C2051" s="4">
        <v>2.9859511236828939E-3</v>
      </c>
      <c r="D2051" t="s">
        <v>256</v>
      </c>
      <c r="E2051" t="s">
        <v>373</v>
      </c>
      <c r="F2051" t="s">
        <v>374</v>
      </c>
      <c r="G2051" t="s">
        <v>245</v>
      </c>
    </row>
    <row r="2052" spans="1:7" x14ac:dyDescent="0.25">
      <c r="A2052" t="s">
        <v>374</v>
      </c>
      <c r="B2052" t="s">
        <v>93</v>
      </c>
      <c r="C2052" s="4">
        <v>1.2257239060938049E-2</v>
      </c>
      <c r="D2052" t="s">
        <v>333</v>
      </c>
      <c r="E2052" t="s">
        <v>373</v>
      </c>
      <c r="F2052" t="s">
        <v>374</v>
      </c>
      <c r="G2052" t="s">
        <v>245</v>
      </c>
    </row>
    <row r="2053" spans="1:7" x14ac:dyDescent="0.25">
      <c r="A2053" t="s">
        <v>374</v>
      </c>
      <c r="B2053" t="s">
        <v>196</v>
      </c>
      <c r="C2053" s="4">
        <v>1.8213366506001201E-4</v>
      </c>
      <c r="D2053" t="s">
        <v>256</v>
      </c>
      <c r="E2053" t="s">
        <v>373</v>
      </c>
      <c r="F2053" t="s">
        <v>374</v>
      </c>
      <c r="G2053" t="s">
        <v>245</v>
      </c>
    </row>
    <row r="2054" spans="1:7" x14ac:dyDescent="0.25">
      <c r="A2054" t="s">
        <v>374</v>
      </c>
      <c r="B2054" t="s">
        <v>97</v>
      </c>
      <c r="C2054" s="4">
        <v>3.7789358386229018E-3</v>
      </c>
      <c r="D2054" t="s">
        <v>256</v>
      </c>
      <c r="E2054" t="s">
        <v>373</v>
      </c>
      <c r="F2054" t="s">
        <v>374</v>
      </c>
      <c r="G2054" t="s">
        <v>245</v>
      </c>
    </row>
    <row r="2055" spans="1:7" x14ac:dyDescent="0.25">
      <c r="A2055" t="s">
        <v>374</v>
      </c>
      <c r="B2055" t="s">
        <v>99</v>
      </c>
      <c r="C2055" s="4">
        <v>6.6115051792024256E-3</v>
      </c>
      <c r="D2055" t="s">
        <v>256</v>
      </c>
      <c r="E2055" t="s">
        <v>373</v>
      </c>
      <c r="F2055" t="s">
        <v>374</v>
      </c>
      <c r="G2055" t="s">
        <v>245</v>
      </c>
    </row>
    <row r="2056" spans="1:7" x14ac:dyDescent="0.25">
      <c r="A2056" t="s">
        <v>374</v>
      </c>
      <c r="B2056" t="s">
        <v>222</v>
      </c>
      <c r="C2056" s="4">
        <v>3.543274120781887E-3</v>
      </c>
      <c r="D2056" t="s">
        <v>256</v>
      </c>
      <c r="E2056" t="s">
        <v>373</v>
      </c>
      <c r="F2056" t="s">
        <v>374</v>
      </c>
      <c r="G2056" t="s">
        <v>245</v>
      </c>
    </row>
    <row r="2057" spans="1:7" x14ac:dyDescent="0.25">
      <c r="A2057" t="s">
        <v>374</v>
      </c>
      <c r="B2057" t="s">
        <v>149</v>
      </c>
      <c r="C2057" s="4">
        <v>5.3296808519975843E-3</v>
      </c>
      <c r="D2057" t="s">
        <v>256</v>
      </c>
      <c r="E2057" t="s">
        <v>373</v>
      </c>
      <c r="F2057" t="s">
        <v>374</v>
      </c>
      <c r="G2057" t="s">
        <v>245</v>
      </c>
    </row>
    <row r="2058" spans="1:7" x14ac:dyDescent="0.25">
      <c r="A2058" t="s">
        <v>374</v>
      </c>
      <c r="B2058" t="s">
        <v>150</v>
      </c>
      <c r="C2058" s="4">
        <v>1.2983481765324069E-3</v>
      </c>
      <c r="D2058" t="s">
        <v>256</v>
      </c>
      <c r="E2058" t="s">
        <v>373</v>
      </c>
      <c r="F2058" t="s">
        <v>374</v>
      </c>
      <c r="G2058" t="s">
        <v>245</v>
      </c>
    </row>
    <row r="2059" spans="1:7" x14ac:dyDescent="0.25">
      <c r="A2059" t="s">
        <v>374</v>
      </c>
      <c r="B2059" t="s">
        <v>130</v>
      </c>
      <c r="C2059" s="4">
        <v>9.0177003077065981E-3</v>
      </c>
      <c r="D2059" t="s">
        <v>333</v>
      </c>
      <c r="E2059" t="s">
        <v>373</v>
      </c>
      <c r="F2059" t="s">
        <v>374</v>
      </c>
      <c r="G2059" t="s">
        <v>245</v>
      </c>
    </row>
    <row r="2060" spans="1:7" x14ac:dyDescent="0.25">
      <c r="A2060" t="s">
        <v>374</v>
      </c>
      <c r="B2060" t="s">
        <v>106</v>
      </c>
      <c r="C2060" s="4">
        <v>7.5245935025830058E-4</v>
      </c>
      <c r="D2060" t="s">
        <v>256</v>
      </c>
      <c r="E2060" t="s">
        <v>373</v>
      </c>
      <c r="F2060" t="s">
        <v>374</v>
      </c>
      <c r="G2060" t="s">
        <v>245</v>
      </c>
    </row>
    <row r="2061" spans="1:7" x14ac:dyDescent="0.25">
      <c r="A2061" t="s">
        <v>374</v>
      </c>
      <c r="B2061" t="s">
        <v>156</v>
      </c>
      <c r="C2061" s="4">
        <v>4.8656046063344616E-6</v>
      </c>
      <c r="D2061" t="s">
        <v>256</v>
      </c>
      <c r="E2061" t="s">
        <v>373</v>
      </c>
      <c r="F2061" t="s">
        <v>374</v>
      </c>
      <c r="G2061" t="s">
        <v>245</v>
      </c>
    </row>
    <row r="2062" spans="1:7" x14ac:dyDescent="0.25">
      <c r="A2062" t="s">
        <v>374</v>
      </c>
      <c r="B2062" t="s">
        <v>151</v>
      </c>
      <c r="C2062" s="4">
        <v>2.7310766697581819E-3</v>
      </c>
      <c r="D2062" t="s">
        <v>333</v>
      </c>
      <c r="E2062" t="s">
        <v>373</v>
      </c>
      <c r="F2062" t="s">
        <v>374</v>
      </c>
      <c r="G2062" t="s">
        <v>245</v>
      </c>
    </row>
    <row r="2063" spans="1:7" x14ac:dyDescent="0.25">
      <c r="A2063" t="s">
        <v>374</v>
      </c>
      <c r="B2063" t="s">
        <v>107</v>
      </c>
      <c r="C2063" s="4">
        <v>8.3227447213615816E-2</v>
      </c>
      <c r="D2063" t="s">
        <v>333</v>
      </c>
      <c r="E2063" t="s">
        <v>373</v>
      </c>
      <c r="F2063" t="s">
        <v>374</v>
      </c>
      <c r="G2063" t="s">
        <v>245</v>
      </c>
    </row>
    <row r="2064" spans="1:7" x14ac:dyDescent="0.25">
      <c r="A2064" t="s">
        <v>374</v>
      </c>
      <c r="B2064" t="s">
        <v>108</v>
      </c>
      <c r="C2064" s="4">
        <v>9.3345984161394262E-3</v>
      </c>
      <c r="D2064" t="s">
        <v>256</v>
      </c>
      <c r="E2064" t="s">
        <v>373</v>
      </c>
      <c r="F2064" t="s">
        <v>374</v>
      </c>
      <c r="G2064" t="s">
        <v>245</v>
      </c>
    </row>
    <row r="2065" spans="1:8" x14ac:dyDescent="0.25">
      <c r="A2065" t="s">
        <v>374</v>
      </c>
      <c r="B2065" t="s">
        <v>135</v>
      </c>
      <c r="C2065" s="4">
        <v>1.8785715258377911E-2</v>
      </c>
      <c r="D2065" t="s">
        <v>333</v>
      </c>
      <c r="E2065" t="s">
        <v>373</v>
      </c>
      <c r="F2065" t="s">
        <v>374</v>
      </c>
      <c r="G2065" t="s">
        <v>245</v>
      </c>
    </row>
    <row r="2066" spans="1:8" x14ac:dyDescent="0.25">
      <c r="A2066" t="s">
        <v>374</v>
      </c>
      <c r="B2066" t="s">
        <v>137</v>
      </c>
      <c r="C2066" s="4">
        <v>2.4968234164084738E-4</v>
      </c>
      <c r="D2066" t="s">
        <v>256</v>
      </c>
      <c r="E2066" t="s">
        <v>373</v>
      </c>
      <c r="F2066" t="s">
        <v>374</v>
      </c>
      <c r="G2066" t="s">
        <v>245</v>
      </c>
    </row>
    <row r="2067" spans="1:8" x14ac:dyDescent="0.25">
      <c r="A2067" t="s">
        <v>374</v>
      </c>
      <c r="B2067" t="s">
        <v>121</v>
      </c>
      <c r="C2067" s="4">
        <v>2.2359079302383181E-2</v>
      </c>
      <c r="D2067" t="s">
        <v>333</v>
      </c>
      <c r="E2067" t="s">
        <v>373</v>
      </c>
      <c r="F2067" t="s">
        <v>374</v>
      </c>
      <c r="G2067" t="s">
        <v>245</v>
      </c>
    </row>
    <row r="2068" spans="1:8" x14ac:dyDescent="0.25">
      <c r="A2068" t="s">
        <v>374</v>
      </c>
      <c r="B2068" t="s">
        <v>112</v>
      </c>
      <c r="C2068" s="4">
        <v>5.5295656511259957E-2</v>
      </c>
      <c r="D2068" t="s">
        <v>256</v>
      </c>
      <c r="E2068" t="s">
        <v>373</v>
      </c>
      <c r="F2068" t="s">
        <v>374</v>
      </c>
      <c r="G2068" t="s">
        <v>245</v>
      </c>
    </row>
    <row r="2069" spans="1:8" x14ac:dyDescent="0.25">
      <c r="A2069" t="s">
        <v>376</v>
      </c>
      <c r="B2069" t="s">
        <v>85</v>
      </c>
      <c r="C2069" s="4">
        <v>1.866335486786953E-2</v>
      </c>
      <c r="D2069" t="s">
        <v>256</v>
      </c>
      <c r="E2069" t="s">
        <v>377</v>
      </c>
      <c r="F2069" t="s">
        <v>376</v>
      </c>
      <c r="G2069" t="s">
        <v>245</v>
      </c>
    </row>
    <row r="2070" spans="1:8" x14ac:dyDescent="0.25">
      <c r="A2070" t="s">
        <v>376</v>
      </c>
      <c r="B2070" t="s">
        <v>86</v>
      </c>
      <c r="C2070" s="4">
        <v>0.90835339305877372</v>
      </c>
      <c r="D2070" t="s">
        <v>254</v>
      </c>
      <c r="E2070" t="s">
        <v>375</v>
      </c>
      <c r="F2070" t="s">
        <v>376</v>
      </c>
      <c r="G2070" t="s">
        <v>245</v>
      </c>
    </row>
    <row r="2071" spans="1:8" x14ac:dyDescent="0.25">
      <c r="A2071" t="s">
        <v>376</v>
      </c>
      <c r="B2071" t="s">
        <v>222</v>
      </c>
      <c r="C2071" s="4">
        <v>2.072240977992253E-2</v>
      </c>
      <c r="D2071" t="s">
        <v>354</v>
      </c>
      <c r="E2071" t="s">
        <v>377</v>
      </c>
      <c r="F2071" t="s">
        <v>376</v>
      </c>
      <c r="G2071" t="s">
        <v>245</v>
      </c>
    </row>
    <row r="2072" spans="1:8" x14ac:dyDescent="0.25">
      <c r="A2072" t="s">
        <v>376</v>
      </c>
      <c r="B2072" t="s">
        <v>148</v>
      </c>
      <c r="C2072" s="4">
        <v>6.3090253955515492E-4</v>
      </c>
      <c r="D2072" t="s">
        <v>256</v>
      </c>
      <c r="E2072" t="s">
        <v>377</v>
      </c>
      <c r="F2072" t="s">
        <v>376</v>
      </c>
      <c r="G2072" t="s">
        <v>245</v>
      </c>
    </row>
    <row r="2073" spans="1:8" x14ac:dyDescent="0.25">
      <c r="A2073" t="s">
        <v>376</v>
      </c>
      <c r="B2073" t="s">
        <v>103</v>
      </c>
      <c r="C2073" s="4">
        <v>6.0858765873487611E-6</v>
      </c>
      <c r="D2073" t="s">
        <v>256</v>
      </c>
      <c r="E2073" t="s">
        <v>377</v>
      </c>
      <c r="F2073" t="s">
        <v>376</v>
      </c>
      <c r="G2073" t="s">
        <v>245</v>
      </c>
    </row>
    <row r="2074" spans="1:8" x14ac:dyDescent="0.25">
      <c r="A2074" t="s">
        <v>376</v>
      </c>
      <c r="B2074" t="s">
        <v>107</v>
      </c>
      <c r="C2074" s="4">
        <v>1.510859435319912E-2</v>
      </c>
      <c r="D2074" t="s">
        <v>256</v>
      </c>
      <c r="E2074" t="s">
        <v>377</v>
      </c>
      <c r="F2074" t="s">
        <v>376</v>
      </c>
      <c r="G2074" t="s">
        <v>245</v>
      </c>
    </row>
    <row r="2075" spans="1:8" x14ac:dyDescent="0.25">
      <c r="A2075" t="s">
        <v>376</v>
      </c>
      <c r="B2075" t="s">
        <v>112</v>
      </c>
      <c r="C2075" s="4">
        <v>4.4629761640557581E-3</v>
      </c>
      <c r="D2075" t="s">
        <v>256</v>
      </c>
      <c r="E2075" t="s">
        <v>377</v>
      </c>
      <c r="F2075" t="s">
        <v>376</v>
      </c>
      <c r="G2075" t="s">
        <v>245</v>
      </c>
    </row>
    <row r="2076" spans="1:8" x14ac:dyDescent="0.25">
      <c r="A2076" t="s">
        <v>376</v>
      </c>
      <c r="B2076" t="s">
        <v>113</v>
      </c>
      <c r="C2076" s="4">
        <v>3.2052283360036807E-2</v>
      </c>
      <c r="D2076" t="s">
        <v>256</v>
      </c>
      <c r="E2076" t="s">
        <v>377</v>
      </c>
      <c r="F2076" t="s">
        <v>376</v>
      </c>
      <c r="G2076" t="s">
        <v>245</v>
      </c>
    </row>
    <row r="2077" spans="1:8" x14ac:dyDescent="0.25">
      <c r="A2077" t="s">
        <v>385</v>
      </c>
      <c r="B2077" t="s">
        <v>83</v>
      </c>
      <c r="C2077" s="4">
        <v>0.11966302713727529</v>
      </c>
      <c r="D2077" t="s">
        <v>242</v>
      </c>
      <c r="E2077" t="s">
        <v>384</v>
      </c>
      <c r="F2077" t="s">
        <v>385</v>
      </c>
      <c r="G2077" t="s">
        <v>245</v>
      </c>
      <c r="H2077" t="s">
        <v>616</v>
      </c>
    </row>
    <row r="2078" spans="1:8" x14ac:dyDescent="0.25">
      <c r="A2078" t="s">
        <v>385</v>
      </c>
      <c r="B2078" t="s">
        <v>144</v>
      </c>
      <c r="C2078" s="4">
        <v>5.0946559961454778E-5</v>
      </c>
      <c r="D2078" t="s">
        <v>242</v>
      </c>
      <c r="E2078" t="s">
        <v>384</v>
      </c>
      <c r="F2078" t="s">
        <v>385</v>
      </c>
      <c r="G2078" t="s">
        <v>245</v>
      </c>
    </row>
    <row r="2079" spans="1:8" x14ac:dyDescent="0.25">
      <c r="A2079" t="s">
        <v>385</v>
      </c>
      <c r="B2079" t="s">
        <v>85</v>
      </c>
      <c r="C2079" s="4">
        <v>5.2589480228827611E-2</v>
      </c>
      <c r="D2079" t="s">
        <v>242</v>
      </c>
      <c r="E2079" t="s">
        <v>384</v>
      </c>
      <c r="F2079" t="s">
        <v>385</v>
      </c>
      <c r="G2079" t="s">
        <v>245</v>
      </c>
    </row>
    <row r="2080" spans="1:8" x14ac:dyDescent="0.25">
      <c r="A2080" t="s">
        <v>385</v>
      </c>
      <c r="B2080" t="s">
        <v>147</v>
      </c>
      <c r="C2080" s="4">
        <v>7.3304402822237102E-6</v>
      </c>
      <c r="D2080" t="s">
        <v>242</v>
      </c>
      <c r="E2080" t="s">
        <v>384</v>
      </c>
      <c r="F2080" t="s">
        <v>385</v>
      </c>
      <c r="G2080" t="s">
        <v>245</v>
      </c>
    </row>
    <row r="2081" spans="1:7" x14ac:dyDescent="0.25">
      <c r="A2081" t="s">
        <v>385</v>
      </c>
      <c r="B2081" t="s">
        <v>86</v>
      </c>
      <c r="C2081" s="4">
        <v>0.1435300207259402</v>
      </c>
      <c r="D2081" t="s">
        <v>242</v>
      </c>
      <c r="E2081" t="s">
        <v>384</v>
      </c>
      <c r="F2081" t="s">
        <v>385</v>
      </c>
      <c r="G2081" t="s">
        <v>245</v>
      </c>
    </row>
    <row r="2082" spans="1:7" x14ac:dyDescent="0.25">
      <c r="A2082" t="s">
        <v>385</v>
      </c>
      <c r="B2082" t="s">
        <v>87</v>
      </c>
      <c r="C2082" s="4">
        <v>4.8894036682432148E-6</v>
      </c>
      <c r="D2082" t="s">
        <v>242</v>
      </c>
      <c r="E2082" t="s">
        <v>384</v>
      </c>
      <c r="F2082" t="s">
        <v>385</v>
      </c>
      <c r="G2082" t="s">
        <v>245</v>
      </c>
    </row>
    <row r="2083" spans="1:7" x14ac:dyDescent="0.25">
      <c r="A2083" t="s">
        <v>385</v>
      </c>
      <c r="B2083" t="s">
        <v>159</v>
      </c>
      <c r="C2083" s="4">
        <v>1.092931993878144E-4</v>
      </c>
      <c r="D2083" t="s">
        <v>242</v>
      </c>
      <c r="E2083" t="s">
        <v>384</v>
      </c>
      <c r="F2083" t="s">
        <v>385</v>
      </c>
      <c r="G2083" t="s">
        <v>245</v>
      </c>
    </row>
    <row r="2084" spans="1:7" x14ac:dyDescent="0.25">
      <c r="A2084" t="s">
        <v>385</v>
      </c>
      <c r="B2084" t="s">
        <v>128</v>
      </c>
      <c r="C2084" s="4">
        <v>2.033442142968011E-3</v>
      </c>
      <c r="D2084" t="s">
        <v>242</v>
      </c>
      <c r="E2084" t="s">
        <v>384</v>
      </c>
      <c r="F2084" t="s">
        <v>385</v>
      </c>
      <c r="G2084" t="s">
        <v>245</v>
      </c>
    </row>
    <row r="2085" spans="1:7" x14ac:dyDescent="0.25">
      <c r="A2085" t="s">
        <v>385</v>
      </c>
      <c r="B2085" t="s">
        <v>195</v>
      </c>
      <c r="C2085" s="4">
        <v>0.1326626430075436</v>
      </c>
      <c r="D2085" t="s">
        <v>242</v>
      </c>
      <c r="E2085" t="s">
        <v>384</v>
      </c>
      <c r="F2085" t="s">
        <v>385</v>
      </c>
      <c r="G2085" t="s">
        <v>245</v>
      </c>
    </row>
    <row r="2086" spans="1:7" x14ac:dyDescent="0.25">
      <c r="A2086" t="s">
        <v>385</v>
      </c>
      <c r="B2086" t="s">
        <v>169</v>
      </c>
      <c r="C2086" s="4">
        <v>6.0824914676973806E-3</v>
      </c>
      <c r="D2086" t="s">
        <v>242</v>
      </c>
      <c r="E2086" t="s">
        <v>384</v>
      </c>
      <c r="F2086" t="s">
        <v>385</v>
      </c>
      <c r="G2086" t="s">
        <v>245</v>
      </c>
    </row>
    <row r="2087" spans="1:7" x14ac:dyDescent="0.25">
      <c r="A2087" t="s">
        <v>385</v>
      </c>
      <c r="B2087" t="s">
        <v>92</v>
      </c>
      <c r="C2087" s="4">
        <v>6.8290880139135271E-2</v>
      </c>
      <c r="D2087" t="s">
        <v>242</v>
      </c>
      <c r="E2087" t="s">
        <v>384</v>
      </c>
      <c r="F2087" t="s">
        <v>385</v>
      </c>
      <c r="G2087" t="s">
        <v>245</v>
      </c>
    </row>
    <row r="2088" spans="1:7" x14ac:dyDescent="0.25">
      <c r="A2088" t="s">
        <v>385</v>
      </c>
      <c r="B2088" t="s">
        <v>97</v>
      </c>
      <c r="C2088" s="4">
        <v>4.9389816350039778E-2</v>
      </c>
      <c r="D2088" t="s">
        <v>242</v>
      </c>
      <c r="E2088" t="s">
        <v>384</v>
      </c>
      <c r="F2088" t="s">
        <v>385</v>
      </c>
      <c r="G2088" t="s">
        <v>245</v>
      </c>
    </row>
    <row r="2089" spans="1:7" x14ac:dyDescent="0.25">
      <c r="A2089" t="s">
        <v>385</v>
      </c>
      <c r="B2089" t="s">
        <v>99</v>
      </c>
      <c r="C2089" s="4">
        <v>3.4451200064179472E-3</v>
      </c>
      <c r="D2089" t="s">
        <v>242</v>
      </c>
      <c r="E2089" t="s">
        <v>384</v>
      </c>
      <c r="F2089" t="s">
        <v>385</v>
      </c>
      <c r="G2089" t="s">
        <v>245</v>
      </c>
    </row>
    <row r="2090" spans="1:7" x14ac:dyDescent="0.25">
      <c r="A2090" t="s">
        <v>385</v>
      </c>
      <c r="B2090" t="s">
        <v>100</v>
      </c>
      <c r="C2090" s="4">
        <v>1.9608029776013849E-2</v>
      </c>
      <c r="D2090" t="s">
        <v>242</v>
      </c>
      <c r="E2090" t="s">
        <v>384</v>
      </c>
      <c r="F2090" t="s">
        <v>385</v>
      </c>
      <c r="G2090" t="s">
        <v>245</v>
      </c>
    </row>
    <row r="2091" spans="1:7" x14ac:dyDescent="0.25">
      <c r="A2091" t="s">
        <v>385</v>
      </c>
      <c r="B2091" t="s">
        <v>102</v>
      </c>
      <c r="C2091" s="4">
        <v>2.23277880556252E-2</v>
      </c>
      <c r="D2091" t="s">
        <v>242</v>
      </c>
      <c r="E2091" t="s">
        <v>384</v>
      </c>
      <c r="F2091" t="s">
        <v>385</v>
      </c>
      <c r="G2091" t="s">
        <v>245</v>
      </c>
    </row>
    <row r="2092" spans="1:7" x14ac:dyDescent="0.25">
      <c r="A2092" t="s">
        <v>385</v>
      </c>
      <c r="B2092" t="s">
        <v>103</v>
      </c>
      <c r="C2092" s="4">
        <v>1.8905212818295231E-2</v>
      </c>
      <c r="D2092" t="s">
        <v>242</v>
      </c>
      <c r="E2092" t="s">
        <v>384</v>
      </c>
      <c r="F2092" t="s">
        <v>385</v>
      </c>
      <c r="G2092" t="s">
        <v>245</v>
      </c>
    </row>
    <row r="2093" spans="1:7" x14ac:dyDescent="0.25">
      <c r="A2093" t="s">
        <v>385</v>
      </c>
      <c r="B2093" t="s">
        <v>150</v>
      </c>
      <c r="C2093" s="4">
        <v>1.018285020918218E-2</v>
      </c>
      <c r="D2093" t="s">
        <v>242</v>
      </c>
      <c r="E2093" t="s">
        <v>384</v>
      </c>
      <c r="F2093" t="s">
        <v>385</v>
      </c>
      <c r="G2093" t="s">
        <v>245</v>
      </c>
    </row>
    <row r="2094" spans="1:7" x14ac:dyDescent="0.25">
      <c r="A2094" t="s">
        <v>385</v>
      </c>
      <c r="B2094" t="s">
        <v>161</v>
      </c>
      <c r="C2094" s="4">
        <v>1.5314865794226009E-3</v>
      </c>
      <c r="D2094" t="s">
        <v>242</v>
      </c>
      <c r="E2094" t="s">
        <v>384</v>
      </c>
      <c r="F2094" t="s">
        <v>385</v>
      </c>
      <c r="G2094" t="s">
        <v>245</v>
      </c>
    </row>
    <row r="2095" spans="1:7" x14ac:dyDescent="0.25">
      <c r="A2095" t="s">
        <v>385</v>
      </c>
      <c r="B2095" t="s">
        <v>174</v>
      </c>
      <c r="C2095" s="4">
        <v>1.098099954277112E-2</v>
      </c>
      <c r="D2095" t="s">
        <v>242</v>
      </c>
      <c r="E2095" t="s">
        <v>384</v>
      </c>
      <c r="F2095" t="s">
        <v>385</v>
      </c>
      <c r="G2095" t="s">
        <v>245</v>
      </c>
    </row>
    <row r="2096" spans="1:7" x14ac:dyDescent="0.25">
      <c r="A2096" t="s">
        <v>385</v>
      </c>
      <c r="B2096" t="s">
        <v>175</v>
      </c>
      <c r="C2096" s="4">
        <v>5.7975352626064988E-4</v>
      </c>
      <c r="D2096" t="s">
        <v>242</v>
      </c>
      <c r="E2096" t="s">
        <v>384</v>
      </c>
      <c r="F2096" t="s">
        <v>385</v>
      </c>
      <c r="G2096" t="s">
        <v>245</v>
      </c>
    </row>
    <row r="2097" spans="1:8" x14ac:dyDescent="0.25">
      <c r="A2097" t="s">
        <v>385</v>
      </c>
      <c r="B2097" t="s">
        <v>133</v>
      </c>
      <c r="C2097" s="4">
        <v>5.7983782632389552E-4</v>
      </c>
      <c r="D2097" t="s">
        <v>242</v>
      </c>
      <c r="E2097" t="s">
        <v>384</v>
      </c>
      <c r="F2097" t="s">
        <v>385</v>
      </c>
      <c r="G2097" t="s">
        <v>245</v>
      </c>
    </row>
    <row r="2098" spans="1:8" x14ac:dyDescent="0.25">
      <c r="A2098" t="s">
        <v>385</v>
      </c>
      <c r="B2098" t="s">
        <v>146</v>
      </c>
      <c r="C2098" s="4">
        <v>4.8879375801867697E-4</v>
      </c>
      <c r="D2098" t="s">
        <v>242</v>
      </c>
      <c r="E2098" t="s">
        <v>384</v>
      </c>
      <c r="F2098" t="s">
        <v>385</v>
      </c>
      <c r="G2098" t="s">
        <v>245</v>
      </c>
    </row>
    <row r="2099" spans="1:8" x14ac:dyDescent="0.25">
      <c r="A2099" t="s">
        <v>385</v>
      </c>
      <c r="B2099" t="s">
        <v>120</v>
      </c>
      <c r="C2099" s="4">
        <v>5.0213515933232415E-4</v>
      </c>
      <c r="D2099" t="s">
        <v>242</v>
      </c>
      <c r="E2099" t="s">
        <v>384</v>
      </c>
      <c r="F2099" t="s">
        <v>385</v>
      </c>
      <c r="G2099" t="s">
        <v>245</v>
      </c>
    </row>
    <row r="2100" spans="1:8" x14ac:dyDescent="0.25">
      <c r="A2100" t="s">
        <v>385</v>
      </c>
      <c r="B2100" t="s">
        <v>137</v>
      </c>
      <c r="C2100" s="4">
        <v>0.29844764952144609</v>
      </c>
      <c r="D2100" t="s">
        <v>242</v>
      </c>
      <c r="E2100" t="s">
        <v>384</v>
      </c>
      <c r="F2100" t="s">
        <v>385</v>
      </c>
      <c r="G2100" t="s">
        <v>245</v>
      </c>
    </row>
    <row r="2101" spans="1:8" x14ac:dyDescent="0.25">
      <c r="A2101" t="s">
        <v>385</v>
      </c>
      <c r="B2101" t="s">
        <v>157</v>
      </c>
      <c r="C2101" s="4">
        <v>3.2986981270006703E-5</v>
      </c>
      <c r="D2101" t="s">
        <v>242</v>
      </c>
      <c r="E2101" t="s">
        <v>384</v>
      </c>
      <c r="F2101" t="s">
        <v>385</v>
      </c>
      <c r="G2101" t="s">
        <v>245</v>
      </c>
    </row>
    <row r="2102" spans="1:8" x14ac:dyDescent="0.25">
      <c r="A2102" t="s">
        <v>385</v>
      </c>
      <c r="B2102" t="s">
        <v>215</v>
      </c>
      <c r="C2102" s="4">
        <v>6.6780310971057994E-5</v>
      </c>
      <c r="D2102" t="s">
        <v>242</v>
      </c>
      <c r="E2102" t="s">
        <v>384</v>
      </c>
      <c r="F2102" t="s">
        <v>385</v>
      </c>
      <c r="G2102" t="s">
        <v>245</v>
      </c>
    </row>
    <row r="2103" spans="1:8" x14ac:dyDescent="0.25">
      <c r="A2103" t="s">
        <v>385</v>
      </c>
      <c r="B2103" t="s">
        <v>112</v>
      </c>
      <c r="C2103" s="4">
        <v>1.706841706633815E-3</v>
      </c>
      <c r="D2103" t="s">
        <v>242</v>
      </c>
      <c r="E2103" t="s">
        <v>384</v>
      </c>
      <c r="F2103" t="s">
        <v>385</v>
      </c>
      <c r="G2103" t="s">
        <v>245</v>
      </c>
    </row>
    <row r="2104" spans="1:8" x14ac:dyDescent="0.25">
      <c r="A2104" t="s">
        <v>385</v>
      </c>
      <c r="B2104" t="s">
        <v>122</v>
      </c>
      <c r="C2104" s="4">
        <v>3.3564502677201409E-2</v>
      </c>
      <c r="D2104" t="s">
        <v>242</v>
      </c>
      <c r="E2104" t="s">
        <v>384</v>
      </c>
      <c r="F2104" t="s">
        <v>385</v>
      </c>
      <c r="G2104" t="s">
        <v>245</v>
      </c>
    </row>
    <row r="2105" spans="1:8" x14ac:dyDescent="0.25">
      <c r="A2105" t="s">
        <v>385</v>
      </c>
      <c r="B2105" t="s">
        <v>115</v>
      </c>
      <c r="C2105" s="4">
        <v>1.29858749599593E-3</v>
      </c>
      <c r="D2105" t="s">
        <v>242</v>
      </c>
      <c r="E2105" t="s">
        <v>384</v>
      </c>
      <c r="F2105" t="s">
        <v>385</v>
      </c>
      <c r="G2105" t="s">
        <v>245</v>
      </c>
    </row>
    <row r="2106" spans="1:8" x14ac:dyDescent="0.25">
      <c r="A2106" t="s">
        <v>385</v>
      </c>
      <c r="B2106" t="s">
        <v>143</v>
      </c>
      <c r="C2106" s="4">
        <v>1.3363832460910759E-3</v>
      </c>
      <c r="D2106" t="s">
        <v>242</v>
      </c>
      <c r="E2106" t="s">
        <v>384</v>
      </c>
      <c r="F2106" t="s">
        <v>385</v>
      </c>
      <c r="G2106" t="s">
        <v>245</v>
      </c>
    </row>
    <row r="2107" spans="1:8" x14ac:dyDescent="0.25">
      <c r="A2107" t="s">
        <v>768</v>
      </c>
      <c r="B2107" t="s">
        <v>86</v>
      </c>
      <c r="C2107" s="4">
        <f>0.67/0.85</f>
        <v>0.78823529411764715</v>
      </c>
      <c r="D2107" t="s">
        <v>256</v>
      </c>
      <c r="E2107" t="s">
        <v>769</v>
      </c>
      <c r="F2107" t="s">
        <v>768</v>
      </c>
      <c r="G2107" t="s">
        <v>245</v>
      </c>
    </row>
    <row r="2108" spans="1:8" x14ac:dyDescent="0.25">
      <c r="A2108" t="s">
        <v>768</v>
      </c>
      <c r="B2108" t="s">
        <v>97</v>
      </c>
      <c r="C2108" s="4">
        <f>0.11/0.85</f>
        <v>0.12941176470588237</v>
      </c>
      <c r="D2108" t="s">
        <v>256</v>
      </c>
      <c r="E2108" t="s">
        <v>769</v>
      </c>
      <c r="F2108" t="s">
        <v>768</v>
      </c>
      <c r="G2108" t="s">
        <v>245</v>
      </c>
    </row>
    <row r="2109" spans="1:8" x14ac:dyDescent="0.25">
      <c r="A2109" t="s">
        <v>768</v>
      </c>
      <c r="B2109" t="s">
        <v>122</v>
      </c>
      <c r="C2109" s="4">
        <f>0.03/0.85</f>
        <v>3.5294117647058823E-2</v>
      </c>
      <c r="D2109" t="s">
        <v>333</v>
      </c>
      <c r="E2109" t="s">
        <v>769</v>
      </c>
      <c r="F2109" t="s">
        <v>768</v>
      </c>
      <c r="G2109" t="s">
        <v>245</v>
      </c>
    </row>
    <row r="2110" spans="1:8" x14ac:dyDescent="0.25">
      <c r="A2110" t="s">
        <v>768</v>
      </c>
      <c r="B2110" t="s">
        <v>132</v>
      </c>
      <c r="C2110" s="4">
        <f>0.02/0.85</f>
        <v>2.3529411764705882E-2</v>
      </c>
      <c r="D2110" t="s">
        <v>333</v>
      </c>
      <c r="E2110" t="s">
        <v>769</v>
      </c>
      <c r="F2110" t="s">
        <v>768</v>
      </c>
      <c r="G2110" t="s">
        <v>245</v>
      </c>
    </row>
    <row r="2111" spans="1:8" x14ac:dyDescent="0.25">
      <c r="A2111" t="s">
        <v>768</v>
      </c>
      <c r="B2111" t="s">
        <v>103</v>
      </c>
      <c r="C2111" s="4">
        <f>0.02/0.85</f>
        <v>2.3529411764705882E-2</v>
      </c>
      <c r="D2111" t="s">
        <v>256</v>
      </c>
      <c r="E2111" t="s">
        <v>769</v>
      </c>
      <c r="F2111" t="s">
        <v>768</v>
      </c>
      <c r="G2111" t="s">
        <v>245</v>
      </c>
    </row>
    <row r="2112" spans="1:8" x14ac:dyDescent="0.25">
      <c r="A2112" t="s">
        <v>353</v>
      </c>
      <c r="B2112" t="s">
        <v>124</v>
      </c>
      <c r="C2112" s="4">
        <f xml:space="preserve"> 0.821186132769772 * 0.137682888770584%</f>
        <v>1.1306327897808654E-3</v>
      </c>
      <c r="D2112" t="s">
        <v>256</v>
      </c>
      <c r="E2112" t="s">
        <v>306</v>
      </c>
      <c r="F2112" t="s">
        <v>353</v>
      </c>
      <c r="G2112" s="4" t="s">
        <v>245</v>
      </c>
      <c r="H2112" t="s">
        <v>352</v>
      </c>
    </row>
    <row r="2113" spans="1:8" x14ac:dyDescent="0.25">
      <c r="A2113" t="s">
        <v>353</v>
      </c>
      <c r="B2113" t="s">
        <v>124</v>
      </c>
      <c r="C2113" s="4">
        <f xml:space="preserve"> 0.178813867230228 * 0.137682888770584%</f>
        <v>2.4619609792497457E-4</v>
      </c>
      <c r="D2113" t="s">
        <v>242</v>
      </c>
      <c r="E2113" t="s">
        <v>316</v>
      </c>
      <c r="F2113" t="s">
        <v>353</v>
      </c>
      <c r="G2113" s="4" t="s">
        <v>245</v>
      </c>
      <c r="H2113" t="s">
        <v>617</v>
      </c>
    </row>
    <row r="2114" spans="1:8" x14ac:dyDescent="0.25">
      <c r="A2114" t="s">
        <v>353</v>
      </c>
      <c r="B2114" t="s">
        <v>164</v>
      </c>
      <c r="C2114" s="4">
        <f xml:space="preserve"> 0.821186132769772 * 2.9177213855862%</f>
        <v>2.3959923411291925E-2</v>
      </c>
      <c r="D2114" t="s">
        <v>256</v>
      </c>
      <c r="E2114" t="s">
        <v>306</v>
      </c>
      <c r="F2114" t="s">
        <v>353</v>
      </c>
      <c r="G2114" s="4" t="s">
        <v>245</v>
      </c>
    </row>
    <row r="2115" spans="1:8" x14ac:dyDescent="0.25">
      <c r="A2115" t="s">
        <v>353</v>
      </c>
      <c r="B2115" t="s">
        <v>164</v>
      </c>
      <c r="C2115" s="4">
        <f xml:space="preserve"> 0.178813867230228 * 2.9177213855862%</f>
        <v>5.2172904445700764E-3</v>
      </c>
      <c r="D2115" t="s">
        <v>242</v>
      </c>
      <c r="E2115" t="s">
        <v>316</v>
      </c>
      <c r="F2115" t="s">
        <v>353</v>
      </c>
      <c r="G2115" s="4" t="s">
        <v>245</v>
      </c>
    </row>
    <row r="2116" spans="1:8" x14ac:dyDescent="0.25">
      <c r="A2116" t="s">
        <v>353</v>
      </c>
      <c r="B2116" t="s">
        <v>85</v>
      </c>
      <c r="C2116" s="4">
        <f xml:space="preserve"> 0.821186132769772 * 0.0679915500101647%</f>
        <v>5.5833718013869704E-4</v>
      </c>
      <c r="D2116" t="s">
        <v>256</v>
      </c>
      <c r="E2116" t="s">
        <v>306</v>
      </c>
      <c r="F2116" t="s">
        <v>353</v>
      </c>
      <c r="G2116" s="4" t="s">
        <v>245</v>
      </c>
    </row>
    <row r="2117" spans="1:8" x14ac:dyDescent="0.25">
      <c r="A2117" t="s">
        <v>353</v>
      </c>
      <c r="B2117" t="s">
        <v>85</v>
      </c>
      <c r="C2117" s="4">
        <f xml:space="preserve"> 0.178813867230228 * 0.0679915500101647%</f>
        <v>1.2157831996294997E-4</v>
      </c>
      <c r="D2117" t="s">
        <v>242</v>
      </c>
      <c r="E2117" t="s">
        <v>316</v>
      </c>
      <c r="F2117" t="s">
        <v>353</v>
      </c>
      <c r="G2117" s="4" t="s">
        <v>245</v>
      </c>
    </row>
    <row r="2118" spans="1:8" x14ac:dyDescent="0.25">
      <c r="A2118" t="s">
        <v>353</v>
      </c>
      <c r="B2118" t="s">
        <v>116</v>
      </c>
      <c r="C2118" s="4">
        <f xml:space="preserve"> 0.821186132769772 * 1.26641061048933%</f>
        <v>1.039958831726339E-2</v>
      </c>
      <c r="D2118" t="s">
        <v>270</v>
      </c>
      <c r="E2118" t="s">
        <v>306</v>
      </c>
      <c r="F2118" t="s">
        <v>353</v>
      </c>
      <c r="G2118" s="4" t="s">
        <v>245</v>
      </c>
    </row>
    <row r="2119" spans="1:8" x14ac:dyDescent="0.25">
      <c r="A2119" t="s">
        <v>353</v>
      </c>
      <c r="B2119" t="s">
        <v>116</v>
      </c>
      <c r="C2119" s="4">
        <f xml:space="preserve"> 0.178813867230228 * 1.26641061048933%</f>
        <v>2.2645177876299103E-3</v>
      </c>
      <c r="D2119" t="s">
        <v>242</v>
      </c>
      <c r="E2119" t="s">
        <v>316</v>
      </c>
      <c r="F2119" t="s">
        <v>353</v>
      </c>
      <c r="G2119" s="4" t="s">
        <v>245</v>
      </c>
    </row>
    <row r="2120" spans="1:8" x14ac:dyDescent="0.25">
      <c r="A2120" t="s">
        <v>353</v>
      </c>
      <c r="B2120" t="s">
        <v>145</v>
      </c>
      <c r="C2120" s="4">
        <f xml:space="preserve"> 0.821186132769772 * 19.3752120486466%</f>
        <v>0.15910655453822392</v>
      </c>
      <c r="D2120" t="s">
        <v>311</v>
      </c>
      <c r="E2120" t="s">
        <v>306</v>
      </c>
      <c r="F2120" t="s">
        <v>353</v>
      </c>
      <c r="G2120" s="4" t="s">
        <v>245</v>
      </c>
    </row>
    <row r="2121" spans="1:8" x14ac:dyDescent="0.25">
      <c r="A2121" t="s">
        <v>353</v>
      </c>
      <c r="B2121" t="s">
        <v>145</v>
      </c>
      <c r="C2121" s="4">
        <f xml:space="preserve"> 0.178813867230228 * 19.3752120486466%</f>
        <v>3.4645565948242064E-2</v>
      </c>
      <c r="D2121" t="s">
        <v>242</v>
      </c>
      <c r="E2121" t="s">
        <v>316</v>
      </c>
      <c r="F2121" t="s">
        <v>353</v>
      </c>
      <c r="G2121" s="4" t="s">
        <v>245</v>
      </c>
    </row>
    <row r="2122" spans="1:8" x14ac:dyDescent="0.25">
      <c r="A2122" t="s">
        <v>353</v>
      </c>
      <c r="B2122" t="s">
        <v>86</v>
      </c>
      <c r="C2122" s="4">
        <f xml:space="preserve"> 0.821186132769772 * 39.7646540487948%</f>
        <v>0.3265418247925766</v>
      </c>
      <c r="D2122" t="s">
        <v>254</v>
      </c>
      <c r="E2122" t="s">
        <v>306</v>
      </c>
      <c r="F2122" t="s">
        <v>353</v>
      </c>
      <c r="G2122" s="4" t="s">
        <v>245</v>
      </c>
    </row>
    <row r="2123" spans="1:8" x14ac:dyDescent="0.25">
      <c r="A2123" t="s">
        <v>353</v>
      </c>
      <c r="B2123" t="s">
        <v>86</v>
      </c>
      <c r="C2123" s="4">
        <f xml:space="preserve"> 0.178813867230228 * 39.7646540487948%</f>
        <v>7.1104715695371412E-2</v>
      </c>
      <c r="D2123" t="s">
        <v>242</v>
      </c>
      <c r="E2123" t="s">
        <v>316</v>
      </c>
      <c r="F2123" t="s">
        <v>353</v>
      </c>
      <c r="G2123" s="4" t="s">
        <v>245</v>
      </c>
    </row>
    <row r="2124" spans="1:8" x14ac:dyDescent="0.25">
      <c r="A2124" t="s">
        <v>353</v>
      </c>
      <c r="B2124" t="s">
        <v>99</v>
      </c>
      <c r="C2124" s="4">
        <f xml:space="preserve"> 0.821186132769772 * 2.56341741848323%</f>
        <v>2.1050428365589163E-2</v>
      </c>
      <c r="D2124" t="s">
        <v>256</v>
      </c>
      <c r="E2124" t="s">
        <v>306</v>
      </c>
      <c r="F2124" t="s">
        <v>353</v>
      </c>
      <c r="G2124" s="4" t="s">
        <v>245</v>
      </c>
    </row>
    <row r="2125" spans="1:8" x14ac:dyDescent="0.25">
      <c r="A2125" t="s">
        <v>353</v>
      </c>
      <c r="B2125" t="s">
        <v>99</v>
      </c>
      <c r="C2125" s="4">
        <f xml:space="preserve"> 0.178813867230228 * 2.56341741848323%</f>
        <v>4.5837458192431414E-3</v>
      </c>
      <c r="D2125" t="s">
        <v>242</v>
      </c>
      <c r="E2125" t="s">
        <v>316</v>
      </c>
      <c r="F2125" t="s">
        <v>353</v>
      </c>
      <c r="G2125" s="4" t="s">
        <v>245</v>
      </c>
    </row>
    <row r="2126" spans="1:8" x14ac:dyDescent="0.25">
      <c r="A2126" t="s">
        <v>353</v>
      </c>
      <c r="B2126" t="s">
        <v>102</v>
      </c>
      <c r="C2126" s="4">
        <f xml:space="preserve"> 0.821186132769772 * 0.0817938346622282%</f>
        <v>6.7167962770685308E-4</v>
      </c>
      <c r="D2126" t="s">
        <v>256</v>
      </c>
      <c r="E2126" t="s">
        <v>306</v>
      </c>
      <c r="F2126" t="s">
        <v>353</v>
      </c>
      <c r="G2126" s="4" t="s">
        <v>245</v>
      </c>
    </row>
    <row r="2127" spans="1:8" x14ac:dyDescent="0.25">
      <c r="A2127" t="s">
        <v>353</v>
      </c>
      <c r="B2127" t="s">
        <v>102</v>
      </c>
      <c r="C2127" s="4">
        <f xml:space="preserve"> 0.178813867230228 * 0.0817938346622282%</f>
        <v>1.4625871891542895E-4</v>
      </c>
      <c r="D2127" t="s">
        <v>242</v>
      </c>
      <c r="E2127" t="s">
        <v>316</v>
      </c>
      <c r="F2127" t="s">
        <v>353</v>
      </c>
      <c r="G2127" s="4" t="s">
        <v>245</v>
      </c>
    </row>
    <row r="2128" spans="1:8" x14ac:dyDescent="0.25">
      <c r="A2128" t="s">
        <v>353</v>
      </c>
      <c r="B2128" t="s">
        <v>170</v>
      </c>
      <c r="C2128" s="4">
        <f xml:space="preserve"> 0.821186132769772 * 0.00673116345100631%</f>
        <v>5.5275380833731042E-5</v>
      </c>
      <c r="D2128" t="s">
        <v>256</v>
      </c>
      <c r="E2128" t="s">
        <v>306</v>
      </c>
      <c r="F2128" t="s">
        <v>353</v>
      </c>
      <c r="G2128" s="4" t="s">
        <v>245</v>
      </c>
    </row>
    <row r="2129" spans="1:7" x14ac:dyDescent="0.25">
      <c r="A2129" t="s">
        <v>353</v>
      </c>
      <c r="B2129" t="s">
        <v>170</v>
      </c>
      <c r="C2129" s="4">
        <f xml:space="preserve"> 0.178813867230228 * 0.00673116345100631%</f>
        <v>1.2036253676332054E-5</v>
      </c>
      <c r="D2129" t="s">
        <v>242</v>
      </c>
      <c r="E2129" t="s">
        <v>316</v>
      </c>
      <c r="F2129" t="s">
        <v>353</v>
      </c>
      <c r="G2129" s="4" t="s">
        <v>245</v>
      </c>
    </row>
    <row r="2130" spans="1:7" x14ac:dyDescent="0.25">
      <c r="A2130" t="s">
        <v>353</v>
      </c>
      <c r="B2130" t="s">
        <v>150</v>
      </c>
      <c r="C2130" s="4">
        <f xml:space="preserve"> 0.821186132769772 * 6.31233550294369%</f>
        <v>5.1836023804076634E-2</v>
      </c>
      <c r="D2130" t="s">
        <v>256</v>
      </c>
      <c r="E2130" t="s">
        <v>306</v>
      </c>
      <c r="F2130" t="s">
        <v>353</v>
      </c>
      <c r="G2130" s="4" t="s">
        <v>245</v>
      </c>
    </row>
    <row r="2131" spans="1:7" x14ac:dyDescent="0.25">
      <c r="A2131" t="s">
        <v>353</v>
      </c>
      <c r="B2131" t="s">
        <v>150</v>
      </c>
      <c r="C2131" s="4">
        <f xml:space="preserve"> 0.178813867230228 * 6.31233550294369%</f>
        <v>1.1287331225360275E-2</v>
      </c>
      <c r="D2131" t="s">
        <v>242</v>
      </c>
      <c r="E2131" t="s">
        <v>316</v>
      </c>
      <c r="F2131" t="s">
        <v>353</v>
      </c>
      <c r="G2131" s="4" t="s">
        <v>245</v>
      </c>
    </row>
    <row r="2132" spans="1:7" x14ac:dyDescent="0.25">
      <c r="A2132" t="s">
        <v>353</v>
      </c>
      <c r="B2132" t="s">
        <v>173</v>
      </c>
      <c r="C2132" s="4">
        <f xml:space="preserve"> 0.821186132769772 * 0.927404742138647%</f>
        <v>7.6157191370918318E-3</v>
      </c>
      <c r="D2132" t="s">
        <v>256</v>
      </c>
      <c r="E2132" t="s">
        <v>306</v>
      </c>
      <c r="F2132" t="s">
        <v>353</v>
      </c>
      <c r="G2132" s="4" t="s">
        <v>245</v>
      </c>
    </row>
    <row r="2133" spans="1:7" x14ac:dyDescent="0.25">
      <c r="A2133" t="s">
        <v>353</v>
      </c>
      <c r="B2133" t="s">
        <v>173</v>
      </c>
      <c r="C2133" s="4">
        <f xml:space="preserve"> 0.178813867230228 * 0.927404742138647%</f>
        <v>1.6583282842946385E-3</v>
      </c>
      <c r="D2133" t="s">
        <v>242</v>
      </c>
      <c r="E2133" t="s">
        <v>316</v>
      </c>
      <c r="F2133" t="s">
        <v>353</v>
      </c>
      <c r="G2133" s="4" t="s">
        <v>245</v>
      </c>
    </row>
    <row r="2134" spans="1:7" x14ac:dyDescent="0.25">
      <c r="A2134" t="s">
        <v>353</v>
      </c>
      <c r="B2134" t="s">
        <v>132</v>
      </c>
      <c r="C2134" s="4">
        <f xml:space="preserve"> 0.821186132769772 * 0.000679915500101647%</f>
        <v>5.5833718013869698E-6</v>
      </c>
      <c r="D2134" t="s">
        <v>256</v>
      </c>
      <c r="E2134" t="s">
        <v>306</v>
      </c>
      <c r="F2134" t="s">
        <v>353</v>
      </c>
      <c r="G2134" s="4" t="s">
        <v>245</v>
      </c>
    </row>
    <row r="2135" spans="1:7" x14ac:dyDescent="0.25">
      <c r="A2135" t="s">
        <v>353</v>
      </c>
      <c r="B2135" t="s">
        <v>132</v>
      </c>
      <c r="C2135" s="4">
        <f xml:space="preserve"> 0.178813867230228 * 0.000679915500101647%</f>
        <v>1.2157831996294996E-6</v>
      </c>
      <c r="D2135" t="s">
        <v>242</v>
      </c>
      <c r="E2135" t="s">
        <v>316</v>
      </c>
      <c r="F2135" t="s">
        <v>353</v>
      </c>
      <c r="G2135" s="4" t="s">
        <v>245</v>
      </c>
    </row>
    <row r="2136" spans="1:7" x14ac:dyDescent="0.25">
      <c r="A2136" t="s">
        <v>353</v>
      </c>
      <c r="B2136" t="s">
        <v>146</v>
      </c>
      <c r="C2136" s="4">
        <f xml:space="preserve"> 0.821186132769772 * 10.3992395825047%</f>
        <v>8.5397113365033736E-2</v>
      </c>
      <c r="D2136" t="s">
        <v>256</v>
      </c>
      <c r="E2136" t="s">
        <v>306</v>
      </c>
      <c r="F2136" t="s">
        <v>353</v>
      </c>
      <c r="G2136" s="4" t="s">
        <v>245</v>
      </c>
    </row>
    <row r="2137" spans="1:7" x14ac:dyDescent="0.25">
      <c r="A2137" t="s">
        <v>353</v>
      </c>
      <c r="B2137" t="s">
        <v>146</v>
      </c>
      <c r="C2137" s="4">
        <f xml:space="preserve"> 0.178813867230228 * 10.3992395825047%</f>
        <v>1.8595282460013272E-2</v>
      </c>
      <c r="D2137" t="s">
        <v>242</v>
      </c>
      <c r="E2137" t="s">
        <v>316</v>
      </c>
      <c r="F2137" t="s">
        <v>353</v>
      </c>
      <c r="G2137" s="4" t="s">
        <v>245</v>
      </c>
    </row>
    <row r="2138" spans="1:7" x14ac:dyDescent="0.25">
      <c r="A2138" t="s">
        <v>353</v>
      </c>
      <c r="B2138" t="s">
        <v>151</v>
      </c>
      <c r="C2138" s="4">
        <f xml:space="preserve"> 0.821186132769772 * 0.413388624061802%</f>
        <v>3.3946900552432832E-3</v>
      </c>
      <c r="D2138" t="s">
        <v>256</v>
      </c>
      <c r="E2138" t="s">
        <v>306</v>
      </c>
      <c r="F2138" t="s">
        <v>353</v>
      </c>
      <c r="G2138" s="4" t="s">
        <v>245</v>
      </c>
    </row>
    <row r="2139" spans="1:7" x14ac:dyDescent="0.25">
      <c r="A2139" t="s">
        <v>353</v>
      </c>
      <c r="B2139" t="s">
        <v>151</v>
      </c>
      <c r="C2139" s="4">
        <f xml:space="preserve"> 0.178813867230228 * 0.413388624061802%</f>
        <v>7.3919618537473695E-4</v>
      </c>
      <c r="D2139" t="s">
        <v>242</v>
      </c>
      <c r="E2139" t="s">
        <v>316</v>
      </c>
      <c r="F2139" t="s">
        <v>353</v>
      </c>
      <c r="G2139" s="4" t="s">
        <v>245</v>
      </c>
    </row>
    <row r="2140" spans="1:7" x14ac:dyDescent="0.25">
      <c r="A2140" t="s">
        <v>353</v>
      </c>
      <c r="B2140" t="s">
        <v>107</v>
      </c>
      <c r="C2140" s="4">
        <f xml:space="preserve"> 0.821186132769772 * 0.760485486863693%</f>
        <v>6.2450013598513337E-3</v>
      </c>
      <c r="D2140" t="s">
        <v>312</v>
      </c>
      <c r="E2140" t="s">
        <v>306</v>
      </c>
      <c r="F2140" t="s">
        <v>353</v>
      </c>
      <c r="G2140" s="4" t="s">
        <v>245</v>
      </c>
    </row>
    <row r="2141" spans="1:7" x14ac:dyDescent="0.25">
      <c r="A2141" t="s">
        <v>353</v>
      </c>
      <c r="B2141" t="s">
        <v>107</v>
      </c>
      <c r="C2141" s="4">
        <f xml:space="preserve"> 0.178813867230228 * 0.760485486863693%</f>
        <v>1.3598535087855968E-3</v>
      </c>
      <c r="D2141" t="s">
        <v>242</v>
      </c>
      <c r="E2141" t="s">
        <v>316</v>
      </c>
      <c r="F2141" t="s">
        <v>353</v>
      </c>
      <c r="G2141" s="4" t="s">
        <v>245</v>
      </c>
    </row>
    <row r="2142" spans="1:7" x14ac:dyDescent="0.25">
      <c r="A2142" t="s">
        <v>353</v>
      </c>
      <c r="B2142" t="s">
        <v>113</v>
      </c>
      <c r="C2142" s="4">
        <f xml:space="preserve"> 0.821186132769772 * 14.8153587472149%</f>
        <v>0.12166167155222217</v>
      </c>
      <c r="D2142" t="s">
        <v>276</v>
      </c>
      <c r="E2142" t="s">
        <v>306</v>
      </c>
      <c r="F2142" t="s">
        <v>353</v>
      </c>
      <c r="G2142" s="4" t="s">
        <v>245</v>
      </c>
    </row>
    <row r="2143" spans="1:7" x14ac:dyDescent="0.25">
      <c r="A2143" t="s">
        <v>353</v>
      </c>
      <c r="B2143" t="s">
        <v>113</v>
      </c>
      <c r="C2143" s="4">
        <f xml:space="preserve"> 0.178813867230228 * 14.8153587472149%</f>
        <v>2.649191591992682E-2</v>
      </c>
      <c r="D2143" t="s">
        <v>242</v>
      </c>
      <c r="E2143" t="s">
        <v>316</v>
      </c>
      <c r="F2143" t="s">
        <v>353</v>
      </c>
      <c r="G2143" s="4" t="s">
        <v>245</v>
      </c>
    </row>
    <row r="2144" spans="1:7" x14ac:dyDescent="0.25">
      <c r="A2144" t="s">
        <v>353</v>
      </c>
      <c r="B2144" t="s">
        <v>180</v>
      </c>
      <c r="C2144" s="4">
        <f xml:space="preserve"> 0.821186132769772 * 0.189492449878329%</f>
        <v>1.5560857210465484E-3</v>
      </c>
      <c r="D2144" t="s">
        <v>256</v>
      </c>
      <c r="E2144" t="s">
        <v>306</v>
      </c>
      <c r="F2144" t="s">
        <v>353</v>
      </c>
      <c r="G2144" s="4" t="s">
        <v>245</v>
      </c>
    </row>
    <row r="2145" spans="1:8" x14ac:dyDescent="0.25">
      <c r="A2145" t="s">
        <v>353</v>
      </c>
      <c r="B2145" t="s">
        <v>180</v>
      </c>
      <c r="C2145" s="4">
        <f xml:space="preserve"> 0.178813867230228 * 0.189492449878329%</f>
        <v>3.3883877773674154E-4</v>
      </c>
      <c r="D2145" t="s">
        <v>242</v>
      </c>
      <c r="E2145" t="s">
        <v>316</v>
      </c>
      <c r="F2145" t="s">
        <v>353</v>
      </c>
      <c r="G2145" s="4" t="s">
        <v>245</v>
      </c>
    </row>
    <row r="2146" spans="1:8" x14ac:dyDescent="0.25">
      <c r="A2146" t="s">
        <v>357</v>
      </c>
      <c r="B2146" t="s">
        <v>124</v>
      </c>
      <c r="C2146" s="4">
        <v>1.3768288877058399E-3</v>
      </c>
      <c r="D2146" t="s">
        <v>256</v>
      </c>
      <c r="E2146" t="s">
        <v>356</v>
      </c>
      <c r="F2146" t="s">
        <v>357</v>
      </c>
      <c r="G2146" s="4" t="s">
        <v>245</v>
      </c>
      <c r="H2146" t="s">
        <v>355</v>
      </c>
    </row>
    <row r="2147" spans="1:8" x14ac:dyDescent="0.25">
      <c r="A2147" t="s">
        <v>357</v>
      </c>
      <c r="B2147" t="s">
        <v>164</v>
      </c>
      <c r="C2147" s="4">
        <v>2.9177213855862E-2</v>
      </c>
      <c r="D2147" t="s">
        <v>256</v>
      </c>
      <c r="E2147" t="s">
        <v>356</v>
      </c>
      <c r="F2147" t="s">
        <v>357</v>
      </c>
      <c r="G2147" s="4" t="s">
        <v>245</v>
      </c>
    </row>
    <row r="2148" spans="1:8" x14ac:dyDescent="0.25">
      <c r="A2148" t="s">
        <v>357</v>
      </c>
      <c r="B2148" t="s">
        <v>85</v>
      </c>
      <c r="C2148" s="4">
        <v>6.7991550010164695E-4</v>
      </c>
      <c r="D2148" t="s">
        <v>256</v>
      </c>
      <c r="E2148" t="s">
        <v>356</v>
      </c>
      <c r="F2148" t="s">
        <v>357</v>
      </c>
      <c r="G2148" s="4" t="s">
        <v>245</v>
      </c>
    </row>
    <row r="2149" spans="1:8" x14ac:dyDescent="0.25">
      <c r="A2149" t="s">
        <v>357</v>
      </c>
      <c r="B2149" t="s">
        <v>116</v>
      </c>
      <c r="C2149" s="4">
        <v>1.26641061048933E-2</v>
      </c>
      <c r="D2149" t="s">
        <v>256</v>
      </c>
      <c r="E2149" t="s">
        <v>356</v>
      </c>
      <c r="F2149" t="s">
        <v>357</v>
      </c>
      <c r="G2149" s="4" t="s">
        <v>245</v>
      </c>
    </row>
    <row r="2150" spans="1:8" x14ac:dyDescent="0.25">
      <c r="A2150" t="s">
        <v>357</v>
      </c>
      <c r="B2150" t="s">
        <v>145</v>
      </c>
      <c r="C2150" s="4">
        <v>0.19375212048646601</v>
      </c>
      <c r="D2150" t="s">
        <v>256</v>
      </c>
      <c r="E2150" t="s">
        <v>356</v>
      </c>
      <c r="F2150" t="s">
        <v>357</v>
      </c>
      <c r="G2150" s="4" t="s">
        <v>245</v>
      </c>
    </row>
    <row r="2151" spans="1:8" x14ac:dyDescent="0.25">
      <c r="A2151" t="s">
        <v>357</v>
      </c>
      <c r="B2151" t="s">
        <v>86</v>
      </c>
      <c r="C2151" s="4">
        <v>0.39764654048794801</v>
      </c>
      <c r="D2151" t="s">
        <v>256</v>
      </c>
      <c r="E2151" t="s">
        <v>356</v>
      </c>
      <c r="F2151" t="s">
        <v>357</v>
      </c>
      <c r="G2151" s="4" t="s">
        <v>245</v>
      </c>
    </row>
    <row r="2152" spans="1:8" x14ac:dyDescent="0.25">
      <c r="A2152" t="s">
        <v>357</v>
      </c>
      <c r="B2152" t="s">
        <v>99</v>
      </c>
      <c r="C2152" s="4">
        <v>2.5634174184832301E-2</v>
      </c>
      <c r="D2152" t="s">
        <v>256</v>
      </c>
      <c r="E2152" t="s">
        <v>356</v>
      </c>
      <c r="F2152" t="s">
        <v>357</v>
      </c>
      <c r="G2152" s="4" t="s">
        <v>245</v>
      </c>
    </row>
    <row r="2153" spans="1:8" x14ac:dyDescent="0.25">
      <c r="A2153" t="s">
        <v>357</v>
      </c>
      <c r="B2153" t="s">
        <v>102</v>
      </c>
      <c r="C2153" s="4">
        <v>8.1793834662228203E-4</v>
      </c>
      <c r="D2153" t="s">
        <v>256</v>
      </c>
      <c r="E2153" t="s">
        <v>356</v>
      </c>
      <c r="F2153" t="s">
        <v>357</v>
      </c>
      <c r="G2153" s="4" t="s">
        <v>245</v>
      </c>
    </row>
    <row r="2154" spans="1:8" x14ac:dyDescent="0.25">
      <c r="A2154" t="s">
        <v>357</v>
      </c>
      <c r="B2154" t="s">
        <v>170</v>
      </c>
      <c r="C2154" s="4">
        <v>6.7311634510063096E-5</v>
      </c>
      <c r="D2154" t="s">
        <v>256</v>
      </c>
      <c r="E2154" t="s">
        <v>356</v>
      </c>
      <c r="F2154" t="s">
        <v>357</v>
      </c>
      <c r="G2154" s="4" t="s">
        <v>245</v>
      </c>
    </row>
    <row r="2155" spans="1:8" x14ac:dyDescent="0.25">
      <c r="A2155" t="s">
        <v>357</v>
      </c>
      <c r="B2155" t="s">
        <v>150</v>
      </c>
      <c r="C2155" s="4">
        <v>6.3123355029436903E-2</v>
      </c>
      <c r="D2155" t="s">
        <v>256</v>
      </c>
      <c r="E2155" t="s">
        <v>356</v>
      </c>
      <c r="F2155" t="s">
        <v>357</v>
      </c>
      <c r="G2155" s="4" t="s">
        <v>245</v>
      </c>
    </row>
    <row r="2156" spans="1:8" x14ac:dyDescent="0.25">
      <c r="A2156" t="s">
        <v>357</v>
      </c>
      <c r="B2156" t="s">
        <v>173</v>
      </c>
      <c r="C2156" s="4">
        <v>9.2740474213864697E-3</v>
      </c>
      <c r="D2156" t="s">
        <v>256</v>
      </c>
      <c r="E2156" t="s">
        <v>356</v>
      </c>
      <c r="F2156" t="s">
        <v>357</v>
      </c>
      <c r="G2156" s="4" t="s">
        <v>245</v>
      </c>
    </row>
    <row r="2157" spans="1:8" x14ac:dyDescent="0.25">
      <c r="A2157" t="s">
        <v>357</v>
      </c>
      <c r="B2157" t="s">
        <v>132</v>
      </c>
      <c r="C2157" s="4">
        <v>6.7991550010164703E-6</v>
      </c>
      <c r="D2157" t="s">
        <v>333</v>
      </c>
      <c r="E2157" t="s">
        <v>356</v>
      </c>
      <c r="F2157" t="s">
        <v>357</v>
      </c>
      <c r="G2157" s="4" t="s">
        <v>245</v>
      </c>
    </row>
    <row r="2158" spans="1:8" x14ac:dyDescent="0.25">
      <c r="A2158" t="s">
        <v>357</v>
      </c>
      <c r="B2158" t="s">
        <v>146</v>
      </c>
      <c r="C2158" s="4">
        <v>0.103992395825047</v>
      </c>
      <c r="D2158" t="s">
        <v>256</v>
      </c>
      <c r="E2158" t="s">
        <v>356</v>
      </c>
      <c r="F2158" t="s">
        <v>357</v>
      </c>
      <c r="G2158" s="4" t="s">
        <v>245</v>
      </c>
    </row>
    <row r="2159" spans="1:8" x14ac:dyDescent="0.25">
      <c r="A2159" t="s">
        <v>357</v>
      </c>
      <c r="B2159" t="s">
        <v>151</v>
      </c>
      <c r="C2159" s="4">
        <v>4.1338862406180201E-3</v>
      </c>
      <c r="D2159" t="s">
        <v>333</v>
      </c>
      <c r="E2159" t="s">
        <v>356</v>
      </c>
      <c r="F2159" t="s">
        <v>357</v>
      </c>
      <c r="G2159" s="4" t="s">
        <v>245</v>
      </c>
    </row>
    <row r="2160" spans="1:8" x14ac:dyDescent="0.25">
      <c r="A2160" t="s">
        <v>357</v>
      </c>
      <c r="B2160" t="s">
        <v>107</v>
      </c>
      <c r="C2160" s="4">
        <v>7.60485486863693E-3</v>
      </c>
      <c r="D2160" t="s">
        <v>333</v>
      </c>
      <c r="E2160" t="s">
        <v>356</v>
      </c>
      <c r="F2160" t="s">
        <v>357</v>
      </c>
      <c r="G2160" s="4" t="s">
        <v>245</v>
      </c>
    </row>
    <row r="2161" spans="1:8" x14ac:dyDescent="0.25">
      <c r="A2161" t="s">
        <v>357</v>
      </c>
      <c r="B2161" t="s">
        <v>113</v>
      </c>
      <c r="C2161" s="4">
        <v>0.14815358747214899</v>
      </c>
      <c r="D2161" t="s">
        <v>256</v>
      </c>
      <c r="E2161" t="s">
        <v>356</v>
      </c>
      <c r="F2161" t="s">
        <v>357</v>
      </c>
      <c r="G2161" s="4" t="s">
        <v>245</v>
      </c>
    </row>
    <row r="2162" spans="1:8" x14ac:dyDescent="0.25">
      <c r="A2162" t="s">
        <v>357</v>
      </c>
      <c r="B2162" t="s">
        <v>180</v>
      </c>
      <c r="C2162" s="4">
        <v>1.8949244987832899E-3</v>
      </c>
      <c r="D2162" t="s">
        <v>256</v>
      </c>
      <c r="E2162" t="s">
        <v>356</v>
      </c>
      <c r="F2162" t="s">
        <v>357</v>
      </c>
      <c r="G2162" s="4" t="s">
        <v>245</v>
      </c>
    </row>
    <row r="2163" spans="1:8" x14ac:dyDescent="0.25">
      <c r="A2163" t="s">
        <v>619</v>
      </c>
      <c r="B2163" t="s">
        <v>153</v>
      </c>
      <c r="C2163" s="4">
        <f>(0.965752550654969/(0.965752550654969+0.034247449345031)) * 0.162746135591046%</f>
        <v>1.5717249555629211E-3</v>
      </c>
      <c r="D2163" t="s">
        <v>288</v>
      </c>
      <c r="E2163" t="s">
        <v>398</v>
      </c>
      <c r="F2163" t="s">
        <v>399</v>
      </c>
      <c r="G2163" s="4" t="s">
        <v>245</v>
      </c>
      <c r="H2163" t="s">
        <v>618</v>
      </c>
    </row>
    <row r="2164" spans="1:8" x14ac:dyDescent="0.25">
      <c r="A2164" t="s">
        <v>619</v>
      </c>
      <c r="B2164" t="s">
        <v>153</v>
      </c>
      <c r="C2164" s="4">
        <f>(0.034247449345031/(0.965752550654969+0.034247449345031)) * 0.162746135591046%</f>
        <v>5.5736400347538957E-5</v>
      </c>
      <c r="D2164" t="s">
        <v>242</v>
      </c>
      <c r="E2164" t="s">
        <v>289</v>
      </c>
      <c r="F2164" t="s">
        <v>399</v>
      </c>
      <c r="G2164" s="4" t="s">
        <v>245</v>
      </c>
    </row>
    <row r="2165" spans="1:8" x14ac:dyDescent="0.25">
      <c r="A2165" t="s">
        <v>619</v>
      </c>
      <c r="B2165" t="s">
        <v>83</v>
      </c>
      <c r="C2165" s="4">
        <f>(0.965752550654969/(0.965752550654969+0.034247449345031)) * 6.61005548072606%</f>
        <v>6.3836779404820493E-2</v>
      </c>
      <c r="D2165" t="s">
        <v>288</v>
      </c>
      <c r="E2165" t="s">
        <v>398</v>
      </c>
      <c r="F2165" t="s">
        <v>399</v>
      </c>
      <c r="G2165" s="4" t="s">
        <v>245</v>
      </c>
    </row>
    <row r="2166" spans="1:8" x14ac:dyDescent="0.25">
      <c r="A2166" t="s">
        <v>619</v>
      </c>
      <c r="B2166" t="s">
        <v>83</v>
      </c>
      <c r="C2166" s="4">
        <f>(0.034247449345031/(0.965752550654969+0.034247449345031)) * 6.61005548072606%</f>
        <v>2.2637754024401029E-3</v>
      </c>
      <c r="D2166" t="s">
        <v>242</v>
      </c>
      <c r="E2166" t="s">
        <v>289</v>
      </c>
      <c r="F2166" t="s">
        <v>399</v>
      </c>
      <c r="G2166" s="4" t="s">
        <v>245</v>
      </c>
    </row>
    <row r="2167" spans="1:8" x14ac:dyDescent="0.25">
      <c r="A2167" t="s">
        <v>619</v>
      </c>
      <c r="B2167" t="s">
        <v>85</v>
      </c>
      <c r="C2167" s="4">
        <f>(0.965752550654969/(0.965752550654969+0.034247449345031)) * 2.8646334423706%</f>
        <v>2.7665270536609311E-2</v>
      </c>
      <c r="D2167" t="s">
        <v>288</v>
      </c>
      <c r="E2167" t="s">
        <v>398</v>
      </c>
      <c r="F2167" t="s">
        <v>399</v>
      </c>
      <c r="G2167" s="4" t="s">
        <v>245</v>
      </c>
    </row>
    <row r="2168" spans="1:8" x14ac:dyDescent="0.25">
      <c r="A2168" t="s">
        <v>619</v>
      </c>
      <c r="B2168" t="s">
        <v>85</v>
      </c>
      <c r="C2168" s="4">
        <f>(0.034247449345031/(0.965752550654969+0.034247449345031)) * 2.8646334423706%</f>
        <v>9.8106388709668919E-4</v>
      </c>
      <c r="D2168" t="s">
        <v>242</v>
      </c>
      <c r="E2168" t="s">
        <v>289</v>
      </c>
      <c r="F2168" t="s">
        <v>399</v>
      </c>
      <c r="G2168" s="4" t="s">
        <v>245</v>
      </c>
    </row>
    <row r="2169" spans="1:8" x14ac:dyDescent="0.25">
      <c r="A2169" t="s">
        <v>619</v>
      </c>
      <c r="B2169" t="s">
        <v>116</v>
      </c>
      <c r="C2169" s="4">
        <f>(0.965752550654969/(0.965752550654969+0.034247449345031)) * 7.07132319928164%</f>
        <v>6.8291484162118998E-2</v>
      </c>
      <c r="D2169" t="s">
        <v>288</v>
      </c>
      <c r="E2169" t="s">
        <v>398</v>
      </c>
      <c r="F2169" t="s">
        <v>399</v>
      </c>
      <c r="G2169" s="4" t="s">
        <v>245</v>
      </c>
    </row>
    <row r="2170" spans="1:8" x14ac:dyDescent="0.25">
      <c r="A2170" t="s">
        <v>619</v>
      </c>
      <c r="B2170" t="s">
        <v>116</v>
      </c>
      <c r="C2170" s="4">
        <f>(0.034247449345031/(0.965752550654969+0.034247449345031)) * 7.07132319928164%</f>
        <v>2.4217478306974055E-3</v>
      </c>
      <c r="D2170" t="s">
        <v>242</v>
      </c>
      <c r="E2170" t="s">
        <v>289</v>
      </c>
      <c r="F2170" t="s">
        <v>399</v>
      </c>
      <c r="G2170" s="4" t="s">
        <v>245</v>
      </c>
    </row>
    <row r="2171" spans="1:8" x14ac:dyDescent="0.25">
      <c r="A2171" t="s">
        <v>619</v>
      </c>
      <c r="B2171" t="s">
        <v>86</v>
      </c>
      <c r="C2171" s="4">
        <v>4.1566448592136492E-2</v>
      </c>
      <c r="D2171" t="s">
        <v>254</v>
      </c>
      <c r="E2171" t="s">
        <v>396</v>
      </c>
      <c r="F2171" t="s">
        <v>397</v>
      </c>
      <c r="G2171" s="4" t="s">
        <v>245</v>
      </c>
    </row>
    <row r="2172" spans="1:8" x14ac:dyDescent="0.25">
      <c r="A2172" t="s">
        <v>619</v>
      </c>
      <c r="B2172" t="s">
        <v>87</v>
      </c>
      <c r="C2172" s="4">
        <f>(0.965752550654969/(0.965752550654969+0.034247449345031)) * 1.59247322173049%</f>
        <v>1.5379350757359567E-2</v>
      </c>
      <c r="D2172" t="s">
        <v>288</v>
      </c>
      <c r="E2172" t="s">
        <v>398</v>
      </c>
      <c r="F2172" t="s">
        <v>399</v>
      </c>
      <c r="G2172" s="4" t="s">
        <v>245</v>
      </c>
    </row>
    <row r="2173" spans="1:8" x14ac:dyDescent="0.25">
      <c r="A2173" t="s">
        <v>619</v>
      </c>
      <c r="B2173" t="s">
        <v>87</v>
      </c>
      <c r="C2173" s="4">
        <f>(0.034247449345031/(0.965752550654969+0.034247449345031)) * 1.59247322173049%</f>
        <v>5.4538145994533285E-4</v>
      </c>
      <c r="D2173" t="s">
        <v>242</v>
      </c>
      <c r="E2173" t="s">
        <v>289</v>
      </c>
      <c r="F2173" t="s">
        <v>399</v>
      </c>
      <c r="G2173" s="4" t="s">
        <v>245</v>
      </c>
    </row>
    <row r="2174" spans="1:8" x14ac:dyDescent="0.25">
      <c r="A2174" t="s">
        <v>619</v>
      </c>
      <c r="B2174" t="s">
        <v>160</v>
      </c>
      <c r="C2174" s="4">
        <f>(0.965752550654969/(0.965752550654969+0.034247449345031)) * 1.93861843371176%</f>
        <v>1.8722256971038732E-2</v>
      </c>
      <c r="D2174" t="s">
        <v>288</v>
      </c>
      <c r="E2174" t="s">
        <v>398</v>
      </c>
      <c r="F2174" t="s">
        <v>399</v>
      </c>
      <c r="G2174" s="4" t="s">
        <v>245</v>
      </c>
    </row>
    <row r="2175" spans="1:8" x14ac:dyDescent="0.25">
      <c r="A2175" t="s">
        <v>619</v>
      </c>
      <c r="B2175" t="s">
        <v>160</v>
      </c>
      <c r="C2175" s="4">
        <f>(0.034247449345031/(0.965752550654969+0.034247449345031)) * 1.93861843371176%</f>
        <v>6.6392736607886842E-4</v>
      </c>
      <c r="D2175" t="s">
        <v>242</v>
      </c>
      <c r="E2175" t="s">
        <v>289</v>
      </c>
      <c r="F2175" t="s">
        <v>399</v>
      </c>
      <c r="G2175" s="4" t="s">
        <v>245</v>
      </c>
    </row>
    <row r="2176" spans="1:8" x14ac:dyDescent="0.25">
      <c r="A2176" t="s">
        <v>619</v>
      </c>
      <c r="B2176" t="s">
        <v>89</v>
      </c>
      <c r="C2176" s="4">
        <f>(0.965752550654969/(0.965752550654969+0.034247449345031)) * 0.907165993201206%</f>
        <v>8.7609787180151291E-3</v>
      </c>
      <c r="D2176" t="s">
        <v>288</v>
      </c>
      <c r="E2176" t="s">
        <v>398</v>
      </c>
      <c r="F2176" t="s">
        <v>399</v>
      </c>
      <c r="G2176" s="4" t="s">
        <v>245</v>
      </c>
    </row>
    <row r="2177" spans="1:7" x14ac:dyDescent="0.25">
      <c r="A2177" t="s">
        <v>619</v>
      </c>
      <c r="B2177" t="s">
        <v>89</v>
      </c>
      <c r="C2177" s="4">
        <f>(0.034247449345031/(0.965752550654969+0.034247449345031)) * 0.907165993201206%</f>
        <v>3.1068121399693035E-4</v>
      </c>
      <c r="D2177" t="s">
        <v>242</v>
      </c>
      <c r="E2177" t="s">
        <v>289</v>
      </c>
      <c r="F2177" t="s">
        <v>399</v>
      </c>
      <c r="G2177" s="4" t="s">
        <v>245</v>
      </c>
    </row>
    <row r="2178" spans="1:7" x14ac:dyDescent="0.25">
      <c r="A2178" t="s">
        <v>619</v>
      </c>
      <c r="B2178" t="s">
        <v>154</v>
      </c>
      <c r="C2178" s="4">
        <f>(0.965752550654969/(0.965752550654969+0.034247449345031)) * 1.60617503688025%</f>
        <v>1.5511676386654405E-2</v>
      </c>
      <c r="D2178" t="s">
        <v>288</v>
      </c>
      <c r="E2178" t="s">
        <v>398</v>
      </c>
      <c r="F2178" t="s">
        <v>399</v>
      </c>
      <c r="G2178" s="4" t="s">
        <v>245</v>
      </c>
    </row>
    <row r="2179" spans="1:7" x14ac:dyDescent="0.25">
      <c r="A2179" t="s">
        <v>619</v>
      </c>
      <c r="B2179" t="s">
        <v>154</v>
      </c>
      <c r="C2179" s="4">
        <f>(0.034247449345031/(0.965752550654969+0.034247449345031)) * 1.60617503688025%</f>
        <v>5.5007398214809667E-4</v>
      </c>
      <c r="D2179" t="s">
        <v>242</v>
      </c>
      <c r="E2179" t="s">
        <v>289</v>
      </c>
      <c r="F2179" t="s">
        <v>399</v>
      </c>
      <c r="G2179" s="4" t="s">
        <v>245</v>
      </c>
    </row>
    <row r="2180" spans="1:7" x14ac:dyDescent="0.25">
      <c r="A2180" t="s">
        <v>619</v>
      </c>
      <c r="B2180" t="s">
        <v>93</v>
      </c>
      <c r="C2180" s="4">
        <f>(0.965752550654969/(0.965752550654969+0.034247449345031)) * 0.50189211724713%</f>
        <v>4.8470359238503855E-3</v>
      </c>
      <c r="D2180" t="s">
        <v>288</v>
      </c>
      <c r="E2180" t="s">
        <v>398</v>
      </c>
      <c r="F2180" t="s">
        <v>399</v>
      </c>
      <c r="G2180" s="4" t="s">
        <v>245</v>
      </c>
    </row>
    <row r="2181" spans="1:7" x14ac:dyDescent="0.25">
      <c r="A2181" t="s">
        <v>619</v>
      </c>
      <c r="B2181" t="s">
        <v>93</v>
      </c>
      <c r="C2181" s="4">
        <f>(0.034247449345031/(0.965752550654969+0.034247449345031)) * 0.50189211724713%</f>
        <v>1.7188524862091448E-4</v>
      </c>
      <c r="D2181" t="s">
        <v>242</v>
      </c>
      <c r="E2181" t="s">
        <v>289</v>
      </c>
      <c r="F2181" t="s">
        <v>399</v>
      </c>
      <c r="G2181" s="4" t="s">
        <v>245</v>
      </c>
    </row>
    <row r="2182" spans="1:7" x14ac:dyDescent="0.25">
      <c r="A2182" t="s">
        <v>619</v>
      </c>
      <c r="B2182" t="s">
        <v>196</v>
      </c>
      <c r="C2182" s="4">
        <f>(0.965752550654969/(0.965752550654969+0.034247449345031)) * 1.96601404656533%</f>
        <v>1.8986830800939644E-2</v>
      </c>
      <c r="D2182" t="s">
        <v>288</v>
      </c>
      <c r="E2182" t="s">
        <v>398</v>
      </c>
      <c r="F2182" t="s">
        <v>399</v>
      </c>
      <c r="G2182" s="4" t="s">
        <v>245</v>
      </c>
    </row>
    <row r="2183" spans="1:7" x14ac:dyDescent="0.25">
      <c r="A2183" t="s">
        <v>619</v>
      </c>
      <c r="B2183" t="s">
        <v>196</v>
      </c>
      <c r="C2183" s="4">
        <f>(0.034247449345031/(0.965752550654969+0.034247449345031)) * 1.96601404656533%</f>
        <v>6.7330966471365562E-4</v>
      </c>
      <c r="D2183" t="s">
        <v>242</v>
      </c>
      <c r="E2183" t="s">
        <v>289</v>
      </c>
      <c r="F2183" t="s">
        <v>399</v>
      </c>
      <c r="G2183" s="4" t="s">
        <v>245</v>
      </c>
    </row>
    <row r="2184" spans="1:7" x14ac:dyDescent="0.25">
      <c r="A2184" t="s">
        <v>619</v>
      </c>
      <c r="B2184" t="s">
        <v>98</v>
      </c>
      <c r="C2184" s="4">
        <f>(0.965752550654969/(0.965752550654969+0.034247449345031)) * 32.3319543326278%</f>
        <v>0.31224667364395281</v>
      </c>
      <c r="D2184" t="s">
        <v>288</v>
      </c>
      <c r="E2184" t="s">
        <v>398</v>
      </c>
      <c r="F2184" t="s">
        <v>399</v>
      </c>
      <c r="G2184" s="4" t="s">
        <v>245</v>
      </c>
    </row>
    <row r="2185" spans="1:7" x14ac:dyDescent="0.25">
      <c r="A2185" t="s">
        <v>619</v>
      </c>
      <c r="B2185" t="s">
        <v>98</v>
      </c>
      <c r="C2185" s="4">
        <f>(0.034247449345031/(0.965752550654969+0.034247449345031)) * 32.3319543326278%</f>
        <v>1.1072869682325265E-2</v>
      </c>
      <c r="D2185" t="s">
        <v>242</v>
      </c>
      <c r="E2185" t="s">
        <v>289</v>
      </c>
      <c r="F2185" t="s">
        <v>399</v>
      </c>
      <c r="G2185" s="4" t="s">
        <v>245</v>
      </c>
    </row>
    <row r="2186" spans="1:7" x14ac:dyDescent="0.25">
      <c r="A2186" t="s">
        <v>619</v>
      </c>
      <c r="B2186" t="s">
        <v>100</v>
      </c>
      <c r="C2186" s="4">
        <f>(0.965752550654969/(0.965752550654969+0.034247449345031)) * 0.500288628054647%</f>
        <v>4.8315501860745043E-3</v>
      </c>
      <c r="D2186" t="s">
        <v>288</v>
      </c>
      <c r="E2186" t="s">
        <v>398</v>
      </c>
      <c r="F2186" t="s">
        <v>399</v>
      </c>
      <c r="G2186" s="4" t="s">
        <v>245</v>
      </c>
    </row>
    <row r="2187" spans="1:7" x14ac:dyDescent="0.25">
      <c r="A2187" t="s">
        <v>619</v>
      </c>
      <c r="B2187" t="s">
        <v>100</v>
      </c>
      <c r="C2187" s="4">
        <f>(0.034247449345031/(0.965752550654969+0.034247449345031)) * 0.500288628054647%</f>
        <v>1.713360944719658E-4</v>
      </c>
      <c r="D2187" t="s">
        <v>242</v>
      </c>
      <c r="E2187" t="s">
        <v>289</v>
      </c>
      <c r="F2187" t="s">
        <v>399</v>
      </c>
      <c r="G2187" s="4" t="s">
        <v>245</v>
      </c>
    </row>
    <row r="2188" spans="1:7" x14ac:dyDescent="0.25">
      <c r="A2188" t="s">
        <v>619</v>
      </c>
      <c r="B2188" t="s">
        <v>230</v>
      </c>
      <c r="C2188" s="4">
        <f>(0.965752550654969/(0.965752550654969+0.034247449345031)) * 0.191761272529023%</f>
        <v>1.8519393806174661E-3</v>
      </c>
      <c r="D2188" t="s">
        <v>288</v>
      </c>
      <c r="E2188" t="s">
        <v>398</v>
      </c>
      <c r="F2188" t="s">
        <v>399</v>
      </c>
      <c r="G2188" s="4" t="s">
        <v>245</v>
      </c>
    </row>
    <row r="2189" spans="1:7" x14ac:dyDescent="0.25">
      <c r="A2189" t="s">
        <v>619</v>
      </c>
      <c r="B2189" t="s">
        <v>230</v>
      </c>
      <c r="C2189" s="4">
        <f>(0.034247449345031/(0.965752550654969+0.034247449345031)) * 0.191761272529023%</f>
        <v>6.5673344672763996E-5</v>
      </c>
      <c r="D2189" t="s">
        <v>242</v>
      </c>
      <c r="E2189" t="s">
        <v>289</v>
      </c>
      <c r="F2189" t="s">
        <v>399</v>
      </c>
      <c r="G2189" s="4" t="s">
        <v>245</v>
      </c>
    </row>
    <row r="2190" spans="1:7" x14ac:dyDescent="0.25">
      <c r="A2190" t="s">
        <v>619</v>
      </c>
      <c r="B2190" t="s">
        <v>141</v>
      </c>
      <c r="C2190" s="4">
        <f>(0.965752550654969/(0.965752550654969+0.034247449345031)) * 1.13515810403438%</f>
        <v>1.0962818343678611E-2</v>
      </c>
      <c r="D2190" t="s">
        <v>288</v>
      </c>
      <c r="E2190" t="s">
        <v>398</v>
      </c>
      <c r="F2190" t="s">
        <v>399</v>
      </c>
      <c r="G2190" s="4" t="s">
        <v>245</v>
      </c>
    </row>
    <row r="2191" spans="1:7" x14ac:dyDescent="0.25">
      <c r="A2191" t="s">
        <v>619</v>
      </c>
      <c r="B2191" t="s">
        <v>141</v>
      </c>
      <c r="C2191" s="4">
        <f>(0.034247449345031/(0.965752550654969+0.034247449345031)) * 1.13515810403438%</f>
        <v>3.8876269666518861E-4</v>
      </c>
      <c r="D2191" t="s">
        <v>242</v>
      </c>
      <c r="E2191" t="s">
        <v>289</v>
      </c>
      <c r="F2191" t="s">
        <v>399</v>
      </c>
      <c r="G2191" s="4" t="s">
        <v>245</v>
      </c>
    </row>
    <row r="2192" spans="1:7" x14ac:dyDescent="0.25">
      <c r="A2192" t="s">
        <v>619</v>
      </c>
      <c r="B2192" t="s">
        <v>161</v>
      </c>
      <c r="C2192" s="4">
        <f>(0.965752550654969/(0.965752550654969+0.034247449345031)) * 0.00523539221345648%</f>
        <v>5.0560933838247592E-5</v>
      </c>
      <c r="D2192" t="s">
        <v>288</v>
      </c>
      <c r="E2192" t="s">
        <v>398</v>
      </c>
      <c r="F2192" t="s">
        <v>399</v>
      </c>
      <c r="G2192" s="4" t="s">
        <v>245</v>
      </c>
    </row>
    <row r="2193" spans="1:7" x14ac:dyDescent="0.25">
      <c r="A2193" t="s">
        <v>619</v>
      </c>
      <c r="B2193" t="s">
        <v>161</v>
      </c>
      <c r="C2193" s="4">
        <f>(0.034247449345031/(0.965752550654969+0.034247449345031)) * 0.00523539221345648%</f>
        <v>1.7929882963172053E-6</v>
      </c>
      <c r="D2193" t="s">
        <v>242</v>
      </c>
      <c r="E2193" t="s">
        <v>289</v>
      </c>
      <c r="F2193" t="s">
        <v>399</v>
      </c>
      <c r="G2193" s="4" t="s">
        <v>245</v>
      </c>
    </row>
    <row r="2194" spans="1:7" x14ac:dyDescent="0.25">
      <c r="A2194" t="s">
        <v>619</v>
      </c>
      <c r="B2194" t="s">
        <v>174</v>
      </c>
      <c r="C2194" s="4">
        <f>(0.965752550654969/(0.965752550654969+0.034247449345031)) * 0.733620357898788%</f>
        <v>7.084957318531657E-3</v>
      </c>
      <c r="D2194" t="s">
        <v>288</v>
      </c>
      <c r="E2194" t="s">
        <v>398</v>
      </c>
      <c r="F2194" t="s">
        <v>399</v>
      </c>
      <c r="G2194" s="4" t="s">
        <v>245</v>
      </c>
    </row>
    <row r="2195" spans="1:7" x14ac:dyDescent="0.25">
      <c r="A2195" t="s">
        <v>619</v>
      </c>
      <c r="B2195" t="s">
        <v>174</v>
      </c>
      <c r="C2195" s="4">
        <f>(0.034247449345031/(0.965752550654969+0.034247449345031)) * 0.733620357898788%</f>
        <v>2.5124626045622256E-4</v>
      </c>
      <c r="D2195" t="s">
        <v>242</v>
      </c>
      <c r="E2195" t="s">
        <v>289</v>
      </c>
      <c r="F2195" t="s">
        <v>399</v>
      </c>
      <c r="G2195" s="4" t="s">
        <v>245</v>
      </c>
    </row>
    <row r="2196" spans="1:7" x14ac:dyDescent="0.25">
      <c r="A2196" t="s">
        <v>619</v>
      </c>
      <c r="B2196" t="s">
        <v>162</v>
      </c>
      <c r="C2196" s="4">
        <f>(0.965752550654969/(0.965752550654969+0.034247449345031)) * 8.22229972419986%</f>
        <v>7.9407069308956635E-2</v>
      </c>
      <c r="D2196" t="s">
        <v>288</v>
      </c>
      <c r="E2196" t="s">
        <v>398</v>
      </c>
      <c r="F2196" t="s">
        <v>399</v>
      </c>
      <c r="G2196" s="4" t="s">
        <v>245</v>
      </c>
    </row>
    <row r="2197" spans="1:7" x14ac:dyDescent="0.25">
      <c r="A2197" t="s">
        <v>619</v>
      </c>
      <c r="B2197" t="s">
        <v>162</v>
      </c>
      <c r="C2197" s="4">
        <f>(0.034247449345031/(0.965752550654969+0.034247449345031)) * 8.22229972419986%</f>
        <v>2.8159279330419711E-3</v>
      </c>
      <c r="D2197" t="s">
        <v>242</v>
      </c>
      <c r="E2197" t="s">
        <v>289</v>
      </c>
      <c r="F2197" t="s">
        <v>399</v>
      </c>
      <c r="G2197" s="4" t="s">
        <v>245</v>
      </c>
    </row>
    <row r="2198" spans="1:7" x14ac:dyDescent="0.25">
      <c r="A2198" t="s">
        <v>619</v>
      </c>
      <c r="B2198" t="s">
        <v>132</v>
      </c>
      <c r="C2198" s="4">
        <f>(0.965752550654969/(0.965752550654969+0.034247449345031)) * 0.00962093515489706%</f>
        <v>9.2914426655278949E-5</v>
      </c>
      <c r="D2198" t="s">
        <v>288</v>
      </c>
      <c r="E2198" t="s">
        <v>398</v>
      </c>
      <c r="F2198" t="s">
        <v>399</v>
      </c>
      <c r="G2198" s="4" t="s">
        <v>245</v>
      </c>
    </row>
    <row r="2199" spans="1:7" x14ac:dyDescent="0.25">
      <c r="A2199" t="s">
        <v>619</v>
      </c>
      <c r="B2199" t="s">
        <v>132</v>
      </c>
      <c r="C2199" s="4">
        <f>(0.034247449345031/(0.965752550654969+0.034247449345031)) * 0.00962093515489706%</f>
        <v>3.2949248936916507E-6</v>
      </c>
      <c r="D2199" t="s">
        <v>242</v>
      </c>
      <c r="E2199" t="s">
        <v>289</v>
      </c>
      <c r="F2199" t="s">
        <v>399</v>
      </c>
      <c r="G2199" s="4" t="s">
        <v>245</v>
      </c>
    </row>
    <row r="2200" spans="1:7" x14ac:dyDescent="0.25">
      <c r="A2200" t="s">
        <v>619</v>
      </c>
      <c r="B2200" t="s">
        <v>155</v>
      </c>
      <c r="C2200" s="4">
        <f>(0.965752550654969/(0.965752550654969+0.034247449345031)) * 1.34983323712398%</f>
        <v>1.3036048917113375E-2</v>
      </c>
      <c r="D2200" t="s">
        <v>288</v>
      </c>
      <c r="E2200" t="s">
        <v>398</v>
      </c>
      <c r="F2200" t="s">
        <v>399</v>
      </c>
      <c r="G2200" s="4" t="s">
        <v>245</v>
      </c>
    </row>
    <row r="2201" spans="1:7" x14ac:dyDescent="0.25">
      <c r="A2201" t="s">
        <v>619</v>
      </c>
      <c r="B2201" t="s">
        <v>155</v>
      </c>
      <c r="C2201" s="4">
        <f>(0.034247449345031/(0.965752550654969+0.034247449345031)) * 1.34983323712398%</f>
        <v>4.6228345412642729E-4</v>
      </c>
      <c r="D2201" t="s">
        <v>242</v>
      </c>
      <c r="E2201" t="s">
        <v>289</v>
      </c>
      <c r="F2201" t="s">
        <v>399</v>
      </c>
      <c r="G2201" s="4" t="s">
        <v>245</v>
      </c>
    </row>
    <row r="2202" spans="1:7" x14ac:dyDescent="0.25">
      <c r="A2202" t="s">
        <v>619</v>
      </c>
      <c r="B2202" t="s">
        <v>156</v>
      </c>
      <c r="C2202" s="4">
        <f>(0.965752550654969/(0.965752550654969+0.034247449345031)) * 13.8092409082163%</f>
        <v>0.13336309629718832</v>
      </c>
      <c r="D2202" t="s">
        <v>288</v>
      </c>
      <c r="E2202" t="s">
        <v>398</v>
      </c>
      <c r="F2202" t="s">
        <v>399</v>
      </c>
      <c r="G2202" s="4" t="s">
        <v>245</v>
      </c>
    </row>
    <row r="2203" spans="1:7" x14ac:dyDescent="0.25">
      <c r="A2203" t="s">
        <v>619</v>
      </c>
      <c r="B2203" t="s">
        <v>156</v>
      </c>
      <c r="C2203" s="4">
        <f>(0.034247449345031/(0.965752550654969+0.034247449345031)) * 13.8092409082163%</f>
        <v>4.7293127849746767E-3</v>
      </c>
      <c r="D2203" t="s">
        <v>242</v>
      </c>
      <c r="E2203" t="s">
        <v>289</v>
      </c>
      <c r="F2203" t="s">
        <v>399</v>
      </c>
      <c r="G2203" s="4" t="s">
        <v>245</v>
      </c>
    </row>
    <row r="2204" spans="1:7" x14ac:dyDescent="0.25">
      <c r="A2204" t="s">
        <v>619</v>
      </c>
      <c r="B2204" t="s">
        <v>151</v>
      </c>
      <c r="C2204" s="4">
        <f>(0.965752550654969/(0.965752550654969+0.034247449345031)) * 0.028782631005067%</f>
        <v>2.7796899307704244E-4</v>
      </c>
      <c r="D2204" t="s">
        <v>288</v>
      </c>
      <c r="E2204" t="s">
        <v>398</v>
      </c>
      <c r="F2204" t="s">
        <v>399</v>
      </c>
      <c r="G2204" s="4" t="s">
        <v>245</v>
      </c>
    </row>
    <row r="2205" spans="1:7" x14ac:dyDescent="0.25">
      <c r="A2205" t="s">
        <v>619</v>
      </c>
      <c r="B2205" t="s">
        <v>151</v>
      </c>
      <c r="C2205" s="4">
        <f>(0.034247449345031/(0.965752550654969+0.034247449345031)) * 0.028782631005067%</f>
        <v>9.8573169736275067E-6</v>
      </c>
      <c r="D2205" t="s">
        <v>242</v>
      </c>
      <c r="E2205" t="s">
        <v>289</v>
      </c>
      <c r="F2205" t="s">
        <v>399</v>
      </c>
      <c r="G2205" s="4" t="s">
        <v>245</v>
      </c>
    </row>
    <row r="2206" spans="1:7" x14ac:dyDescent="0.25">
      <c r="A2206" t="s">
        <v>619</v>
      </c>
      <c r="B2206" t="s">
        <v>107</v>
      </c>
      <c r="C2206" s="4">
        <f>(0.965752550654969/(0.965752550654969+0.034247449345031)) * 8.73500737605029%</f>
        <v>8.4358556534105372E-2</v>
      </c>
      <c r="D2206" t="s">
        <v>288</v>
      </c>
      <c r="E2206" t="s">
        <v>398</v>
      </c>
      <c r="F2206" t="s">
        <v>399</v>
      </c>
      <c r="G2206" s="4" t="s">
        <v>245</v>
      </c>
    </row>
    <row r="2207" spans="1:7" x14ac:dyDescent="0.25">
      <c r="A2207" t="s">
        <v>619</v>
      </c>
      <c r="B2207" t="s">
        <v>107</v>
      </c>
      <c r="C2207" s="4">
        <f>(0.034247449345031/(0.965752550654969+0.034247449345031)) * 8.73500737605029%</f>
        <v>2.9915172263975452E-3</v>
      </c>
      <c r="D2207" t="s">
        <v>242</v>
      </c>
      <c r="E2207" t="s">
        <v>289</v>
      </c>
      <c r="F2207" t="s">
        <v>399</v>
      </c>
      <c r="G2207" s="4" t="s">
        <v>245</v>
      </c>
    </row>
    <row r="2208" spans="1:7" x14ac:dyDescent="0.25">
      <c r="A2208" t="s">
        <v>619</v>
      </c>
      <c r="B2208" t="s">
        <v>137</v>
      </c>
      <c r="C2208" s="4">
        <f>(0.965752550654969/(0.965752550654969+0.034247449345031)) * 1.61804887435059%</f>
        <v>1.5626348274884839E-2</v>
      </c>
      <c r="D2208" t="s">
        <v>288</v>
      </c>
      <c r="E2208" t="s">
        <v>398</v>
      </c>
      <c r="F2208" t="s">
        <v>399</v>
      </c>
      <c r="G2208" s="4" t="s">
        <v>245</v>
      </c>
    </row>
    <row r="2209" spans="1:8" x14ac:dyDescent="0.25">
      <c r="A2209" t="s">
        <v>619</v>
      </c>
      <c r="B2209" t="s">
        <v>137</v>
      </c>
      <c r="C2209" s="4">
        <f>(0.034247449345031/(0.965752550654969+0.034247449345031)) * 1.61804887435059%</f>
        <v>5.5414046862106269E-4</v>
      </c>
      <c r="D2209" t="s">
        <v>242</v>
      </c>
      <c r="E2209" t="s">
        <v>289</v>
      </c>
      <c r="F2209" t="s">
        <v>399</v>
      </c>
      <c r="G2209" s="4" t="s">
        <v>245</v>
      </c>
    </row>
    <row r="2210" spans="1:8" x14ac:dyDescent="0.25">
      <c r="A2210" t="s">
        <v>619</v>
      </c>
      <c r="B2210" t="s">
        <v>112</v>
      </c>
      <c r="C2210" s="4">
        <f>(0.965752550654969/(0.965752550654969+0.034247449345031)) * 0.520484574433968%</f>
        <v>5.0265930533617068E-3</v>
      </c>
      <c r="D2210" t="s">
        <v>288</v>
      </c>
      <c r="E2210" t="s">
        <v>398</v>
      </c>
      <c r="F2210" t="s">
        <v>399</v>
      </c>
      <c r="G2210" s="4" t="s">
        <v>245</v>
      </c>
    </row>
    <row r="2211" spans="1:8" x14ac:dyDescent="0.25">
      <c r="A2211" t="s">
        <v>619</v>
      </c>
      <c r="B2211" t="s">
        <v>112</v>
      </c>
      <c r="C2211" s="4">
        <f>(0.034247449345031/(0.965752550654969+0.034247449345031)) * 0.520484574433968%</f>
        <v>1.7825269097797338E-4</v>
      </c>
      <c r="D2211" t="s">
        <v>242</v>
      </c>
      <c r="E2211" t="s">
        <v>289</v>
      </c>
      <c r="F2211" t="s">
        <v>399</v>
      </c>
      <c r="G2211" s="4" t="s">
        <v>245</v>
      </c>
    </row>
    <row r="2212" spans="1:8" x14ac:dyDescent="0.25">
      <c r="A2212" t="s">
        <v>619</v>
      </c>
      <c r="B2212" t="s">
        <v>113</v>
      </c>
      <c r="C2212" s="4">
        <f>(0.965752550654969/(0.965752550654969+0.034247449345031)) * 0.710698479892246%</f>
        <v>6.8635886970254576E-3</v>
      </c>
      <c r="D2212" t="s">
        <v>288</v>
      </c>
      <c r="E2212" t="s">
        <v>398</v>
      </c>
      <c r="F2212" t="s">
        <v>399</v>
      </c>
      <c r="G2212" s="4" t="s">
        <v>245</v>
      </c>
    </row>
    <row r="2213" spans="1:8" x14ac:dyDescent="0.25">
      <c r="A2213" t="s">
        <v>619</v>
      </c>
      <c r="B2213" t="s">
        <v>113</v>
      </c>
      <c r="C2213" s="4">
        <f>(0.034247449345031/(0.965752550654969+0.034247449345031)) * 0.710698479892246%</f>
        <v>2.4339610189700228E-4</v>
      </c>
      <c r="D2213" t="s">
        <v>242</v>
      </c>
      <c r="E2213" t="s">
        <v>289</v>
      </c>
      <c r="F2213" t="s">
        <v>399</v>
      </c>
      <c r="G2213" s="4" t="s">
        <v>245</v>
      </c>
    </row>
    <row r="2214" spans="1:8" x14ac:dyDescent="0.25">
      <c r="A2214" t="s">
        <v>619</v>
      </c>
      <c r="B2214" t="s">
        <v>143</v>
      </c>
      <c r="C2214" s="4">
        <f>(0.965752550654969/(0.965752550654969+0.034247449345031)) * 0.0694070296966198%</f>
        <v>6.7030015962895749E-4</v>
      </c>
      <c r="D2214" t="s">
        <v>288</v>
      </c>
      <c r="E2214" t="s">
        <v>398</v>
      </c>
      <c r="F2214" t="s">
        <v>399</v>
      </c>
      <c r="G2214" s="4" t="s">
        <v>245</v>
      </c>
    </row>
    <row r="2215" spans="1:8" x14ac:dyDescent="0.25">
      <c r="A2215" t="s">
        <v>619</v>
      </c>
      <c r="B2215" t="s">
        <v>143</v>
      </c>
      <c r="C2215" s="4">
        <f>(0.034247449345031/(0.965752550654969+0.034247449345031)) * 0.0694070296966198%</f>
        <v>2.3770137337240492E-5</v>
      </c>
      <c r="D2215" t="s">
        <v>242</v>
      </c>
      <c r="E2215" t="s">
        <v>289</v>
      </c>
      <c r="F2215" t="s">
        <v>399</v>
      </c>
      <c r="G2215" s="4" t="s">
        <v>245</v>
      </c>
    </row>
    <row r="2216" spans="1:8" x14ac:dyDescent="0.25">
      <c r="A2216" t="s">
        <v>619</v>
      </c>
      <c r="B2216" t="s">
        <v>158</v>
      </c>
      <c r="C2216" s="4">
        <f>(0.965752550654969/(0.965752550654969+0.034247449345031)) * 0.650816175998974%</f>
        <v>6.2852738197852233E-3</v>
      </c>
      <c r="D2216" t="s">
        <v>288</v>
      </c>
      <c r="E2216" t="s">
        <v>398</v>
      </c>
      <c r="F2216" t="s">
        <v>399</v>
      </c>
      <c r="G2216" s="4" t="s">
        <v>245</v>
      </c>
    </row>
    <row r="2217" spans="1:8" x14ac:dyDescent="0.25">
      <c r="A2217" t="s">
        <v>619</v>
      </c>
      <c r="B2217" t="s">
        <v>158</v>
      </c>
      <c r="C2217" s="4">
        <f>(0.034247449345031/(0.965752550654969+0.034247449345031)) * 0.650816175998974%</f>
        <v>2.2288794020451644E-4</v>
      </c>
      <c r="D2217" t="s">
        <v>242</v>
      </c>
      <c r="E2217" t="s">
        <v>289</v>
      </c>
      <c r="F2217" t="s">
        <v>399</v>
      </c>
      <c r="G2217" s="4" t="s">
        <v>245</v>
      </c>
    </row>
    <row r="2218" spans="1:8" x14ac:dyDescent="0.25">
      <c r="A2218" t="s">
        <v>392</v>
      </c>
      <c r="B2218" t="s">
        <v>83</v>
      </c>
      <c r="C2218" s="4">
        <f>(0.139645918974656/(0.139645918974656+0.161885636831319+0.336648016439843)) * 4.49237849005033%</f>
        <v>9.8301849496275039E-3</v>
      </c>
      <c r="D2218" t="s">
        <v>242</v>
      </c>
      <c r="E2218" t="s">
        <v>394</v>
      </c>
      <c r="F2218" t="s">
        <v>392</v>
      </c>
      <c r="G2218" s="4" t="s">
        <v>245</v>
      </c>
      <c r="H2218" t="s">
        <v>395</v>
      </c>
    </row>
    <row r="2219" spans="1:8" x14ac:dyDescent="0.25">
      <c r="A2219" t="s">
        <v>392</v>
      </c>
      <c r="B2219" t="s">
        <v>83</v>
      </c>
      <c r="C2219" s="4">
        <f>(0.161885636831319/(0.139645918974656+0.161885636831319+0.336648016439843)) * 4.49237849005033%</f>
        <v>1.1395719706129825E-2</v>
      </c>
      <c r="D2219" t="s">
        <v>242</v>
      </c>
      <c r="E2219" t="s">
        <v>317</v>
      </c>
      <c r="F2219" t="s">
        <v>392</v>
      </c>
      <c r="G2219" s="4" t="s">
        <v>245</v>
      </c>
      <c r="H2219" t="s">
        <v>620</v>
      </c>
    </row>
    <row r="2220" spans="1:8" x14ac:dyDescent="0.25">
      <c r="A2220" t="s">
        <v>392</v>
      </c>
      <c r="B2220" t="s">
        <v>83</v>
      </c>
      <c r="C2220" s="4">
        <f>(0.336648016439843/(0.139645918974656+0.161885636831319+0.336648016439843)) * 4.49237849005033%</f>
        <v>2.3697880244745971E-2</v>
      </c>
      <c r="D2220" t="s">
        <v>242</v>
      </c>
      <c r="E2220" t="s">
        <v>289</v>
      </c>
      <c r="F2220" t="s">
        <v>392</v>
      </c>
      <c r="G2220" s="4" t="s">
        <v>245</v>
      </c>
    </row>
    <row r="2221" spans="1:8" x14ac:dyDescent="0.25">
      <c r="A2221" t="s">
        <v>392</v>
      </c>
      <c r="B2221" t="s">
        <v>181</v>
      </c>
      <c r="C2221" s="4">
        <f>(0.139645918974656/(0.139645918974656+0.161885636831319+0.336648016439843)) * 0.0288895222572721%</f>
        <v>6.3215810405187683E-5</v>
      </c>
      <c r="D2221" t="s">
        <v>242</v>
      </c>
      <c r="E2221" t="s">
        <v>394</v>
      </c>
      <c r="F2221" t="s">
        <v>392</v>
      </c>
      <c r="G2221" s="4" t="s">
        <v>245</v>
      </c>
    </row>
    <row r="2222" spans="1:8" x14ac:dyDescent="0.25">
      <c r="A2222" t="s">
        <v>392</v>
      </c>
      <c r="B2222" t="s">
        <v>181</v>
      </c>
      <c r="C2222" s="4">
        <f>(0.161885636831319/(0.139645918974656+0.161885636831319+0.336648016439843)) * 0.0288895222572721%</f>
        <v>7.3283428548377607E-5</v>
      </c>
      <c r="D2222" t="s">
        <v>242</v>
      </c>
      <c r="E2222" t="s">
        <v>317</v>
      </c>
      <c r="F2222" t="s">
        <v>392</v>
      </c>
      <c r="G2222" s="4" t="s">
        <v>245</v>
      </c>
    </row>
    <row r="2223" spans="1:8" x14ac:dyDescent="0.25">
      <c r="A2223" t="s">
        <v>392</v>
      </c>
      <c r="B2223" t="s">
        <v>181</v>
      </c>
      <c r="C2223" s="4">
        <f>(0.336648016439843/(0.139645918974656+0.161885636831319+0.336648016439843)) * 0.0288895222572721%</f>
        <v>1.5239598361915571E-4</v>
      </c>
      <c r="D2223" t="s">
        <v>242</v>
      </c>
      <c r="E2223" t="s">
        <v>289</v>
      </c>
      <c r="F2223" t="s">
        <v>392</v>
      </c>
      <c r="G2223" s="4" t="s">
        <v>245</v>
      </c>
    </row>
    <row r="2224" spans="1:8" x14ac:dyDescent="0.25">
      <c r="A2224" t="s">
        <v>392</v>
      </c>
      <c r="B2224" t="s">
        <v>85</v>
      </c>
      <c r="C2224" s="4">
        <f>(0.139645918974656/(0.139645918974656+0.161885636831319+0.336648016439843)) * 2.5208171706774%</f>
        <v>5.5160309993555201E-3</v>
      </c>
      <c r="D2224" t="s">
        <v>242</v>
      </c>
      <c r="E2224" t="s">
        <v>394</v>
      </c>
      <c r="F2224" t="s">
        <v>392</v>
      </c>
      <c r="G2224" s="4" t="s">
        <v>245</v>
      </c>
    </row>
    <row r="2225" spans="1:7" x14ac:dyDescent="0.25">
      <c r="A2225" t="s">
        <v>392</v>
      </c>
      <c r="B2225" t="s">
        <v>85</v>
      </c>
      <c r="C2225" s="4">
        <f>(0.161885636831319/(0.139645918974656+0.161885636831319+0.336648016439843)) * 2.5208171706774%</f>
        <v>6.3945025939070067E-3</v>
      </c>
      <c r="D2225" t="s">
        <v>242</v>
      </c>
      <c r="E2225" t="s">
        <v>317</v>
      </c>
      <c r="F2225" t="s">
        <v>392</v>
      </c>
      <c r="G2225" s="4" t="s">
        <v>245</v>
      </c>
    </row>
    <row r="2226" spans="1:7" x14ac:dyDescent="0.25">
      <c r="A2226" t="s">
        <v>392</v>
      </c>
      <c r="B2226" t="s">
        <v>85</v>
      </c>
      <c r="C2226" s="4">
        <f>(0.336648016439843/(0.139645918974656+0.161885636831319+0.336648016439843)) * 2.5208171706774%</f>
        <v>1.3297638113511473E-2</v>
      </c>
      <c r="D2226" t="s">
        <v>242</v>
      </c>
      <c r="E2226" t="s">
        <v>289</v>
      </c>
      <c r="F2226" t="s">
        <v>392</v>
      </c>
      <c r="G2226" s="4" t="s">
        <v>245</v>
      </c>
    </row>
    <row r="2227" spans="1:7" x14ac:dyDescent="0.25">
      <c r="A2227" t="s">
        <v>392</v>
      </c>
      <c r="B2227" t="s">
        <v>116</v>
      </c>
      <c r="C2227" s="4">
        <f>(0.139645918974656/(0.139645918974656+0.161885636831319+0.336648016439843)) * 5.44731752118985%</f>
        <v>1.1919774531740923E-2</v>
      </c>
      <c r="D2227" t="s">
        <v>242</v>
      </c>
      <c r="E2227" t="s">
        <v>394</v>
      </c>
      <c r="F2227" t="s">
        <v>392</v>
      </c>
      <c r="G2227" s="4" t="s">
        <v>245</v>
      </c>
    </row>
    <row r="2228" spans="1:7" x14ac:dyDescent="0.25">
      <c r="A2228" t="s">
        <v>392</v>
      </c>
      <c r="B2228" t="s">
        <v>116</v>
      </c>
      <c r="C2228" s="4">
        <f>(0.161885636831319/(0.139645918974656+0.161885636831319+0.336648016439843)) * 5.44731752118985%</f>
        <v>1.3818092967735224E-2</v>
      </c>
      <c r="D2228" t="s">
        <v>242</v>
      </c>
      <c r="E2228" t="s">
        <v>317</v>
      </c>
      <c r="F2228" t="s">
        <v>392</v>
      </c>
      <c r="G2228" s="4" t="s">
        <v>245</v>
      </c>
    </row>
    <row r="2229" spans="1:7" x14ac:dyDescent="0.25">
      <c r="A2229" t="s">
        <v>392</v>
      </c>
      <c r="B2229" t="s">
        <v>116</v>
      </c>
      <c r="C2229" s="4">
        <f>(0.336648016439843/(0.139645918974656+0.161885636831319+0.336648016439843)) * 5.44731752118985%</f>
        <v>2.8735307712422359E-2</v>
      </c>
      <c r="D2229" t="s">
        <v>242</v>
      </c>
      <c r="E2229" t="s">
        <v>289</v>
      </c>
      <c r="F2229" t="s">
        <v>392</v>
      </c>
      <c r="G2229" s="4" t="s">
        <v>245</v>
      </c>
    </row>
    <row r="2230" spans="1:7" x14ac:dyDescent="0.25">
      <c r="A2230" t="s">
        <v>392</v>
      </c>
      <c r="B2230" t="s">
        <v>86</v>
      </c>
      <c r="C2230" s="4">
        <v>0.29673666432826618</v>
      </c>
      <c r="D2230" t="s">
        <v>254</v>
      </c>
      <c r="E2230" t="s">
        <v>393</v>
      </c>
      <c r="F2230" t="s">
        <v>392</v>
      </c>
      <c r="G2230" s="4" t="s">
        <v>245</v>
      </c>
    </row>
    <row r="2231" spans="1:7" x14ac:dyDescent="0.25">
      <c r="A2231" t="s">
        <v>392</v>
      </c>
      <c r="B2231" t="s">
        <v>87</v>
      </c>
      <c r="C2231" s="4">
        <f>(0.139645918974656/(0.139645918974656+0.161885636831319+0.336648016439843)) * 1.63948864224941%</f>
        <v>3.5875153021545213E-3</v>
      </c>
      <c r="D2231" t="s">
        <v>242</v>
      </c>
      <c r="E2231" t="s">
        <v>394</v>
      </c>
      <c r="F2231" t="s">
        <v>392</v>
      </c>
      <c r="G2231" s="4" t="s">
        <v>245</v>
      </c>
    </row>
    <row r="2232" spans="1:7" x14ac:dyDescent="0.25">
      <c r="A2232" t="s">
        <v>392</v>
      </c>
      <c r="B2232" t="s">
        <v>87</v>
      </c>
      <c r="C2232" s="4">
        <f>(0.161885636831319/(0.139645918974656+0.161885636831319+0.336648016439843)) * 1.63948864224941%</f>
        <v>4.158855508242877E-3</v>
      </c>
      <c r="D2232" t="s">
        <v>242</v>
      </c>
      <c r="E2232" t="s">
        <v>317</v>
      </c>
      <c r="F2232" t="s">
        <v>392</v>
      </c>
      <c r="G2232" s="4" t="s">
        <v>245</v>
      </c>
    </row>
    <row r="2233" spans="1:7" x14ac:dyDescent="0.25">
      <c r="A2233" t="s">
        <v>392</v>
      </c>
      <c r="B2233" t="s">
        <v>87</v>
      </c>
      <c r="C2233" s="4">
        <f>(0.336648016439843/(0.139645918974656+0.161885636831319+0.336648016439843)) * 1.63948864224941%</f>
        <v>8.6485156120967022E-3</v>
      </c>
      <c r="D2233" t="s">
        <v>242</v>
      </c>
      <c r="E2233" t="s">
        <v>289</v>
      </c>
      <c r="F2233" t="s">
        <v>392</v>
      </c>
      <c r="G2233" s="4" t="s">
        <v>245</v>
      </c>
    </row>
    <row r="2234" spans="1:7" x14ac:dyDescent="0.25">
      <c r="A2234" t="s">
        <v>392</v>
      </c>
      <c r="B2234" t="s">
        <v>160</v>
      </c>
      <c r="C2234" s="4">
        <f>(0.139645918974656/(0.139645918974656+0.161885636831319+0.336648016439843)) * 0.604203722637805%</f>
        <v>1.322113520474211E-3</v>
      </c>
      <c r="D2234" t="s">
        <v>242</v>
      </c>
      <c r="E2234" t="s">
        <v>394</v>
      </c>
      <c r="F2234" t="s">
        <v>392</v>
      </c>
      <c r="G2234" s="4" t="s">
        <v>245</v>
      </c>
    </row>
    <row r="2235" spans="1:7" x14ac:dyDescent="0.25">
      <c r="A2235" t="s">
        <v>392</v>
      </c>
      <c r="B2235" t="s">
        <v>160</v>
      </c>
      <c r="C2235" s="4">
        <f>(0.161885636831319/(0.139645918974656+0.161885636831319+0.336648016439843)) * 0.604203722637805%</f>
        <v>1.5326705627832116E-3</v>
      </c>
      <c r="D2235" t="s">
        <v>242</v>
      </c>
      <c r="E2235" t="s">
        <v>317</v>
      </c>
      <c r="F2235" t="s">
        <v>392</v>
      </c>
      <c r="G2235" s="4" t="s">
        <v>245</v>
      </c>
    </row>
    <row r="2236" spans="1:7" x14ac:dyDescent="0.25">
      <c r="A2236" t="s">
        <v>392</v>
      </c>
      <c r="B2236" t="s">
        <v>160</v>
      </c>
      <c r="C2236" s="4">
        <f>(0.336648016439843/(0.139645918974656+0.161885636831319+0.336648016439843)) * 0.604203722637805%</f>
        <v>3.1872531431206279E-3</v>
      </c>
      <c r="D2236" t="s">
        <v>242</v>
      </c>
      <c r="E2236" t="s">
        <v>289</v>
      </c>
      <c r="F2236" t="s">
        <v>392</v>
      </c>
      <c r="G2236" s="4" t="s">
        <v>245</v>
      </c>
    </row>
    <row r="2237" spans="1:7" x14ac:dyDescent="0.25">
      <c r="A2237" t="s">
        <v>392</v>
      </c>
      <c r="B2237" t="s">
        <v>166</v>
      </c>
      <c r="C2237" s="4">
        <f>(0.139645918974656/(0.139645918974656+0.161885636831319+0.336648016439843)) * 0.0018736918721145%</f>
        <v>4.0999968462793052E-6</v>
      </c>
      <c r="D2237" t="s">
        <v>242</v>
      </c>
      <c r="E2237" t="s">
        <v>394</v>
      </c>
      <c r="F2237" t="s">
        <v>392</v>
      </c>
      <c r="G2237" s="4" t="s">
        <v>245</v>
      </c>
    </row>
    <row r="2238" spans="1:7" x14ac:dyDescent="0.25">
      <c r="A2238" t="s">
        <v>392</v>
      </c>
      <c r="B2238" t="s">
        <v>166</v>
      </c>
      <c r="C2238" s="4">
        <f>(0.161885636831319/(0.139645918974656+0.161885636831319+0.336648016439843)) * 0.0018736918721145%</f>
        <v>4.7529537944233352E-6</v>
      </c>
      <c r="D2238" t="s">
        <v>242</v>
      </c>
      <c r="E2238" t="s">
        <v>317</v>
      </c>
      <c r="F2238" t="s">
        <v>392</v>
      </c>
      <c r="G2238" s="4" t="s">
        <v>245</v>
      </c>
    </row>
    <row r="2239" spans="1:7" x14ac:dyDescent="0.25">
      <c r="A2239" t="s">
        <v>392</v>
      </c>
      <c r="B2239" t="s">
        <v>166</v>
      </c>
      <c r="C2239" s="4">
        <f>(0.336648016439843/(0.139645918974656+0.161885636831319+0.336648016439843)) * 0.0018736918721145%</f>
        <v>9.8839680804423595E-6</v>
      </c>
      <c r="D2239" t="s">
        <v>242</v>
      </c>
      <c r="E2239" t="s">
        <v>289</v>
      </c>
      <c r="F2239" t="s">
        <v>392</v>
      </c>
      <c r="G2239" s="4" t="s">
        <v>245</v>
      </c>
    </row>
    <row r="2240" spans="1:7" x14ac:dyDescent="0.25">
      <c r="A2240" t="s">
        <v>392</v>
      </c>
      <c r="B2240" t="s">
        <v>89</v>
      </c>
      <c r="C2240" s="4">
        <f>(0.139645918974656/(0.139645918974656+0.161885636831319+0.336648016439843)) * 0.899479402554775%</f>
        <v>1.9682332877955767E-3</v>
      </c>
      <c r="D2240" t="s">
        <v>242</v>
      </c>
      <c r="E2240" t="s">
        <v>394</v>
      </c>
      <c r="F2240" t="s">
        <v>392</v>
      </c>
      <c r="G2240" s="4" t="s">
        <v>245</v>
      </c>
    </row>
    <row r="2241" spans="1:7" x14ac:dyDescent="0.25">
      <c r="A2241" t="s">
        <v>392</v>
      </c>
      <c r="B2241" t="s">
        <v>89</v>
      </c>
      <c r="C2241" s="4">
        <f>(0.161885636831319/(0.139645918974656+0.161885636831319+0.336648016439843)) * 0.899479402554775%</f>
        <v>2.281690016914958E-3</v>
      </c>
      <c r="D2241" t="s">
        <v>242</v>
      </c>
      <c r="E2241" t="s">
        <v>317</v>
      </c>
      <c r="F2241" t="s">
        <v>392</v>
      </c>
      <c r="G2241" s="4" t="s">
        <v>245</v>
      </c>
    </row>
    <row r="2242" spans="1:7" x14ac:dyDescent="0.25">
      <c r="A2242" t="s">
        <v>392</v>
      </c>
      <c r="B2242" t="s">
        <v>89</v>
      </c>
      <c r="C2242" s="4">
        <f>(0.336648016439843/(0.139645918974656+0.161885636831319+0.336648016439843)) * 0.899479402554775%</f>
        <v>4.7448707208372154E-3</v>
      </c>
      <c r="D2242" t="s">
        <v>242</v>
      </c>
      <c r="E2242" t="s">
        <v>289</v>
      </c>
      <c r="F2242" t="s">
        <v>392</v>
      </c>
      <c r="G2242" s="4" t="s">
        <v>245</v>
      </c>
    </row>
    <row r="2243" spans="1:7" x14ac:dyDescent="0.25">
      <c r="A2243" t="s">
        <v>392</v>
      </c>
      <c r="B2243" t="s">
        <v>154</v>
      </c>
      <c r="C2243" s="4">
        <f>(0.139645918974656/(0.139645918974656+0.161885636831319+0.336648016439843)) * 3.52753447985117%</f>
        <v>7.7189213753751556E-3</v>
      </c>
      <c r="D2243" t="s">
        <v>242</v>
      </c>
      <c r="E2243" t="s">
        <v>394</v>
      </c>
      <c r="F2243" t="s">
        <v>392</v>
      </c>
      <c r="G2243" s="4" t="s">
        <v>245</v>
      </c>
    </row>
    <row r="2244" spans="1:7" x14ac:dyDescent="0.25">
      <c r="A2244" t="s">
        <v>392</v>
      </c>
      <c r="B2244" t="s">
        <v>154</v>
      </c>
      <c r="C2244" s="4">
        <f>(0.161885636831319/(0.139645918974656+0.161885636831319+0.336648016439843)) * 3.52753447985117%</f>
        <v>8.9482206975935452E-3</v>
      </c>
      <c r="D2244" t="s">
        <v>242</v>
      </c>
      <c r="E2244" t="s">
        <v>317</v>
      </c>
      <c r="F2244" t="s">
        <v>392</v>
      </c>
      <c r="G2244" s="4" t="s">
        <v>245</v>
      </c>
    </row>
    <row r="2245" spans="1:7" x14ac:dyDescent="0.25">
      <c r="A2245" t="s">
        <v>392</v>
      </c>
      <c r="B2245" t="s">
        <v>154</v>
      </c>
      <c r="C2245" s="4">
        <f>(0.336648016439843/(0.139645918974656+0.161885636831319+0.336648016439843)) * 3.52753447985117%</f>
        <v>1.8608202725543001E-2</v>
      </c>
      <c r="D2245" t="s">
        <v>242</v>
      </c>
      <c r="E2245" t="s">
        <v>289</v>
      </c>
      <c r="F2245" t="s">
        <v>392</v>
      </c>
      <c r="G2245" s="4" t="s">
        <v>245</v>
      </c>
    </row>
    <row r="2246" spans="1:7" x14ac:dyDescent="0.25">
      <c r="A2246" t="s">
        <v>392</v>
      </c>
      <c r="B2246" t="s">
        <v>91</v>
      </c>
      <c r="C2246" s="4">
        <f>(0.139645918974656/(0.139645918974656+0.161885636831319+0.336648016439843)) * 0.235243252666358%</f>
        <v>5.1475731329938428E-4</v>
      </c>
      <c r="D2246" t="s">
        <v>242</v>
      </c>
      <c r="E2246" t="s">
        <v>394</v>
      </c>
      <c r="F2246" t="s">
        <v>392</v>
      </c>
      <c r="G2246" s="4" t="s">
        <v>245</v>
      </c>
    </row>
    <row r="2247" spans="1:7" x14ac:dyDescent="0.25">
      <c r="A2247" t="s">
        <v>392</v>
      </c>
      <c r="B2247" t="s">
        <v>91</v>
      </c>
      <c r="C2247" s="4">
        <f>(0.161885636831319/(0.139645918974656+0.161885636831319+0.336648016439843)) * 0.235243252666358%</f>
        <v>5.9673648960821644E-4</v>
      </c>
      <c r="D2247" t="s">
        <v>242</v>
      </c>
      <c r="E2247" t="s">
        <v>317</v>
      </c>
      <c r="F2247" t="s">
        <v>392</v>
      </c>
      <c r="G2247" s="4" t="s">
        <v>245</v>
      </c>
    </row>
    <row r="2248" spans="1:7" x14ac:dyDescent="0.25">
      <c r="A2248" t="s">
        <v>392</v>
      </c>
      <c r="B2248" t="s">
        <v>91</v>
      </c>
      <c r="C2248" s="4">
        <f>(0.336648016439843/(0.139645918974656+0.161885636831319+0.336648016439843)) * 0.235243252666358%</f>
        <v>1.2409387237559794E-3</v>
      </c>
      <c r="D2248" t="s">
        <v>242</v>
      </c>
      <c r="E2248" t="s">
        <v>289</v>
      </c>
      <c r="F2248" t="s">
        <v>392</v>
      </c>
      <c r="G2248" s="4" t="s">
        <v>245</v>
      </c>
    </row>
    <row r="2249" spans="1:7" x14ac:dyDescent="0.25">
      <c r="A2249" t="s">
        <v>392</v>
      </c>
      <c r="B2249" t="s">
        <v>93</v>
      </c>
      <c r="C2249" s="4">
        <f>(0.139645918974656/(0.139645918974656+0.161885636831319+0.336648016439843)) * 0.450404160289305%</f>
        <v>9.8557060753710814E-4</v>
      </c>
      <c r="D2249" t="s">
        <v>242</v>
      </c>
      <c r="E2249" t="s">
        <v>394</v>
      </c>
      <c r="F2249" t="s">
        <v>392</v>
      </c>
      <c r="G2249" s="4" t="s">
        <v>245</v>
      </c>
    </row>
    <row r="2250" spans="1:7" x14ac:dyDescent="0.25">
      <c r="A2250" t="s">
        <v>392</v>
      </c>
      <c r="B2250" t="s">
        <v>93</v>
      </c>
      <c r="C2250" s="4">
        <f>(0.161885636831319/(0.139645918974656+0.161885636831319+0.336648016439843)) * 0.450404160289305%</f>
        <v>1.1425305273140922E-3</v>
      </c>
      <c r="D2250" t="s">
        <v>242</v>
      </c>
      <c r="E2250" t="s">
        <v>317</v>
      </c>
      <c r="F2250" t="s">
        <v>392</v>
      </c>
      <c r="G2250" s="4" t="s">
        <v>245</v>
      </c>
    </row>
    <row r="2251" spans="1:7" x14ac:dyDescent="0.25">
      <c r="A2251" t="s">
        <v>392</v>
      </c>
      <c r="B2251" t="s">
        <v>93</v>
      </c>
      <c r="C2251" s="4">
        <f>(0.336648016439843/(0.139645918974656+0.161885636831319+0.336648016439843)) * 0.450404160289305%</f>
        <v>2.3759404680418496E-3</v>
      </c>
      <c r="D2251" t="s">
        <v>242</v>
      </c>
      <c r="E2251" t="s">
        <v>289</v>
      </c>
      <c r="F2251" t="s">
        <v>392</v>
      </c>
      <c r="G2251" s="4" t="s">
        <v>245</v>
      </c>
    </row>
    <row r="2252" spans="1:7" x14ac:dyDescent="0.25">
      <c r="A2252" t="s">
        <v>392</v>
      </c>
      <c r="B2252" t="s">
        <v>196</v>
      </c>
      <c r="C2252" s="4">
        <f>(0.139645918974656/(0.139645918974656+0.161885636831319+0.336648016439843)) * 0.744697596449527%</f>
        <v>1.6295410373046958E-3</v>
      </c>
      <c r="D2252" t="s">
        <v>242</v>
      </c>
      <c r="E2252" t="s">
        <v>394</v>
      </c>
      <c r="F2252" t="s">
        <v>392</v>
      </c>
      <c r="G2252" s="4" t="s">
        <v>245</v>
      </c>
    </row>
    <row r="2253" spans="1:7" x14ac:dyDescent="0.25">
      <c r="A2253" t="s">
        <v>392</v>
      </c>
      <c r="B2253" t="s">
        <v>196</v>
      </c>
      <c r="C2253" s="4">
        <f>(0.161885636831319/(0.139645918974656+0.161885636831319+0.336648016439843)) * 0.744697596449527%</f>
        <v>1.8890583448751923E-3</v>
      </c>
      <c r="D2253" t="s">
        <v>242</v>
      </c>
      <c r="E2253" t="s">
        <v>317</v>
      </c>
      <c r="F2253" t="s">
        <v>392</v>
      </c>
      <c r="G2253" s="4" t="s">
        <v>245</v>
      </c>
    </row>
    <row r="2254" spans="1:7" x14ac:dyDescent="0.25">
      <c r="A2254" t="s">
        <v>392</v>
      </c>
      <c r="B2254" t="s">
        <v>196</v>
      </c>
      <c r="C2254" s="4">
        <f>(0.336648016439843/(0.139645918974656+0.161885636831319+0.336648016439843)) * 0.744697596449527%</f>
        <v>3.9283765823153825E-3</v>
      </c>
      <c r="D2254" t="s">
        <v>242</v>
      </c>
      <c r="E2254" t="s">
        <v>289</v>
      </c>
      <c r="F2254" t="s">
        <v>392</v>
      </c>
      <c r="G2254" s="4" t="s">
        <v>245</v>
      </c>
    </row>
    <row r="2255" spans="1:7" x14ac:dyDescent="0.25">
      <c r="A2255" t="s">
        <v>392</v>
      </c>
      <c r="B2255" t="s">
        <v>97</v>
      </c>
      <c r="C2255" s="4">
        <f>(0.139645918974656/(0.139645918974656+0.161885636831319+0.336648016439843)) * 0.00206353730409086%</f>
        <v>4.5154150289419683E-6</v>
      </c>
      <c r="D2255" t="s">
        <v>242</v>
      </c>
      <c r="E2255" t="s">
        <v>394</v>
      </c>
      <c r="F2255" t="s">
        <v>392</v>
      </c>
      <c r="G2255" s="4" t="s">
        <v>245</v>
      </c>
    </row>
    <row r="2256" spans="1:7" x14ac:dyDescent="0.25">
      <c r="A2256" t="s">
        <v>392</v>
      </c>
      <c r="B2256" t="s">
        <v>97</v>
      </c>
      <c r="C2256" s="4">
        <f>(0.161885636831319/(0.139645918974656+0.161885636831319+0.336648016439843)) * 0.00206353730409086%</f>
        <v>5.2345306105983901E-6</v>
      </c>
      <c r="D2256" t="s">
        <v>242</v>
      </c>
      <c r="E2256" t="s">
        <v>317</v>
      </c>
      <c r="F2256" t="s">
        <v>392</v>
      </c>
      <c r="G2256" s="4" t="s">
        <v>245</v>
      </c>
    </row>
    <row r="2257" spans="1:7" x14ac:dyDescent="0.25">
      <c r="A2257" t="s">
        <v>392</v>
      </c>
      <c r="B2257" t="s">
        <v>97</v>
      </c>
      <c r="C2257" s="4">
        <f>(0.336648016439843/(0.139645918974656+0.161885636831319+0.336648016439843)) * 0.00206353730409086%</f>
        <v>1.0885427401368242E-5</v>
      </c>
      <c r="D2257" t="s">
        <v>242</v>
      </c>
      <c r="E2257" t="s">
        <v>289</v>
      </c>
      <c r="F2257" t="s">
        <v>392</v>
      </c>
      <c r="G2257" s="4" t="s">
        <v>245</v>
      </c>
    </row>
    <row r="2258" spans="1:7" x14ac:dyDescent="0.25">
      <c r="A2258" t="s">
        <v>392</v>
      </c>
      <c r="B2258" t="s">
        <v>98</v>
      </c>
      <c r="C2258" s="4">
        <f>(0.139645918974656/(0.139645918974656+0.161885636831319+0.336648016439843)) * 19.8784675577681%</f>
        <v>4.3497896056803827E-2</v>
      </c>
      <c r="D2258" t="s">
        <v>242</v>
      </c>
      <c r="E2258" t="s">
        <v>394</v>
      </c>
      <c r="F2258" t="s">
        <v>392</v>
      </c>
      <c r="G2258" s="4" t="s">
        <v>245</v>
      </c>
    </row>
    <row r="2259" spans="1:7" x14ac:dyDescent="0.25">
      <c r="A2259" t="s">
        <v>392</v>
      </c>
      <c r="B2259" t="s">
        <v>98</v>
      </c>
      <c r="C2259" s="4">
        <f>(0.161885636831319/(0.139645918974656+0.161885636831319+0.336648016439843)) * 19.8784675577681%</f>
        <v>5.0425280278016481E-2</v>
      </c>
      <c r="D2259" t="s">
        <v>242</v>
      </c>
      <c r="E2259" t="s">
        <v>317</v>
      </c>
      <c r="F2259" t="s">
        <v>392</v>
      </c>
      <c r="G2259" s="4" t="s">
        <v>245</v>
      </c>
    </row>
    <row r="2260" spans="1:7" x14ac:dyDescent="0.25">
      <c r="A2260" t="s">
        <v>392</v>
      </c>
      <c r="B2260" t="s">
        <v>98</v>
      </c>
      <c r="C2260" s="4">
        <f>(0.336648016439843/(0.139645918974656+0.161885636831319+0.336648016439843)) * 19.8784675577681%</f>
        <v>0.1048614992428607</v>
      </c>
      <c r="D2260" t="s">
        <v>242</v>
      </c>
      <c r="E2260" t="s">
        <v>289</v>
      </c>
      <c r="F2260" t="s">
        <v>392</v>
      </c>
      <c r="G2260" s="4" t="s">
        <v>245</v>
      </c>
    </row>
    <row r="2261" spans="1:7" x14ac:dyDescent="0.25">
      <c r="A2261" t="s">
        <v>392</v>
      </c>
      <c r="B2261" t="s">
        <v>119</v>
      </c>
      <c r="C2261" s="4">
        <f>(0.139645918974656/(0.139645918974656+0.161885636831319+0.336648016439843)) * 7.48790829045922%</f>
        <v>1.6384978145561058E-2</v>
      </c>
      <c r="D2261" t="s">
        <v>242</v>
      </c>
      <c r="E2261" t="s">
        <v>394</v>
      </c>
      <c r="F2261" t="s">
        <v>392</v>
      </c>
      <c r="G2261" s="4" t="s">
        <v>245</v>
      </c>
    </row>
    <row r="2262" spans="1:7" x14ac:dyDescent="0.25">
      <c r="A2262" t="s">
        <v>392</v>
      </c>
      <c r="B2262" t="s">
        <v>119</v>
      </c>
      <c r="C2262" s="4">
        <f>(0.161885636831319/(0.139645918974656+0.161885636831319+0.336648016439843)) * 7.48790829045922%</f>
        <v>1.8994415597943761E-2</v>
      </c>
      <c r="D2262" t="s">
        <v>242</v>
      </c>
      <c r="E2262" t="s">
        <v>317</v>
      </c>
      <c r="F2262" t="s">
        <v>392</v>
      </c>
      <c r="G2262" s="4" t="s">
        <v>245</v>
      </c>
    </row>
    <row r="2263" spans="1:7" x14ac:dyDescent="0.25">
      <c r="A2263" t="s">
        <v>392</v>
      </c>
      <c r="B2263" t="s">
        <v>119</v>
      </c>
      <c r="C2263" s="4">
        <f>(0.336648016439843/(0.139645918974656+0.161885636831319+0.336648016439843)) * 7.48790829045922%</f>
        <v>3.9499689161087391E-2</v>
      </c>
      <c r="D2263" t="s">
        <v>242</v>
      </c>
      <c r="E2263" t="s">
        <v>289</v>
      </c>
      <c r="F2263" t="s">
        <v>392</v>
      </c>
      <c r="G2263" s="4" t="s">
        <v>245</v>
      </c>
    </row>
    <row r="2264" spans="1:7" x14ac:dyDescent="0.25">
      <c r="A2264" t="s">
        <v>392</v>
      </c>
      <c r="B2264" t="s">
        <v>148</v>
      </c>
      <c r="C2264" s="4">
        <f>(0.139645918974656/(0.139645918974656+0.161885636831319+0.336648016439843)) * 1.82593336474863%</f>
        <v>3.9954920808494918E-3</v>
      </c>
      <c r="D2264" t="s">
        <v>242</v>
      </c>
      <c r="E2264" t="s">
        <v>394</v>
      </c>
      <c r="F2264" t="s">
        <v>392</v>
      </c>
      <c r="G2264" s="4" t="s">
        <v>245</v>
      </c>
    </row>
    <row r="2265" spans="1:7" x14ac:dyDescent="0.25">
      <c r="A2265" t="s">
        <v>392</v>
      </c>
      <c r="B2265" t="s">
        <v>148</v>
      </c>
      <c r="C2265" s="4">
        <f>(0.161885636831319/(0.139645918974656+0.161885636831319+0.336648016439843)) * 1.82593336474863%</f>
        <v>4.6318058179716688E-3</v>
      </c>
      <c r="D2265" t="s">
        <v>242</v>
      </c>
      <c r="E2265" t="s">
        <v>317</v>
      </c>
      <c r="F2265" t="s">
        <v>392</v>
      </c>
      <c r="G2265" s="4" t="s">
        <v>245</v>
      </c>
    </row>
    <row r="2266" spans="1:7" x14ac:dyDescent="0.25">
      <c r="A2266" t="s">
        <v>392</v>
      </c>
      <c r="B2266" t="s">
        <v>148</v>
      </c>
      <c r="C2266" s="4">
        <f>(0.336648016439843/(0.139645918974656+0.161885636831319+0.336648016439843)) * 1.82593336474863%</f>
        <v>9.6320357486651392E-3</v>
      </c>
      <c r="D2266" t="s">
        <v>242</v>
      </c>
      <c r="E2266" t="s">
        <v>289</v>
      </c>
      <c r="F2266" t="s">
        <v>392</v>
      </c>
      <c r="G2266" s="4" t="s">
        <v>245</v>
      </c>
    </row>
    <row r="2267" spans="1:7" x14ac:dyDescent="0.25">
      <c r="A2267" t="s">
        <v>392</v>
      </c>
      <c r="B2267" t="s">
        <v>230</v>
      </c>
      <c r="C2267" s="4">
        <f>(0.139645918974656/(0.139645918974656+0.161885636831319+0.336648016439843)) * 0.26660901968854%</f>
        <v>5.833916217393043E-4</v>
      </c>
      <c r="D2267" t="s">
        <v>242</v>
      </c>
      <c r="E2267" t="s">
        <v>394</v>
      </c>
      <c r="F2267" t="s">
        <v>392</v>
      </c>
      <c r="G2267" s="4" t="s">
        <v>245</v>
      </c>
    </row>
    <row r="2268" spans="1:7" x14ac:dyDescent="0.25">
      <c r="A2268" t="s">
        <v>392</v>
      </c>
      <c r="B2268" t="s">
        <v>230</v>
      </c>
      <c r="C2268" s="4">
        <f>(0.161885636831319/(0.139645918974656+0.161885636831319+0.336648016439843)) * 0.26660901968854%</f>
        <v>6.7630135488931425E-4</v>
      </c>
      <c r="D2268" t="s">
        <v>242</v>
      </c>
      <c r="E2268" t="s">
        <v>317</v>
      </c>
      <c r="F2268" t="s">
        <v>392</v>
      </c>
      <c r="G2268" s="4" t="s">
        <v>245</v>
      </c>
    </row>
    <row r="2269" spans="1:7" x14ac:dyDescent="0.25">
      <c r="A2269" t="s">
        <v>392</v>
      </c>
      <c r="B2269" t="s">
        <v>230</v>
      </c>
      <c r="C2269" s="4">
        <f>(0.336648016439843/(0.139645918974656+0.161885636831319+0.336648016439843)) * 0.26660901968854%</f>
        <v>1.4063972202567818E-3</v>
      </c>
      <c r="D2269" t="s">
        <v>242</v>
      </c>
      <c r="E2269" t="s">
        <v>289</v>
      </c>
      <c r="F2269" t="s">
        <v>392</v>
      </c>
      <c r="G2269" s="4" t="s">
        <v>245</v>
      </c>
    </row>
    <row r="2270" spans="1:7" x14ac:dyDescent="0.25">
      <c r="A2270" t="s">
        <v>392</v>
      </c>
      <c r="B2270" t="s">
        <v>141</v>
      </c>
      <c r="C2270" s="4">
        <f>(0.139645918974656/(0.139645918974656+0.161885636831319+0.336648016439843)) * 1.16867197094804%</f>
        <v>2.5572782091511231E-3</v>
      </c>
      <c r="D2270" t="s">
        <v>242</v>
      </c>
      <c r="E2270" t="s">
        <v>394</v>
      </c>
      <c r="F2270" t="s">
        <v>392</v>
      </c>
      <c r="G2270" s="4" t="s">
        <v>245</v>
      </c>
    </row>
    <row r="2271" spans="1:7" x14ac:dyDescent="0.25">
      <c r="A2271" t="s">
        <v>392</v>
      </c>
      <c r="B2271" t="s">
        <v>141</v>
      </c>
      <c r="C2271" s="4">
        <f>(0.161885636831319/(0.139645918974656+0.161885636831319+0.336648016439843)) * 1.16867197094804%</f>
        <v>2.9645450041287497E-3</v>
      </c>
      <c r="D2271" t="s">
        <v>242</v>
      </c>
      <c r="E2271" t="s">
        <v>317</v>
      </c>
      <c r="F2271" t="s">
        <v>392</v>
      </c>
      <c r="G2271" s="4" t="s">
        <v>245</v>
      </c>
    </row>
    <row r="2272" spans="1:7" x14ac:dyDescent="0.25">
      <c r="A2272" t="s">
        <v>392</v>
      </c>
      <c r="B2272" t="s">
        <v>141</v>
      </c>
      <c r="C2272" s="4">
        <f>(0.336648016439843/(0.139645918974656+0.161885636831319+0.336648016439843)) * 1.16867197094804%</f>
        <v>6.1648964962005273E-3</v>
      </c>
      <c r="D2272" t="s">
        <v>242</v>
      </c>
      <c r="E2272" t="s">
        <v>289</v>
      </c>
      <c r="F2272" t="s">
        <v>392</v>
      </c>
      <c r="G2272" s="4" t="s">
        <v>245</v>
      </c>
    </row>
    <row r="2273" spans="1:7" x14ac:dyDescent="0.25">
      <c r="A2273" t="s">
        <v>392</v>
      </c>
      <c r="B2273" t="s">
        <v>161</v>
      </c>
      <c r="C2273" s="4">
        <f>(0.139645918974656/(0.139645918974656+0.161885636831319+0.336648016439843)) * 0.000825414921636345%</f>
        <v>1.8061660115767894E-6</v>
      </c>
      <c r="D2273" t="s">
        <v>242</v>
      </c>
      <c r="E2273" t="s">
        <v>394</v>
      </c>
      <c r="F2273" t="s">
        <v>392</v>
      </c>
      <c r="G2273" s="4" t="s">
        <v>245</v>
      </c>
    </row>
    <row r="2274" spans="1:7" x14ac:dyDescent="0.25">
      <c r="A2274" t="s">
        <v>392</v>
      </c>
      <c r="B2274" t="s">
        <v>161</v>
      </c>
      <c r="C2274" s="4">
        <f>(0.161885636831319/(0.139645918974656+0.161885636831319+0.336648016439843)) * 0.000825414921636345%</f>
        <v>2.0938122442393585E-6</v>
      </c>
      <c r="D2274" t="s">
        <v>242</v>
      </c>
      <c r="E2274" t="s">
        <v>317</v>
      </c>
      <c r="F2274" t="s">
        <v>392</v>
      </c>
      <c r="G2274" s="4" t="s">
        <v>245</v>
      </c>
    </row>
    <row r="2275" spans="1:7" x14ac:dyDescent="0.25">
      <c r="A2275" t="s">
        <v>392</v>
      </c>
      <c r="B2275" t="s">
        <v>161</v>
      </c>
      <c r="C2275" s="4">
        <f>(0.336648016439843/(0.139645918974656+0.161885636831319+0.336648016439843)) * 0.000825414921636345%</f>
        <v>4.3541709605473022E-6</v>
      </c>
      <c r="D2275" t="s">
        <v>242</v>
      </c>
      <c r="E2275" t="s">
        <v>289</v>
      </c>
      <c r="F2275" t="s">
        <v>392</v>
      </c>
      <c r="G2275" s="4" t="s">
        <v>245</v>
      </c>
    </row>
    <row r="2276" spans="1:7" x14ac:dyDescent="0.25">
      <c r="A2276" t="s">
        <v>392</v>
      </c>
      <c r="B2276" t="s">
        <v>174</v>
      </c>
      <c r="C2276" s="4">
        <f>(0.139645918974656/(0.139645918974656+0.161885636831319+0.336648016439843)) * 0.755279415744905%</f>
        <v>1.6526960855731102E-3</v>
      </c>
      <c r="D2276" t="s">
        <v>242</v>
      </c>
      <c r="E2276" t="s">
        <v>394</v>
      </c>
      <c r="F2276" t="s">
        <v>392</v>
      </c>
      <c r="G2276" s="4" t="s">
        <v>245</v>
      </c>
    </row>
    <row r="2277" spans="1:7" x14ac:dyDescent="0.25">
      <c r="A2277" t="s">
        <v>392</v>
      </c>
      <c r="B2277" t="s">
        <v>174</v>
      </c>
      <c r="C2277" s="4">
        <f>(0.161885636831319/(0.139645918974656+0.161885636831319+0.336648016439843)) * 0.755279415744905%</f>
        <v>1.9159010178463407E-3</v>
      </c>
      <c r="D2277" t="s">
        <v>242</v>
      </c>
      <c r="E2277" t="s">
        <v>317</v>
      </c>
      <c r="F2277" t="s">
        <v>392</v>
      </c>
      <c r="G2277" s="4" t="s">
        <v>245</v>
      </c>
    </row>
    <row r="2278" spans="1:7" x14ac:dyDescent="0.25">
      <c r="A2278" t="s">
        <v>392</v>
      </c>
      <c r="B2278" t="s">
        <v>174</v>
      </c>
      <c r="C2278" s="4">
        <f>(0.336648016439843/(0.139645918974656+0.161885636831319+0.336648016439843)) * 0.755279415744905%</f>
        <v>3.9841970540295995E-3</v>
      </c>
      <c r="D2278" t="s">
        <v>242</v>
      </c>
      <c r="E2278" t="s">
        <v>289</v>
      </c>
      <c r="F2278" t="s">
        <v>392</v>
      </c>
      <c r="G2278" s="4" t="s">
        <v>245</v>
      </c>
    </row>
    <row r="2279" spans="1:7" x14ac:dyDescent="0.25">
      <c r="A2279" t="s">
        <v>392</v>
      </c>
      <c r="B2279" t="s">
        <v>162</v>
      </c>
      <c r="C2279" s="4">
        <f>(0.139645918974656/(0.139645918974656+0.161885636831319+0.336648016439843)) * 3.54092270988011%</f>
        <v>7.7482173880829277E-3</v>
      </c>
      <c r="D2279" t="s">
        <v>242</v>
      </c>
      <c r="E2279" t="s">
        <v>394</v>
      </c>
      <c r="F2279" t="s">
        <v>392</v>
      </c>
      <c r="G2279" s="4" t="s">
        <v>245</v>
      </c>
    </row>
    <row r="2280" spans="1:7" x14ac:dyDescent="0.25">
      <c r="A2280" t="s">
        <v>392</v>
      </c>
      <c r="B2280" t="s">
        <v>162</v>
      </c>
      <c r="C2280" s="4">
        <f>(0.161885636831319/(0.139645918974656+0.161885636831319+0.336648016439843)) * 3.54092270988011%</f>
        <v>8.982182332195103E-3</v>
      </c>
      <c r="D2280" t="s">
        <v>242</v>
      </c>
      <c r="E2280" t="s">
        <v>317</v>
      </c>
      <c r="F2280" t="s">
        <v>392</v>
      </c>
      <c r="G2280" s="4" t="s">
        <v>245</v>
      </c>
    </row>
    <row r="2281" spans="1:7" x14ac:dyDescent="0.25">
      <c r="A2281" t="s">
        <v>392</v>
      </c>
      <c r="B2281" t="s">
        <v>162</v>
      </c>
      <c r="C2281" s="4">
        <f>(0.336648016439843/(0.139645918974656+0.161885636831319+0.336648016439843)) * 3.54092270988011%</f>
        <v>1.8678827378523069E-2</v>
      </c>
      <c r="D2281" t="s">
        <v>242</v>
      </c>
      <c r="E2281" t="s">
        <v>289</v>
      </c>
      <c r="F2281" t="s">
        <v>392</v>
      </c>
      <c r="G2281" s="4" t="s">
        <v>245</v>
      </c>
    </row>
    <row r="2282" spans="1:7" x14ac:dyDescent="0.25">
      <c r="A2282" t="s">
        <v>392</v>
      </c>
      <c r="B2282" t="s">
        <v>176</v>
      </c>
      <c r="C2282" s="4">
        <f>(0.139645918974656/(0.139645918974656+0.161885636831319+0.336648016439843)) * 0.561282146712715%</f>
        <v>1.2281928878722177E-3</v>
      </c>
      <c r="D2282" t="s">
        <v>242</v>
      </c>
      <c r="E2282" t="s">
        <v>394</v>
      </c>
      <c r="F2282" t="s">
        <v>392</v>
      </c>
      <c r="G2282" s="4" t="s">
        <v>245</v>
      </c>
    </row>
    <row r="2283" spans="1:7" x14ac:dyDescent="0.25">
      <c r="A2283" t="s">
        <v>392</v>
      </c>
      <c r="B2283" t="s">
        <v>176</v>
      </c>
      <c r="C2283" s="4">
        <f>(0.161885636831319/(0.139645918974656+0.161885636831319+0.336648016439843)) * 0.561282146712715%</f>
        <v>1.4237923260827649E-3</v>
      </c>
      <c r="D2283" t="s">
        <v>242</v>
      </c>
      <c r="E2283" t="s">
        <v>317</v>
      </c>
      <c r="F2283" t="s">
        <v>392</v>
      </c>
      <c r="G2283" s="4" t="s">
        <v>245</v>
      </c>
    </row>
    <row r="2284" spans="1:7" x14ac:dyDescent="0.25">
      <c r="A2284" t="s">
        <v>392</v>
      </c>
      <c r="B2284" t="s">
        <v>176</v>
      </c>
      <c r="C2284" s="4">
        <f>(0.336648016439843/(0.139645918974656+0.161885636831319+0.336648016439843)) * 0.561282146712715%</f>
        <v>2.9608362531721678E-3</v>
      </c>
      <c r="D2284" t="s">
        <v>242</v>
      </c>
      <c r="E2284" t="s">
        <v>289</v>
      </c>
      <c r="F2284" t="s">
        <v>392</v>
      </c>
      <c r="G2284" s="4" t="s">
        <v>245</v>
      </c>
    </row>
    <row r="2285" spans="1:7" x14ac:dyDescent="0.25">
      <c r="A2285" t="s">
        <v>392</v>
      </c>
      <c r="B2285" t="s">
        <v>132</v>
      </c>
      <c r="C2285" s="4">
        <f>(0.139645918974656/(0.139645918974656+0.161885636831319+0.336648016439843)) * 3.72882016264141%</f>
        <v>8.1593730189582735E-3</v>
      </c>
      <c r="D2285" t="s">
        <v>242</v>
      </c>
      <c r="E2285" t="s">
        <v>394</v>
      </c>
      <c r="F2285" t="s">
        <v>392</v>
      </c>
      <c r="G2285" s="4" t="s">
        <v>245</v>
      </c>
    </row>
    <row r="2286" spans="1:7" x14ac:dyDescent="0.25">
      <c r="A2286" t="s">
        <v>392</v>
      </c>
      <c r="B2286" t="s">
        <v>132</v>
      </c>
      <c r="C2286" s="4">
        <f>(0.161885636831319/(0.139645918974656+0.161885636831319+0.336648016439843)) * 3.72882016264141%</f>
        <v>9.4588177514737578E-3</v>
      </c>
      <c r="D2286" t="s">
        <v>242</v>
      </c>
      <c r="E2286" t="s">
        <v>317</v>
      </c>
      <c r="F2286" t="s">
        <v>392</v>
      </c>
      <c r="G2286" s="4" t="s">
        <v>245</v>
      </c>
    </row>
    <row r="2287" spans="1:7" x14ac:dyDescent="0.25">
      <c r="A2287" t="s">
        <v>392</v>
      </c>
      <c r="B2287" t="s">
        <v>132</v>
      </c>
      <c r="C2287" s="4">
        <f>(0.336648016439843/(0.139645918974656+0.161885636831319+0.336648016439843)) * 3.72882016264141%</f>
        <v>1.9670010855982072E-2</v>
      </c>
      <c r="D2287" t="s">
        <v>242</v>
      </c>
      <c r="E2287" t="s">
        <v>289</v>
      </c>
      <c r="F2287" t="s">
        <v>392</v>
      </c>
      <c r="G2287" s="4" t="s">
        <v>245</v>
      </c>
    </row>
    <row r="2288" spans="1:7" x14ac:dyDescent="0.25">
      <c r="A2288" t="s">
        <v>392</v>
      </c>
      <c r="B2288" t="s">
        <v>151</v>
      </c>
      <c r="C2288" s="4">
        <f>(0.139645918974656/(0.139645918974656+0.161885636831319+0.336648016439843)) * 0.0292196882259266%</f>
        <v>6.3938276809818323E-5</v>
      </c>
      <c r="D2288" t="s">
        <v>242</v>
      </c>
      <c r="E2288" t="s">
        <v>394</v>
      </c>
      <c r="F2288" t="s">
        <v>392</v>
      </c>
      <c r="G2288" s="4" t="s">
        <v>245</v>
      </c>
    </row>
    <row r="2289" spans="1:7" x14ac:dyDescent="0.25">
      <c r="A2289" t="s">
        <v>392</v>
      </c>
      <c r="B2289" t="s">
        <v>151</v>
      </c>
      <c r="C2289" s="4">
        <f>(0.161885636831319/(0.139645918974656+0.161885636831319+0.336648016439843)) * 0.0292196882259266%</f>
        <v>7.4120953446073261E-5</v>
      </c>
      <c r="D2289" t="s">
        <v>242</v>
      </c>
      <c r="E2289" t="s">
        <v>317</v>
      </c>
      <c r="F2289" t="s">
        <v>392</v>
      </c>
      <c r="G2289" s="4" t="s">
        <v>245</v>
      </c>
    </row>
    <row r="2290" spans="1:7" x14ac:dyDescent="0.25">
      <c r="A2290" t="s">
        <v>392</v>
      </c>
      <c r="B2290" t="s">
        <v>151</v>
      </c>
      <c r="C2290" s="4">
        <f>(0.336648016439843/(0.139645918974656+0.161885636831319+0.336648016439843)) * 0.0292196882259266%</f>
        <v>1.5413765200337443E-4</v>
      </c>
      <c r="D2290" t="s">
        <v>242</v>
      </c>
      <c r="E2290" t="s">
        <v>289</v>
      </c>
      <c r="F2290" t="s">
        <v>392</v>
      </c>
      <c r="G2290" s="4" t="s">
        <v>245</v>
      </c>
    </row>
    <row r="2291" spans="1:7" x14ac:dyDescent="0.25">
      <c r="A2291" t="s">
        <v>392</v>
      </c>
      <c r="B2291" t="s">
        <v>107</v>
      </c>
      <c r="C2291" s="4">
        <v>6.8517692645033032E-2</v>
      </c>
      <c r="D2291" t="s">
        <v>312</v>
      </c>
      <c r="E2291" t="s">
        <v>335</v>
      </c>
      <c r="F2291" t="s">
        <v>392</v>
      </c>
      <c r="G2291" s="4" t="s">
        <v>245</v>
      </c>
    </row>
    <row r="2292" spans="1:7" x14ac:dyDescent="0.25">
      <c r="A2292" t="s">
        <v>392</v>
      </c>
      <c r="B2292" t="s">
        <v>137</v>
      </c>
      <c r="C2292" s="4">
        <v>1.557557957127784E-2</v>
      </c>
      <c r="D2292" t="s">
        <v>320</v>
      </c>
      <c r="E2292" t="s">
        <v>337</v>
      </c>
      <c r="F2292" t="s">
        <v>392</v>
      </c>
      <c r="G2292" s="4" t="s">
        <v>245</v>
      </c>
    </row>
    <row r="2293" spans="1:7" x14ac:dyDescent="0.25">
      <c r="A2293" t="s">
        <v>392</v>
      </c>
      <c r="B2293" t="s">
        <v>122</v>
      </c>
      <c r="C2293" s="4">
        <f>(0.139645918974656/(0.139645918974656+0.161885636831319+0.336648016439843)) * 0.625053703558339%</f>
        <v>1.3677372739266404E-3</v>
      </c>
      <c r="D2293" t="s">
        <v>242</v>
      </c>
      <c r="E2293" t="s">
        <v>394</v>
      </c>
      <c r="F2293" t="s">
        <v>392</v>
      </c>
      <c r="G2293" s="4" t="s">
        <v>245</v>
      </c>
    </row>
    <row r="2294" spans="1:7" x14ac:dyDescent="0.25">
      <c r="A2294" t="s">
        <v>392</v>
      </c>
      <c r="B2294" t="s">
        <v>122</v>
      </c>
      <c r="C2294" s="4">
        <f>(0.161885636831319/(0.139645918974656+0.161885636831319+0.336648016439843)) * 0.625053703558339%</f>
        <v>1.5855602600726975E-3</v>
      </c>
      <c r="D2294" t="s">
        <v>242</v>
      </c>
      <c r="E2294" t="s">
        <v>317</v>
      </c>
      <c r="F2294" t="s">
        <v>392</v>
      </c>
      <c r="G2294" s="4" t="s">
        <v>245</v>
      </c>
    </row>
    <row r="2295" spans="1:7" x14ac:dyDescent="0.25">
      <c r="A2295" t="s">
        <v>392</v>
      </c>
      <c r="B2295" t="s">
        <v>122</v>
      </c>
      <c r="C2295" s="4">
        <f>(0.336648016439843/(0.139645918974656+0.161885636831319+0.336648016439843)) * 0.625053703558339%</f>
        <v>3.2972395015840521E-3</v>
      </c>
      <c r="D2295" t="s">
        <v>242</v>
      </c>
      <c r="E2295" t="s">
        <v>289</v>
      </c>
      <c r="F2295" t="s">
        <v>392</v>
      </c>
      <c r="G2295" s="4" t="s">
        <v>245</v>
      </c>
    </row>
    <row r="2296" spans="1:7" x14ac:dyDescent="0.25">
      <c r="A2296" t="s">
        <v>392</v>
      </c>
      <c r="B2296" t="s">
        <v>140</v>
      </c>
      <c r="C2296" s="4">
        <f>(0.139645918974656/(0.139645918974656+0.161885636831319+0.336648016439843)) * 1.45362171019534%</f>
        <v>3.1808028396676643E-3</v>
      </c>
      <c r="D2296" t="s">
        <v>242</v>
      </c>
      <c r="E2296" t="s">
        <v>394</v>
      </c>
      <c r="F2296" t="s">
        <v>392</v>
      </c>
      <c r="G2296" s="4" t="s">
        <v>245</v>
      </c>
    </row>
    <row r="2297" spans="1:7" x14ac:dyDescent="0.25">
      <c r="A2297" t="s">
        <v>392</v>
      </c>
      <c r="B2297" t="s">
        <v>140</v>
      </c>
      <c r="C2297" s="4">
        <f>(0.161885636831319/(0.139645918974656+0.161885636831319+0.336648016439843)) * 1.45362171019534%</f>
        <v>3.6873708670850636E-3</v>
      </c>
      <c r="D2297" t="s">
        <v>242</v>
      </c>
      <c r="E2297" t="s">
        <v>317</v>
      </c>
      <c r="F2297" t="s">
        <v>392</v>
      </c>
      <c r="G2297" s="4" t="s">
        <v>245</v>
      </c>
    </row>
    <row r="2298" spans="1:7" x14ac:dyDescent="0.25">
      <c r="A2298" t="s">
        <v>392</v>
      </c>
      <c r="B2298" t="s">
        <v>140</v>
      </c>
      <c r="C2298" s="4">
        <f>(0.336648016439843/(0.139645918974656+0.161885636831319+0.336648016439843)) * 1.45362171019534%</f>
        <v>7.6680433952006719E-3</v>
      </c>
      <c r="D2298" t="s">
        <v>242</v>
      </c>
      <c r="E2298" t="s">
        <v>289</v>
      </c>
      <c r="F2298" t="s">
        <v>392</v>
      </c>
      <c r="G2298" s="4" t="s">
        <v>245</v>
      </c>
    </row>
    <row r="2299" spans="1:7" x14ac:dyDescent="0.25">
      <c r="A2299" t="s">
        <v>401</v>
      </c>
      <c r="B2299" t="s">
        <v>183</v>
      </c>
      <c r="C2299" s="4">
        <v>5.4091216230614577E-3</v>
      </c>
      <c r="D2299" t="s">
        <v>256</v>
      </c>
      <c r="E2299" t="s">
        <v>400</v>
      </c>
      <c r="F2299" t="s">
        <v>401</v>
      </c>
      <c r="G2299" s="4" t="s">
        <v>245</v>
      </c>
    </row>
    <row r="2300" spans="1:7" x14ac:dyDescent="0.25">
      <c r="A2300" t="s">
        <v>401</v>
      </c>
      <c r="B2300" t="s">
        <v>83</v>
      </c>
      <c r="C2300" s="4">
        <v>3.7626963919784552E-3</v>
      </c>
      <c r="D2300" t="s">
        <v>256</v>
      </c>
      <c r="E2300" t="s">
        <v>400</v>
      </c>
      <c r="F2300" t="s">
        <v>401</v>
      </c>
      <c r="G2300" s="4" t="s">
        <v>245</v>
      </c>
    </row>
    <row r="2301" spans="1:7" x14ac:dyDescent="0.25">
      <c r="A2301" t="s">
        <v>401</v>
      </c>
      <c r="B2301" t="s">
        <v>85</v>
      </c>
      <c r="C2301" s="4">
        <v>2.3759660780296971E-2</v>
      </c>
      <c r="D2301" t="s">
        <v>256</v>
      </c>
      <c r="E2301" t="s">
        <v>400</v>
      </c>
      <c r="F2301" t="s">
        <v>401</v>
      </c>
      <c r="G2301" s="4" t="s">
        <v>245</v>
      </c>
    </row>
    <row r="2302" spans="1:7" x14ac:dyDescent="0.25">
      <c r="A2302" t="s">
        <v>401</v>
      </c>
      <c r="B2302" t="s">
        <v>186</v>
      </c>
      <c r="C2302" s="4">
        <v>7.1980364967208426E-6</v>
      </c>
      <c r="D2302" t="s">
        <v>256</v>
      </c>
      <c r="E2302" t="s">
        <v>400</v>
      </c>
      <c r="F2302" t="s">
        <v>401</v>
      </c>
      <c r="G2302" s="4" t="s">
        <v>245</v>
      </c>
    </row>
    <row r="2303" spans="1:7" x14ac:dyDescent="0.25">
      <c r="A2303" t="s">
        <v>401</v>
      </c>
      <c r="B2303" t="s">
        <v>145</v>
      </c>
      <c r="C2303" s="4">
        <v>1.3938574338297469E-5</v>
      </c>
      <c r="D2303" t="s">
        <v>256</v>
      </c>
      <c r="E2303" t="s">
        <v>400</v>
      </c>
      <c r="F2303" t="s">
        <v>401</v>
      </c>
      <c r="G2303" s="4" t="s">
        <v>245</v>
      </c>
    </row>
    <row r="2304" spans="1:7" x14ac:dyDescent="0.25">
      <c r="A2304" t="s">
        <v>401</v>
      </c>
      <c r="B2304" t="s">
        <v>86</v>
      </c>
      <c r="C2304" s="4">
        <v>0.42098697608395602</v>
      </c>
      <c r="D2304" t="s">
        <v>256</v>
      </c>
      <c r="E2304" t="s">
        <v>400</v>
      </c>
      <c r="F2304" t="s">
        <v>401</v>
      </c>
      <c r="G2304" s="4" t="s">
        <v>245</v>
      </c>
    </row>
    <row r="2305" spans="1:7" x14ac:dyDescent="0.25">
      <c r="A2305" t="s">
        <v>401</v>
      </c>
      <c r="B2305" t="s">
        <v>233</v>
      </c>
      <c r="C2305" s="4">
        <v>2.3220867468094989E-3</v>
      </c>
      <c r="D2305" t="s">
        <v>256</v>
      </c>
      <c r="E2305" t="s">
        <v>400</v>
      </c>
      <c r="F2305" t="s">
        <v>401</v>
      </c>
      <c r="G2305" s="4" t="s">
        <v>245</v>
      </c>
    </row>
    <row r="2306" spans="1:7" x14ac:dyDescent="0.25">
      <c r="A2306" t="s">
        <v>401</v>
      </c>
      <c r="B2306" t="s">
        <v>87</v>
      </c>
      <c r="C2306" s="4">
        <v>2.5343436370402092E-4</v>
      </c>
      <c r="D2306" t="s">
        <v>256</v>
      </c>
      <c r="E2306" t="s">
        <v>400</v>
      </c>
      <c r="F2306" t="s">
        <v>401</v>
      </c>
      <c r="G2306" s="4" t="s">
        <v>245</v>
      </c>
    </row>
    <row r="2307" spans="1:7" x14ac:dyDescent="0.25">
      <c r="A2307" t="s">
        <v>401</v>
      </c>
      <c r="B2307" t="s">
        <v>160</v>
      </c>
      <c r="C2307" s="4">
        <v>2.5945103316307259E-6</v>
      </c>
      <c r="D2307" t="s">
        <v>256</v>
      </c>
      <c r="E2307" t="s">
        <v>400</v>
      </c>
      <c r="F2307" t="s">
        <v>401</v>
      </c>
      <c r="G2307" s="4" t="s">
        <v>245</v>
      </c>
    </row>
    <row r="2308" spans="1:7" x14ac:dyDescent="0.25">
      <c r="A2308" t="s">
        <v>401</v>
      </c>
      <c r="B2308" t="s">
        <v>128</v>
      </c>
      <c r="C2308" s="4">
        <v>1.2457973775713531E-2</v>
      </c>
      <c r="D2308" t="s">
        <v>256</v>
      </c>
      <c r="E2308" t="s">
        <v>400</v>
      </c>
      <c r="F2308" t="s">
        <v>401</v>
      </c>
      <c r="G2308" s="4" t="s">
        <v>245</v>
      </c>
    </row>
    <row r="2309" spans="1:7" x14ac:dyDescent="0.25">
      <c r="A2309" t="s">
        <v>401</v>
      </c>
      <c r="B2309" t="s">
        <v>154</v>
      </c>
      <c r="C2309" s="4">
        <v>4.2788534663737348E-3</v>
      </c>
      <c r="D2309" t="s">
        <v>333</v>
      </c>
      <c r="E2309" t="s">
        <v>400</v>
      </c>
      <c r="F2309" t="s">
        <v>401</v>
      </c>
      <c r="G2309" s="4" t="s">
        <v>245</v>
      </c>
    </row>
    <row r="2310" spans="1:7" x14ac:dyDescent="0.25">
      <c r="A2310" t="s">
        <v>401</v>
      </c>
      <c r="B2310" t="s">
        <v>97</v>
      </c>
      <c r="C2310" s="4">
        <v>6.1369146348814107E-3</v>
      </c>
      <c r="D2310" t="s">
        <v>256</v>
      </c>
      <c r="E2310" t="s">
        <v>400</v>
      </c>
      <c r="F2310" t="s">
        <v>401</v>
      </c>
      <c r="G2310" s="4" t="s">
        <v>245</v>
      </c>
    </row>
    <row r="2311" spans="1:7" x14ac:dyDescent="0.25">
      <c r="A2311" t="s">
        <v>401</v>
      </c>
      <c r="B2311" t="s">
        <v>99</v>
      </c>
      <c r="C2311" s="4">
        <v>3.9053088413772011E-4</v>
      </c>
      <c r="D2311" t="s">
        <v>256</v>
      </c>
      <c r="E2311" t="s">
        <v>400</v>
      </c>
      <c r="F2311" t="s">
        <v>401</v>
      </c>
      <c r="G2311" s="4" t="s">
        <v>245</v>
      </c>
    </row>
    <row r="2312" spans="1:7" x14ac:dyDescent="0.25">
      <c r="A2312" t="s">
        <v>401</v>
      </c>
      <c r="B2312" t="s">
        <v>234</v>
      </c>
      <c r="C2312" s="4">
        <v>8.7964278283608126E-4</v>
      </c>
      <c r="D2312" t="s">
        <v>256</v>
      </c>
      <c r="E2312" t="s">
        <v>400</v>
      </c>
      <c r="F2312" t="s">
        <v>401</v>
      </c>
      <c r="G2312" s="4" t="s">
        <v>245</v>
      </c>
    </row>
    <row r="2313" spans="1:7" x14ac:dyDescent="0.25">
      <c r="A2313" t="s">
        <v>401</v>
      </c>
      <c r="B2313" t="s">
        <v>222</v>
      </c>
      <c r="C2313" s="4">
        <v>1.105126486737444E-2</v>
      </c>
      <c r="D2313" t="s">
        <v>256</v>
      </c>
      <c r="E2313" t="s">
        <v>400</v>
      </c>
      <c r="F2313" t="s">
        <v>401</v>
      </c>
      <c r="G2313" s="4" t="s">
        <v>245</v>
      </c>
    </row>
    <row r="2314" spans="1:7" x14ac:dyDescent="0.25">
      <c r="A2314" t="s">
        <v>401</v>
      </c>
      <c r="B2314" t="s">
        <v>223</v>
      </c>
      <c r="C2314" s="4">
        <v>3.8819336005443739E-2</v>
      </c>
      <c r="D2314" t="s">
        <v>256</v>
      </c>
      <c r="E2314" t="s">
        <v>400</v>
      </c>
      <c r="F2314" t="s">
        <v>401</v>
      </c>
      <c r="G2314" s="4" t="s">
        <v>245</v>
      </c>
    </row>
    <row r="2315" spans="1:7" x14ac:dyDescent="0.25">
      <c r="A2315" t="s">
        <v>401</v>
      </c>
      <c r="B2315" t="s">
        <v>102</v>
      </c>
      <c r="C2315" s="4">
        <v>5.8877222955696059E-3</v>
      </c>
      <c r="D2315" t="s">
        <v>256</v>
      </c>
      <c r="E2315" t="s">
        <v>400</v>
      </c>
      <c r="F2315" t="s">
        <v>401</v>
      </c>
      <c r="G2315" s="4" t="s">
        <v>245</v>
      </c>
    </row>
    <row r="2316" spans="1:7" x14ac:dyDescent="0.25">
      <c r="A2316" t="s">
        <v>401</v>
      </c>
      <c r="B2316" t="s">
        <v>171</v>
      </c>
      <c r="C2316" s="4">
        <v>3.7695208189874208E-4</v>
      </c>
      <c r="D2316" t="s">
        <v>256</v>
      </c>
      <c r="E2316" t="s">
        <v>400</v>
      </c>
      <c r="F2316" t="s">
        <v>401</v>
      </c>
      <c r="G2316" s="4" t="s">
        <v>245</v>
      </c>
    </row>
    <row r="2317" spans="1:7" x14ac:dyDescent="0.25">
      <c r="A2317" t="s">
        <v>401</v>
      </c>
      <c r="B2317" t="s">
        <v>213</v>
      </c>
      <c r="C2317" s="4">
        <v>3.7594454705329222E-6</v>
      </c>
      <c r="D2317" t="s">
        <v>256</v>
      </c>
      <c r="E2317" t="s">
        <v>400</v>
      </c>
      <c r="F2317" t="s">
        <v>401</v>
      </c>
      <c r="G2317" s="4" t="s">
        <v>245</v>
      </c>
    </row>
    <row r="2318" spans="1:7" x14ac:dyDescent="0.25">
      <c r="A2318" t="s">
        <v>401</v>
      </c>
      <c r="B2318" t="s">
        <v>200</v>
      </c>
      <c r="C2318" s="4">
        <v>2.755369972191831E-4</v>
      </c>
      <c r="D2318" t="s">
        <v>256</v>
      </c>
      <c r="E2318" t="s">
        <v>400</v>
      </c>
      <c r="F2318" t="s">
        <v>401</v>
      </c>
      <c r="G2318" s="4" t="s">
        <v>245</v>
      </c>
    </row>
    <row r="2319" spans="1:7" x14ac:dyDescent="0.25">
      <c r="A2319" t="s">
        <v>401</v>
      </c>
      <c r="B2319" t="s">
        <v>150</v>
      </c>
      <c r="C2319" s="4">
        <v>4.0137645622600289E-3</v>
      </c>
      <c r="D2319" t="s">
        <v>256</v>
      </c>
      <c r="E2319" t="s">
        <v>400</v>
      </c>
      <c r="F2319" t="s">
        <v>401</v>
      </c>
      <c r="G2319" s="4" t="s">
        <v>245</v>
      </c>
    </row>
    <row r="2320" spans="1:7" x14ac:dyDescent="0.25">
      <c r="A2320" t="s">
        <v>401</v>
      </c>
      <c r="B2320" t="s">
        <v>161</v>
      </c>
      <c r="C2320" s="4">
        <v>0.15958141180438831</v>
      </c>
      <c r="D2320" t="s">
        <v>402</v>
      </c>
      <c r="E2320" t="s">
        <v>400</v>
      </c>
      <c r="F2320" t="s">
        <v>401</v>
      </c>
      <c r="G2320" s="4" t="s">
        <v>245</v>
      </c>
    </row>
    <row r="2321" spans="1:7" x14ac:dyDescent="0.25">
      <c r="A2321" t="s">
        <v>401</v>
      </c>
      <c r="B2321" t="s">
        <v>235</v>
      </c>
      <c r="C2321" s="4">
        <v>5.7292236594102847E-4</v>
      </c>
      <c r="D2321" t="s">
        <v>256</v>
      </c>
      <c r="E2321" t="s">
        <v>400</v>
      </c>
      <c r="F2321" t="s">
        <v>401</v>
      </c>
      <c r="G2321" s="4" t="s">
        <v>245</v>
      </c>
    </row>
    <row r="2322" spans="1:7" x14ac:dyDescent="0.25">
      <c r="A2322" t="s">
        <v>401</v>
      </c>
      <c r="B2322" t="s">
        <v>106</v>
      </c>
      <c r="C2322" s="4">
        <v>3.7565569156970392E-4</v>
      </c>
      <c r="D2322" t="s">
        <v>256</v>
      </c>
      <c r="E2322" t="s">
        <v>400</v>
      </c>
      <c r="F2322" t="s">
        <v>401</v>
      </c>
      <c r="G2322" s="4" t="s">
        <v>245</v>
      </c>
    </row>
    <row r="2323" spans="1:7" x14ac:dyDescent="0.25">
      <c r="A2323" t="s">
        <v>401</v>
      </c>
      <c r="B2323" t="s">
        <v>146</v>
      </c>
      <c r="C2323" s="4">
        <v>4.2567675242083727E-2</v>
      </c>
      <c r="D2323" t="s">
        <v>256</v>
      </c>
      <c r="E2323" t="s">
        <v>400</v>
      </c>
      <c r="F2323" t="s">
        <v>401</v>
      </c>
      <c r="G2323" s="4" t="s">
        <v>245</v>
      </c>
    </row>
    <row r="2324" spans="1:7" x14ac:dyDescent="0.25">
      <c r="A2324" t="s">
        <v>401</v>
      </c>
      <c r="B2324" t="s">
        <v>156</v>
      </c>
      <c r="C2324" s="4">
        <v>5.7944064073086207E-6</v>
      </c>
      <c r="D2324" t="s">
        <v>256</v>
      </c>
      <c r="E2324" t="s">
        <v>400</v>
      </c>
      <c r="F2324" t="s">
        <v>401</v>
      </c>
      <c r="G2324" s="4" t="s">
        <v>245</v>
      </c>
    </row>
    <row r="2325" spans="1:7" x14ac:dyDescent="0.25">
      <c r="A2325" t="s">
        <v>401</v>
      </c>
      <c r="B2325" t="s">
        <v>156</v>
      </c>
      <c r="C2325" s="4">
        <v>3.8009576358390131E-6</v>
      </c>
      <c r="D2325" t="s">
        <v>256</v>
      </c>
      <c r="E2325" t="s">
        <v>400</v>
      </c>
      <c r="F2325" t="s">
        <v>401</v>
      </c>
      <c r="G2325" s="4" t="s">
        <v>245</v>
      </c>
    </row>
    <row r="2326" spans="1:7" x14ac:dyDescent="0.25">
      <c r="A2326" t="s">
        <v>401</v>
      </c>
      <c r="B2326" t="s">
        <v>107</v>
      </c>
      <c r="C2326" s="4">
        <v>5.8981868205738502E-2</v>
      </c>
      <c r="D2326" t="s">
        <v>333</v>
      </c>
      <c r="E2326" t="s">
        <v>400</v>
      </c>
      <c r="F2326" t="s">
        <v>401</v>
      </c>
      <c r="G2326" s="4" t="s">
        <v>245</v>
      </c>
    </row>
    <row r="2327" spans="1:7" x14ac:dyDescent="0.25">
      <c r="A2327" t="s">
        <v>401</v>
      </c>
      <c r="B2327" t="s">
        <v>108</v>
      </c>
      <c r="C2327" s="4">
        <v>2.8850954887733669E-2</v>
      </c>
      <c r="D2327" t="s">
        <v>256</v>
      </c>
      <c r="E2327" t="s">
        <v>400</v>
      </c>
      <c r="F2327" t="s">
        <v>401</v>
      </c>
      <c r="G2327" s="4" t="s">
        <v>245</v>
      </c>
    </row>
    <row r="2328" spans="1:7" x14ac:dyDescent="0.25">
      <c r="A2328" t="s">
        <v>401</v>
      </c>
      <c r="B2328" t="s">
        <v>205</v>
      </c>
      <c r="C2328" s="4">
        <v>4.6602594576751104E-3</v>
      </c>
      <c r="D2328" t="s">
        <v>256</v>
      </c>
      <c r="E2328" t="s">
        <v>400</v>
      </c>
      <c r="F2328" t="s">
        <v>401</v>
      </c>
      <c r="G2328" s="4" t="s">
        <v>245</v>
      </c>
    </row>
    <row r="2329" spans="1:7" x14ac:dyDescent="0.25">
      <c r="A2329" t="s">
        <v>401</v>
      </c>
      <c r="B2329" t="s">
        <v>205</v>
      </c>
      <c r="C2329" s="4">
        <v>8.7313471312021867E-3</v>
      </c>
      <c r="D2329" t="s">
        <v>256</v>
      </c>
      <c r="E2329" t="s">
        <v>400</v>
      </c>
      <c r="F2329" t="s">
        <v>401</v>
      </c>
      <c r="G2329" s="4" t="s">
        <v>245</v>
      </c>
    </row>
    <row r="2330" spans="1:7" x14ac:dyDescent="0.25">
      <c r="A2330" t="s">
        <v>401</v>
      </c>
      <c r="B2330" t="s">
        <v>137</v>
      </c>
      <c r="C2330" s="4">
        <v>7.5040278562127083E-3</v>
      </c>
      <c r="D2330" t="s">
        <v>256</v>
      </c>
      <c r="E2330" t="s">
        <v>400</v>
      </c>
      <c r="F2330" t="s">
        <v>401</v>
      </c>
      <c r="G2330" s="4" t="s">
        <v>245</v>
      </c>
    </row>
    <row r="2331" spans="1:7" x14ac:dyDescent="0.25">
      <c r="A2331" t="s">
        <v>401</v>
      </c>
      <c r="B2331" t="s">
        <v>211</v>
      </c>
      <c r="C2331" s="4">
        <v>2.220234919557449E-4</v>
      </c>
      <c r="D2331" t="s">
        <v>256</v>
      </c>
      <c r="E2331" t="s">
        <v>400</v>
      </c>
      <c r="F2331" t="s">
        <v>401</v>
      </c>
      <c r="G2331" s="4" t="s">
        <v>245</v>
      </c>
    </row>
    <row r="2332" spans="1:7" x14ac:dyDescent="0.25">
      <c r="A2332" t="s">
        <v>401</v>
      </c>
      <c r="B2332" t="s">
        <v>229</v>
      </c>
      <c r="C2332" s="4">
        <v>5.9673737627506695E-4</v>
      </c>
      <c r="D2332" t="s">
        <v>256</v>
      </c>
      <c r="E2332" t="s">
        <v>400</v>
      </c>
      <c r="F2332" t="s">
        <v>401</v>
      </c>
      <c r="G2332" s="4" t="s">
        <v>245</v>
      </c>
    </row>
    <row r="2333" spans="1:7" x14ac:dyDescent="0.25">
      <c r="A2333" t="s">
        <v>401</v>
      </c>
      <c r="B2333" t="s">
        <v>111</v>
      </c>
      <c r="C2333" s="4">
        <v>4.6891450060339313E-5</v>
      </c>
      <c r="D2333" t="s">
        <v>256</v>
      </c>
      <c r="E2333" t="s">
        <v>400</v>
      </c>
      <c r="F2333" t="s">
        <v>401</v>
      </c>
      <c r="G2333" s="4" t="s">
        <v>245</v>
      </c>
    </row>
    <row r="2334" spans="1:7" x14ac:dyDescent="0.25">
      <c r="A2334" t="s">
        <v>401</v>
      </c>
      <c r="B2334" t="s">
        <v>215</v>
      </c>
      <c r="C2334" s="4">
        <v>6.9186942176819352E-6</v>
      </c>
      <c r="D2334" t="s">
        <v>256</v>
      </c>
      <c r="E2334" t="s">
        <v>400</v>
      </c>
      <c r="F2334" t="s">
        <v>401</v>
      </c>
      <c r="G2334" s="4" t="s">
        <v>245</v>
      </c>
    </row>
    <row r="2335" spans="1:7" x14ac:dyDescent="0.25">
      <c r="A2335" t="s">
        <v>401</v>
      </c>
      <c r="B2335" t="s">
        <v>209</v>
      </c>
      <c r="C2335" s="4">
        <v>4.4253118449207344E-3</v>
      </c>
      <c r="D2335" t="s">
        <v>256</v>
      </c>
      <c r="E2335" t="s">
        <v>400</v>
      </c>
      <c r="F2335" t="s">
        <v>401</v>
      </c>
      <c r="G2335" s="4" t="s">
        <v>245</v>
      </c>
    </row>
    <row r="2336" spans="1:7" x14ac:dyDescent="0.25">
      <c r="A2336" t="s">
        <v>401</v>
      </c>
      <c r="B2336" t="s">
        <v>216</v>
      </c>
      <c r="C2336" s="4">
        <v>1.578621162912943E-2</v>
      </c>
      <c r="D2336" t="s">
        <v>256</v>
      </c>
      <c r="E2336" t="s">
        <v>400</v>
      </c>
      <c r="F2336" t="s">
        <v>401</v>
      </c>
      <c r="G2336" s="4" t="s">
        <v>245</v>
      </c>
    </row>
    <row r="2337" spans="1:8" x14ac:dyDescent="0.25">
      <c r="A2337" t="s">
        <v>401</v>
      </c>
      <c r="B2337" t="s">
        <v>112</v>
      </c>
      <c r="C2337" s="4">
        <v>1.8552080719796589E-3</v>
      </c>
      <c r="D2337" t="s">
        <v>256</v>
      </c>
      <c r="E2337" t="s">
        <v>400</v>
      </c>
      <c r="F2337" t="s">
        <v>401</v>
      </c>
      <c r="G2337" s="4" t="s">
        <v>245</v>
      </c>
    </row>
    <row r="2338" spans="1:8" x14ac:dyDescent="0.25">
      <c r="A2338" t="s">
        <v>401</v>
      </c>
      <c r="B2338" t="s">
        <v>113</v>
      </c>
      <c r="C2338" s="4">
        <v>0.1059425052082546</v>
      </c>
      <c r="D2338" t="s">
        <v>276</v>
      </c>
      <c r="E2338" t="s">
        <v>400</v>
      </c>
      <c r="F2338" t="s">
        <v>401</v>
      </c>
      <c r="G2338" s="4" t="s">
        <v>245</v>
      </c>
    </row>
    <row r="2339" spans="1:8" x14ac:dyDescent="0.25">
      <c r="A2339" t="s">
        <v>401</v>
      </c>
      <c r="B2339" t="s">
        <v>180</v>
      </c>
      <c r="C2339" s="4">
        <v>2.7964497191093171E-3</v>
      </c>
      <c r="D2339" t="s">
        <v>256</v>
      </c>
      <c r="E2339" t="s">
        <v>400</v>
      </c>
      <c r="F2339" t="s">
        <v>401</v>
      </c>
      <c r="G2339" s="4" t="s">
        <v>245</v>
      </c>
    </row>
    <row r="2340" spans="1:8" x14ac:dyDescent="0.25">
      <c r="A2340" t="s">
        <v>401</v>
      </c>
      <c r="B2340" t="s">
        <v>114</v>
      </c>
      <c r="C2340" s="4">
        <v>2.5249082678008462E-4</v>
      </c>
      <c r="D2340" t="s">
        <v>256</v>
      </c>
      <c r="E2340" t="s">
        <v>400</v>
      </c>
      <c r="F2340" t="s">
        <v>401</v>
      </c>
      <c r="G2340" s="4" t="s">
        <v>245</v>
      </c>
    </row>
    <row r="2341" spans="1:8" x14ac:dyDescent="0.25">
      <c r="A2341" t="s">
        <v>401</v>
      </c>
      <c r="B2341" t="s">
        <v>115</v>
      </c>
      <c r="C2341" s="4">
        <v>1.5071195715855979E-2</v>
      </c>
      <c r="D2341" t="s">
        <v>256</v>
      </c>
      <c r="E2341" t="s">
        <v>400</v>
      </c>
      <c r="F2341" t="s">
        <v>401</v>
      </c>
      <c r="G2341" s="4" t="s">
        <v>245</v>
      </c>
    </row>
    <row r="2342" spans="1:8" x14ac:dyDescent="0.25">
      <c r="A2342" t="s">
        <v>401</v>
      </c>
      <c r="B2342" t="s">
        <v>158</v>
      </c>
      <c r="C2342" s="4">
        <v>7.237905472150236E-5</v>
      </c>
      <c r="D2342" t="s">
        <v>256</v>
      </c>
      <c r="E2342" t="s">
        <v>400</v>
      </c>
      <c r="F2342" t="s">
        <v>401</v>
      </c>
      <c r="G2342" s="4" t="s">
        <v>245</v>
      </c>
    </row>
    <row r="2343" spans="1:8" x14ac:dyDescent="0.25">
      <c r="A2343" t="s">
        <v>62</v>
      </c>
      <c r="B2343" t="s">
        <v>83</v>
      </c>
      <c r="C2343" s="4">
        <v>2.305455914062286E-3</v>
      </c>
      <c r="D2343" t="s">
        <v>320</v>
      </c>
      <c r="E2343" t="s">
        <v>337</v>
      </c>
      <c r="F2343" t="s">
        <v>406</v>
      </c>
      <c r="G2343" t="s">
        <v>245</v>
      </c>
      <c r="H2343" t="s">
        <v>407</v>
      </c>
    </row>
    <row r="2344" spans="1:8" x14ac:dyDescent="0.25">
      <c r="A2344" t="s">
        <v>62</v>
      </c>
      <c r="B2344" t="s">
        <v>116</v>
      </c>
      <c r="C2344" s="4">
        <v>7.2254198690341873E-2</v>
      </c>
      <c r="D2344" t="s">
        <v>312</v>
      </c>
      <c r="E2344" t="s">
        <v>335</v>
      </c>
      <c r="F2344" t="s">
        <v>406</v>
      </c>
      <c r="G2344" t="s">
        <v>245</v>
      </c>
    </row>
    <row r="2345" spans="1:8" x14ac:dyDescent="0.25">
      <c r="A2345" t="s">
        <v>63</v>
      </c>
      <c r="B2345" t="s">
        <v>116</v>
      </c>
      <c r="C2345" s="4">
        <v>3.9120701402355483E-2</v>
      </c>
      <c r="D2345" t="s">
        <v>312</v>
      </c>
      <c r="E2345" t="s">
        <v>335</v>
      </c>
      <c r="F2345" t="s">
        <v>408</v>
      </c>
      <c r="G2345" t="s">
        <v>245</v>
      </c>
    </row>
    <row r="2346" spans="1:8" x14ac:dyDescent="0.25">
      <c r="A2346" t="s">
        <v>62</v>
      </c>
      <c r="B2346" t="s">
        <v>86</v>
      </c>
      <c r="C2346" s="4">
        <v>5.47141640877781E-3</v>
      </c>
      <c r="D2346" t="s">
        <v>320</v>
      </c>
      <c r="E2346" t="s">
        <v>337</v>
      </c>
      <c r="F2346" t="s">
        <v>406</v>
      </c>
      <c r="G2346" t="s">
        <v>245</v>
      </c>
    </row>
    <row r="2347" spans="1:8" x14ac:dyDescent="0.25">
      <c r="A2347" t="s">
        <v>63</v>
      </c>
      <c r="B2347" t="s">
        <v>86</v>
      </c>
      <c r="C2347" s="4">
        <v>1.1698774342809651E-2</v>
      </c>
      <c r="D2347" t="s">
        <v>320</v>
      </c>
      <c r="E2347" t="s">
        <v>337</v>
      </c>
      <c r="F2347" t="s">
        <v>408</v>
      </c>
      <c r="G2347" t="s">
        <v>245</v>
      </c>
    </row>
    <row r="2348" spans="1:8" x14ac:dyDescent="0.25">
      <c r="A2348" t="s">
        <v>63</v>
      </c>
      <c r="B2348" t="s">
        <v>193</v>
      </c>
      <c r="C2348" s="4">
        <v>1.915791286378509E-3</v>
      </c>
      <c r="D2348" t="s">
        <v>320</v>
      </c>
      <c r="E2348" t="s">
        <v>337</v>
      </c>
      <c r="F2348" t="s">
        <v>408</v>
      </c>
      <c r="G2348" t="s">
        <v>245</v>
      </c>
    </row>
    <row r="2349" spans="1:8" x14ac:dyDescent="0.25">
      <c r="A2349" t="s">
        <v>62</v>
      </c>
      <c r="B2349" t="s">
        <v>154</v>
      </c>
      <c r="C2349" s="4">
        <v>3.955170861557414E-3</v>
      </c>
      <c r="D2349" t="s">
        <v>320</v>
      </c>
      <c r="E2349" t="s">
        <v>337</v>
      </c>
      <c r="F2349" t="s">
        <v>406</v>
      </c>
      <c r="G2349" t="s">
        <v>245</v>
      </c>
    </row>
    <row r="2350" spans="1:8" x14ac:dyDescent="0.25">
      <c r="A2350" t="s">
        <v>63</v>
      </c>
      <c r="B2350" t="s">
        <v>154</v>
      </c>
      <c r="C2350" s="4">
        <v>6.242465989323231E-3</v>
      </c>
      <c r="D2350" t="s">
        <v>320</v>
      </c>
      <c r="E2350" t="s">
        <v>337</v>
      </c>
      <c r="F2350" t="s">
        <v>408</v>
      </c>
      <c r="G2350" t="s">
        <v>245</v>
      </c>
    </row>
    <row r="2351" spans="1:8" x14ac:dyDescent="0.25">
      <c r="A2351" t="s">
        <v>62</v>
      </c>
      <c r="B2351" t="s">
        <v>151</v>
      </c>
      <c r="C2351" s="4">
        <v>2.901508701624596E-5</v>
      </c>
      <c r="D2351" t="s">
        <v>320</v>
      </c>
      <c r="E2351" t="s">
        <v>337</v>
      </c>
      <c r="F2351" t="s">
        <v>406</v>
      </c>
      <c r="G2351" t="s">
        <v>245</v>
      </c>
    </row>
    <row r="2352" spans="1:8" x14ac:dyDescent="0.25">
      <c r="A2352" t="s">
        <v>63</v>
      </c>
      <c r="B2352" t="s">
        <v>151</v>
      </c>
      <c r="C2352" s="4">
        <v>4.0243783739265212E-5</v>
      </c>
      <c r="D2352" t="s">
        <v>320</v>
      </c>
      <c r="E2352" t="s">
        <v>337</v>
      </c>
      <c r="F2352" t="s">
        <v>408</v>
      </c>
      <c r="G2352" t="s">
        <v>245</v>
      </c>
    </row>
    <row r="2353" spans="1:8" x14ac:dyDescent="0.25">
      <c r="A2353" t="s">
        <v>62</v>
      </c>
      <c r="B2353" t="s">
        <v>107</v>
      </c>
      <c r="C2353" s="4">
        <v>0.36517559516160991</v>
      </c>
      <c r="D2353" t="s">
        <v>312</v>
      </c>
      <c r="E2353" t="s">
        <v>335</v>
      </c>
      <c r="F2353" t="s">
        <v>406</v>
      </c>
      <c r="G2353" t="s">
        <v>245</v>
      </c>
    </row>
    <row r="2354" spans="1:8" x14ac:dyDescent="0.25">
      <c r="A2354" t="s">
        <v>63</v>
      </c>
      <c r="B2354" t="s">
        <v>107</v>
      </c>
      <c r="C2354" s="4">
        <v>0.1099684788224107</v>
      </c>
      <c r="D2354" t="s">
        <v>312</v>
      </c>
      <c r="E2354" t="s">
        <v>335</v>
      </c>
      <c r="F2354" t="s">
        <v>408</v>
      </c>
      <c r="G2354" t="s">
        <v>245</v>
      </c>
    </row>
    <row r="2355" spans="1:8" x14ac:dyDescent="0.25">
      <c r="A2355" t="s">
        <v>62</v>
      </c>
      <c r="B2355" t="s">
        <v>179</v>
      </c>
      <c r="C2355" s="4">
        <v>3.2579797706813323E-4</v>
      </c>
      <c r="D2355" t="s">
        <v>312</v>
      </c>
      <c r="E2355" t="s">
        <v>335</v>
      </c>
      <c r="F2355" t="s">
        <v>406</v>
      </c>
      <c r="G2355" t="s">
        <v>245</v>
      </c>
    </row>
    <row r="2356" spans="1:8" x14ac:dyDescent="0.25">
      <c r="A2356" t="s">
        <v>63</v>
      </c>
      <c r="B2356" t="s">
        <v>179</v>
      </c>
      <c r="C2356" s="4">
        <v>5.3346411003212008E-5</v>
      </c>
      <c r="D2356" t="s">
        <v>312</v>
      </c>
      <c r="E2356" t="s">
        <v>335</v>
      </c>
      <c r="F2356" t="s">
        <v>408</v>
      </c>
      <c r="G2356" t="s">
        <v>245</v>
      </c>
    </row>
    <row r="2357" spans="1:8" x14ac:dyDescent="0.25">
      <c r="A2357" t="s">
        <v>62</v>
      </c>
      <c r="B2357" t="s">
        <v>137</v>
      </c>
      <c r="C2357" s="4">
        <v>0.43378674242644061</v>
      </c>
      <c r="D2357" t="s">
        <v>320</v>
      </c>
      <c r="E2357" t="s">
        <v>337</v>
      </c>
      <c r="F2357" t="s">
        <v>406</v>
      </c>
      <c r="G2357" t="s">
        <v>245</v>
      </c>
    </row>
    <row r="2358" spans="1:8" x14ac:dyDescent="0.25">
      <c r="A2358" t="s">
        <v>63</v>
      </c>
      <c r="B2358" t="s">
        <v>137</v>
      </c>
      <c r="C2358" s="4">
        <v>0.73573545046832534</v>
      </c>
      <c r="D2358" t="s">
        <v>320</v>
      </c>
      <c r="E2358" t="s">
        <v>337</v>
      </c>
      <c r="F2358" t="s">
        <v>408</v>
      </c>
      <c r="G2358" t="s">
        <v>245</v>
      </c>
    </row>
    <row r="2359" spans="1:8" x14ac:dyDescent="0.25">
      <c r="A2359" t="s">
        <v>62</v>
      </c>
      <c r="B2359" t="s">
        <v>113</v>
      </c>
      <c r="C2359" s="4">
        <v>5.972962912915776E-2</v>
      </c>
      <c r="D2359" t="s">
        <v>312</v>
      </c>
      <c r="E2359" t="s">
        <v>335</v>
      </c>
      <c r="F2359" t="s">
        <v>406</v>
      </c>
      <c r="G2359" t="s">
        <v>245</v>
      </c>
    </row>
    <row r="2360" spans="1:8" x14ac:dyDescent="0.25">
      <c r="A2360" t="s">
        <v>63</v>
      </c>
      <c r="B2360" t="s">
        <v>113</v>
      </c>
      <c r="C2360" s="4">
        <v>2.0159327947529591E-2</v>
      </c>
      <c r="D2360" t="s">
        <v>312</v>
      </c>
      <c r="E2360" t="s">
        <v>335</v>
      </c>
      <c r="F2360" t="s">
        <v>408</v>
      </c>
      <c r="G2360" t="s">
        <v>245</v>
      </c>
    </row>
    <row r="2361" spans="1:8" x14ac:dyDescent="0.25">
      <c r="A2361" t="s">
        <v>62</v>
      </c>
      <c r="B2361" t="s">
        <v>158</v>
      </c>
      <c r="C2361" s="4">
        <v>5.6966978343968057E-2</v>
      </c>
      <c r="D2361" t="s">
        <v>320</v>
      </c>
      <c r="E2361" t="s">
        <v>337</v>
      </c>
      <c r="F2361" t="s">
        <v>406</v>
      </c>
      <c r="G2361" t="s">
        <v>245</v>
      </c>
    </row>
    <row r="2362" spans="1:8" x14ac:dyDescent="0.25">
      <c r="A2362" t="s">
        <v>409</v>
      </c>
      <c r="D2362" t="s">
        <v>320</v>
      </c>
      <c r="E2362" t="s">
        <v>411</v>
      </c>
      <c r="F2362" t="s">
        <v>409</v>
      </c>
      <c r="G2362" t="s">
        <v>245</v>
      </c>
      <c r="H2362" t="s">
        <v>412</v>
      </c>
    </row>
    <row r="2363" spans="1:8" x14ac:dyDescent="0.25">
      <c r="A2363" t="s">
        <v>409</v>
      </c>
      <c r="D2363" t="s">
        <v>320</v>
      </c>
      <c r="E2363" t="s">
        <v>410</v>
      </c>
      <c r="F2363" t="s">
        <v>409</v>
      </c>
      <c r="G2363" t="s">
        <v>245</v>
      </c>
    </row>
    <row r="2364" spans="1:8" x14ac:dyDescent="0.25">
      <c r="A2364" t="s">
        <v>63</v>
      </c>
      <c r="B2364" t="s">
        <v>158</v>
      </c>
      <c r="C2364" s="4">
        <v>7.5065419546124987E-2</v>
      </c>
      <c r="D2364" t="s">
        <v>320</v>
      </c>
      <c r="E2364" t="s">
        <v>337</v>
      </c>
      <c r="F2364" t="s">
        <v>408</v>
      </c>
      <c r="G2364" t="s">
        <v>245</v>
      </c>
    </row>
    <row r="2365" spans="1:8" x14ac:dyDescent="0.25">
      <c r="A2365" t="s">
        <v>728</v>
      </c>
      <c r="B2365" t="s">
        <v>220</v>
      </c>
      <c r="C2365" s="4">
        <v>0.1592375414864651</v>
      </c>
      <c r="D2365" t="s">
        <v>333</v>
      </c>
      <c r="E2365" t="s">
        <v>729</v>
      </c>
      <c r="F2365" t="s">
        <v>728</v>
      </c>
      <c r="G2365" t="s">
        <v>245</v>
      </c>
    </row>
    <row r="2366" spans="1:8" x14ac:dyDescent="0.25">
      <c r="A2366" t="s">
        <v>728</v>
      </c>
      <c r="B2366" t="s">
        <v>85</v>
      </c>
      <c r="C2366" s="4">
        <v>8.3812042533297822E-3</v>
      </c>
      <c r="D2366" t="s">
        <v>256</v>
      </c>
      <c r="E2366" t="s">
        <v>729</v>
      </c>
      <c r="F2366" t="s">
        <v>728</v>
      </c>
      <c r="G2366" t="s">
        <v>245</v>
      </c>
    </row>
    <row r="2367" spans="1:8" x14ac:dyDescent="0.25">
      <c r="A2367" t="s">
        <v>728</v>
      </c>
      <c r="B2367" t="s">
        <v>116</v>
      </c>
      <c r="C2367" s="4">
        <v>0.29308400135952639</v>
      </c>
      <c r="D2367" t="s">
        <v>256</v>
      </c>
      <c r="E2367" t="s">
        <v>729</v>
      </c>
      <c r="F2367" t="s">
        <v>728</v>
      </c>
      <c r="G2367" t="s">
        <v>245</v>
      </c>
    </row>
    <row r="2368" spans="1:8" x14ac:dyDescent="0.25">
      <c r="A2368" t="s">
        <v>728</v>
      </c>
      <c r="B2368" t="s">
        <v>145</v>
      </c>
      <c r="C2368" s="4">
        <v>2.527863720424341E-2</v>
      </c>
      <c r="D2368" t="s">
        <v>256</v>
      </c>
      <c r="E2368" t="s">
        <v>729</v>
      </c>
      <c r="F2368" t="s">
        <v>728</v>
      </c>
      <c r="G2368" t="s">
        <v>245</v>
      </c>
    </row>
    <row r="2369" spans="1:8" x14ac:dyDescent="0.25">
      <c r="A2369" t="s">
        <v>728</v>
      </c>
      <c r="B2369" t="s">
        <v>86</v>
      </c>
      <c r="C2369" s="4">
        <v>0.13496563569820286</v>
      </c>
      <c r="D2369" t="s">
        <v>256</v>
      </c>
      <c r="E2369" t="s">
        <v>729</v>
      </c>
      <c r="F2369" t="s">
        <v>728</v>
      </c>
      <c r="G2369" t="s">
        <v>245</v>
      </c>
    </row>
    <row r="2370" spans="1:8" x14ac:dyDescent="0.25">
      <c r="A2370" t="s">
        <v>728</v>
      </c>
      <c r="B2370" t="s">
        <v>117</v>
      </c>
      <c r="C2370" s="4">
        <v>7.1567564575218706E-2</v>
      </c>
      <c r="D2370" t="s">
        <v>333</v>
      </c>
      <c r="E2370" t="s">
        <v>729</v>
      </c>
      <c r="F2370" t="s">
        <v>728</v>
      </c>
      <c r="G2370" t="s">
        <v>245</v>
      </c>
    </row>
    <row r="2371" spans="1:8" x14ac:dyDescent="0.25">
      <c r="A2371" t="s">
        <v>728</v>
      </c>
      <c r="B2371" t="s">
        <v>222</v>
      </c>
      <c r="C2371" s="4">
        <v>5.2444943289108571E-2</v>
      </c>
      <c r="D2371" t="s">
        <v>256</v>
      </c>
      <c r="E2371" t="s">
        <v>729</v>
      </c>
      <c r="F2371" t="s">
        <v>728</v>
      </c>
      <c r="G2371" t="s">
        <v>245</v>
      </c>
    </row>
    <row r="2372" spans="1:8" x14ac:dyDescent="0.25">
      <c r="A2372" t="s">
        <v>728</v>
      </c>
      <c r="B2372" t="s">
        <v>223</v>
      </c>
      <c r="C2372" s="4">
        <v>3.3539744585081542E-2</v>
      </c>
      <c r="D2372" t="s">
        <v>256</v>
      </c>
      <c r="E2372" t="s">
        <v>729</v>
      </c>
      <c r="F2372" t="s">
        <v>728</v>
      </c>
      <c r="G2372" t="s">
        <v>245</v>
      </c>
    </row>
    <row r="2373" spans="1:8" x14ac:dyDescent="0.25">
      <c r="A2373" t="s">
        <v>728</v>
      </c>
      <c r="B2373" t="s">
        <v>171</v>
      </c>
      <c r="C2373" s="4">
        <v>9.1890671866016044E-3</v>
      </c>
      <c r="D2373" t="s">
        <v>256</v>
      </c>
      <c r="E2373" t="s">
        <v>729</v>
      </c>
      <c r="F2373" t="s">
        <v>728</v>
      </c>
      <c r="G2373" t="s">
        <v>245</v>
      </c>
    </row>
    <row r="2374" spans="1:8" x14ac:dyDescent="0.25">
      <c r="A2374" t="s">
        <v>728</v>
      </c>
      <c r="B2374" t="s">
        <v>107</v>
      </c>
      <c r="C2374" s="4">
        <v>0.16690314117888461</v>
      </c>
      <c r="D2374" t="s">
        <v>333</v>
      </c>
      <c r="E2374" t="s">
        <v>729</v>
      </c>
      <c r="F2374" t="s">
        <v>728</v>
      </c>
      <c r="G2374" t="s">
        <v>245</v>
      </c>
    </row>
    <row r="2375" spans="1:8" x14ac:dyDescent="0.25">
      <c r="A2375" t="s">
        <v>728</v>
      </c>
      <c r="B2375" t="s">
        <v>121</v>
      </c>
      <c r="C2375" s="4">
        <v>1.3681303296984313E-2</v>
      </c>
      <c r="D2375" t="s">
        <v>333</v>
      </c>
      <c r="E2375" t="s">
        <v>729</v>
      </c>
      <c r="F2375" t="s">
        <v>728</v>
      </c>
      <c r="G2375" t="s">
        <v>245</v>
      </c>
    </row>
    <row r="2376" spans="1:8" x14ac:dyDescent="0.25">
      <c r="A2376" t="s">
        <v>728</v>
      </c>
      <c r="B2376" t="s">
        <v>113</v>
      </c>
      <c r="C2376" s="4">
        <v>1.5706785127550478E-2</v>
      </c>
      <c r="D2376" t="s">
        <v>256</v>
      </c>
      <c r="E2376" t="s">
        <v>729</v>
      </c>
      <c r="F2376" t="s">
        <v>728</v>
      </c>
      <c r="G2376" t="s">
        <v>245</v>
      </c>
    </row>
    <row r="2377" spans="1:8" x14ac:dyDescent="0.25">
      <c r="A2377" t="s">
        <v>728</v>
      </c>
      <c r="B2377" t="s">
        <v>140</v>
      </c>
      <c r="C2377" s="4">
        <v>1.6020430758802655E-2</v>
      </c>
      <c r="D2377" t="s">
        <v>333</v>
      </c>
      <c r="E2377" t="s">
        <v>729</v>
      </c>
      <c r="F2377" t="s">
        <v>728</v>
      </c>
      <c r="G2377" t="s">
        <v>245</v>
      </c>
    </row>
    <row r="2378" spans="1:8" x14ac:dyDescent="0.25">
      <c r="A2378" t="s">
        <v>436</v>
      </c>
      <c r="B2378" t="s">
        <v>83</v>
      </c>
      <c r="C2378" s="4">
        <v>6.9570179147803057E-2</v>
      </c>
      <c r="D2378" t="s">
        <v>254</v>
      </c>
      <c r="E2378" t="s">
        <v>438</v>
      </c>
      <c r="F2378" t="s">
        <v>436</v>
      </c>
      <c r="G2378" t="s">
        <v>245</v>
      </c>
      <c r="H2378" t="s">
        <v>437</v>
      </c>
    </row>
    <row r="2379" spans="1:8" x14ac:dyDescent="0.25">
      <c r="A2379" t="s">
        <v>436</v>
      </c>
      <c r="B2379" t="s">
        <v>187</v>
      </c>
      <c r="C2379" s="4">
        <v>8.6529058253647685E-4</v>
      </c>
      <c r="D2379" t="s">
        <v>254</v>
      </c>
      <c r="E2379" t="s">
        <v>438</v>
      </c>
      <c r="F2379" t="s">
        <v>436</v>
      </c>
      <c r="G2379" t="s">
        <v>245</v>
      </c>
      <c r="H2379" t="s">
        <v>621</v>
      </c>
    </row>
    <row r="2380" spans="1:8" x14ac:dyDescent="0.25">
      <c r="A2380" t="s">
        <v>436</v>
      </c>
      <c r="B2380" t="s">
        <v>86</v>
      </c>
      <c r="C2380" s="4">
        <v>0.70202820847299074</v>
      </c>
      <c r="D2380" t="s">
        <v>254</v>
      </c>
      <c r="E2380" t="s">
        <v>438</v>
      </c>
      <c r="F2380" t="s">
        <v>436</v>
      </c>
      <c r="G2380" t="s">
        <v>245</v>
      </c>
    </row>
    <row r="2381" spans="1:8" x14ac:dyDescent="0.25">
      <c r="A2381" t="s">
        <v>436</v>
      </c>
      <c r="B2381" t="s">
        <v>97</v>
      </c>
      <c r="C2381" s="4">
        <v>1.5949917634132289E-2</v>
      </c>
      <c r="D2381" t="s">
        <v>254</v>
      </c>
      <c r="E2381" t="s">
        <v>438</v>
      </c>
      <c r="F2381" t="s">
        <v>436</v>
      </c>
      <c r="G2381" t="s">
        <v>245</v>
      </c>
    </row>
    <row r="2382" spans="1:8" x14ac:dyDescent="0.25">
      <c r="A2382" t="s">
        <v>436</v>
      </c>
      <c r="B2382" t="s">
        <v>141</v>
      </c>
      <c r="C2382" s="4">
        <v>9.3875865086504567E-3</v>
      </c>
      <c r="D2382" t="s">
        <v>254</v>
      </c>
      <c r="E2382" t="s">
        <v>438</v>
      </c>
      <c r="F2382" t="s">
        <v>436</v>
      </c>
      <c r="G2382" t="s">
        <v>245</v>
      </c>
    </row>
    <row r="2383" spans="1:8" x14ac:dyDescent="0.25">
      <c r="A2383" t="s">
        <v>436</v>
      </c>
      <c r="B2383" t="s">
        <v>103</v>
      </c>
      <c r="C2383" s="4">
        <v>1.0799806044299611E-3</v>
      </c>
      <c r="D2383" t="s">
        <v>254</v>
      </c>
      <c r="E2383" t="s">
        <v>438</v>
      </c>
      <c r="F2383" t="s">
        <v>436</v>
      </c>
      <c r="G2383" t="s">
        <v>245</v>
      </c>
    </row>
    <row r="2384" spans="1:8" x14ac:dyDescent="0.25">
      <c r="A2384" t="s">
        <v>436</v>
      </c>
      <c r="B2384" t="s">
        <v>174</v>
      </c>
      <c r="C2384" s="4">
        <v>0.1257120280288844</v>
      </c>
      <c r="D2384" t="s">
        <v>254</v>
      </c>
      <c r="E2384" t="s">
        <v>438</v>
      </c>
      <c r="F2384" t="s">
        <v>436</v>
      </c>
      <c r="G2384" t="s">
        <v>245</v>
      </c>
    </row>
    <row r="2385" spans="1:8" x14ac:dyDescent="0.25">
      <c r="A2385" t="s">
        <v>436</v>
      </c>
      <c r="B2385" t="s">
        <v>107</v>
      </c>
      <c r="C2385" s="4">
        <v>1.0330426718867089E-2</v>
      </c>
      <c r="D2385" t="s">
        <v>254</v>
      </c>
      <c r="E2385" t="s">
        <v>438</v>
      </c>
      <c r="F2385" t="s">
        <v>436</v>
      </c>
      <c r="G2385" t="s">
        <v>245</v>
      </c>
    </row>
    <row r="2386" spans="1:8" x14ac:dyDescent="0.25">
      <c r="A2386" t="s">
        <v>436</v>
      </c>
      <c r="B2386" t="s">
        <v>113</v>
      </c>
      <c r="C2386" s="4">
        <v>6.2202964518188242E-2</v>
      </c>
      <c r="D2386" t="s">
        <v>254</v>
      </c>
      <c r="E2386" t="s">
        <v>438</v>
      </c>
      <c r="F2386" t="s">
        <v>436</v>
      </c>
      <c r="G2386" t="s">
        <v>245</v>
      </c>
    </row>
    <row r="2387" spans="1:8" x14ac:dyDescent="0.25">
      <c r="A2387" t="s">
        <v>436</v>
      </c>
      <c r="B2387" t="s">
        <v>115</v>
      </c>
      <c r="C2387" s="4">
        <v>2.873417783517357E-3</v>
      </c>
      <c r="D2387" t="s">
        <v>254</v>
      </c>
      <c r="E2387" t="s">
        <v>438</v>
      </c>
      <c r="F2387" t="s">
        <v>436</v>
      </c>
      <c r="G2387" t="s">
        <v>245</v>
      </c>
    </row>
    <row r="2388" spans="1:8" x14ac:dyDescent="0.25">
      <c r="A2388" t="s">
        <v>66</v>
      </c>
      <c r="B2388" t="s">
        <v>145</v>
      </c>
      <c r="C2388" s="4">
        <v>0.54580152671755722</v>
      </c>
      <c r="D2388" t="s">
        <v>311</v>
      </c>
      <c r="E2388" t="s">
        <v>306</v>
      </c>
      <c r="F2388" t="s">
        <v>378</v>
      </c>
      <c r="G2388" t="s">
        <v>245</v>
      </c>
      <c r="H2388" t="s">
        <v>383</v>
      </c>
    </row>
    <row r="2389" spans="1:8" x14ac:dyDescent="0.25">
      <c r="A2389" t="s">
        <v>66</v>
      </c>
      <c r="B2389" t="s">
        <v>86</v>
      </c>
      <c r="C2389" s="4">
        <v>5.7251908396946563E-2</v>
      </c>
      <c r="D2389" t="s">
        <v>254</v>
      </c>
      <c r="E2389" t="s">
        <v>306</v>
      </c>
      <c r="F2389" t="s">
        <v>378</v>
      </c>
      <c r="G2389" t="s">
        <v>245</v>
      </c>
    </row>
    <row r="2390" spans="1:8" x14ac:dyDescent="0.25">
      <c r="A2390" t="s">
        <v>66</v>
      </c>
      <c r="B2390" t="s">
        <v>102</v>
      </c>
      <c r="C2390" s="4">
        <v>1.9083969465648859E-2</v>
      </c>
      <c r="D2390" t="s">
        <v>254</v>
      </c>
      <c r="E2390" t="s">
        <v>306</v>
      </c>
      <c r="F2390" t="s">
        <v>378</v>
      </c>
      <c r="G2390" t="s">
        <v>245</v>
      </c>
    </row>
    <row r="2391" spans="1:8" x14ac:dyDescent="0.25">
      <c r="A2391" t="s">
        <v>66</v>
      </c>
      <c r="B2391" t="s">
        <v>151</v>
      </c>
      <c r="C2391" s="4">
        <v>0.1793893129770992</v>
      </c>
      <c r="D2391" t="s">
        <v>254</v>
      </c>
      <c r="E2391" t="s">
        <v>306</v>
      </c>
      <c r="F2391" t="s">
        <v>378</v>
      </c>
      <c r="G2391" t="s">
        <v>245</v>
      </c>
    </row>
    <row r="2392" spans="1:8" x14ac:dyDescent="0.25">
      <c r="A2392" t="s">
        <v>66</v>
      </c>
      <c r="B2392" t="s">
        <v>107</v>
      </c>
      <c r="C2392" s="4">
        <v>3.8167938931297711E-2</v>
      </c>
      <c r="D2392" t="s">
        <v>254</v>
      </c>
      <c r="E2392" t="s">
        <v>306</v>
      </c>
      <c r="F2392" t="s">
        <v>378</v>
      </c>
      <c r="G2392" t="s">
        <v>245</v>
      </c>
    </row>
    <row r="2393" spans="1:8" x14ac:dyDescent="0.25">
      <c r="A2393" t="s">
        <v>66</v>
      </c>
      <c r="B2393" t="s">
        <v>113</v>
      </c>
      <c r="C2393" s="4">
        <v>0.1603053435114504</v>
      </c>
      <c r="D2393" t="s">
        <v>276</v>
      </c>
      <c r="E2393" t="s">
        <v>306</v>
      </c>
      <c r="F2393" t="s">
        <v>378</v>
      </c>
      <c r="G2393" t="s">
        <v>245</v>
      </c>
    </row>
    <row r="2394" spans="1:8" x14ac:dyDescent="0.25">
      <c r="A2394" t="s">
        <v>622</v>
      </c>
      <c r="B2394" t="s">
        <v>164</v>
      </c>
      <c r="C2394" s="4">
        <f>(0.501285425540793/(0.501285425540793+0.247997156571988+0.247997156571988)) * 0.563443768311922%</f>
        <v>2.8321657225187889E-3</v>
      </c>
      <c r="D2394" t="s">
        <v>242</v>
      </c>
      <c r="E2394" t="s">
        <v>366</v>
      </c>
      <c r="F2394" t="s">
        <v>405</v>
      </c>
      <c r="G2394" t="s">
        <v>245</v>
      </c>
      <c r="H2394" s="5" t="s">
        <v>403</v>
      </c>
    </row>
    <row r="2395" spans="1:8" x14ac:dyDescent="0.25">
      <c r="A2395" t="s">
        <v>622</v>
      </c>
      <c r="B2395" t="s">
        <v>164</v>
      </c>
      <c r="C2395" s="4">
        <f>((0.247997156571988+0.247997156571988)/(0.501285425540793+0.247997156571988+0.247997156571988)) * 0.563443768311922%</f>
        <v>2.8022719606004306E-3</v>
      </c>
      <c r="D2395" t="s">
        <v>256</v>
      </c>
      <c r="E2395" t="s">
        <v>404</v>
      </c>
      <c r="F2395" t="s">
        <v>405</v>
      </c>
      <c r="G2395" t="s">
        <v>245</v>
      </c>
    </row>
    <row r="2396" spans="1:8" x14ac:dyDescent="0.25">
      <c r="A2396" t="s">
        <v>622</v>
      </c>
      <c r="B2396" t="s">
        <v>163</v>
      </c>
      <c r="C2396" s="4">
        <f>(0.501285425540793/(0.501285425540793+0.247997156571988+0.247997156571988)) * 5.63443768311922%</f>
        <v>2.8321657225187889E-2</v>
      </c>
      <c r="D2396" t="s">
        <v>242</v>
      </c>
      <c r="E2396" t="s">
        <v>366</v>
      </c>
      <c r="F2396" t="s">
        <v>405</v>
      </c>
      <c r="G2396" t="s">
        <v>245</v>
      </c>
    </row>
    <row r="2397" spans="1:8" x14ac:dyDescent="0.25">
      <c r="A2397" t="s">
        <v>622</v>
      </c>
      <c r="B2397" t="s">
        <v>163</v>
      </c>
      <c r="C2397" s="4">
        <f>((0.247997156571988+0.247997156571988)/(0.501285425540793+0.247997156571988+0.247997156571988)) * 5.63443768311922%</f>
        <v>2.8022719606004304E-2</v>
      </c>
      <c r="D2397" t="s">
        <v>333</v>
      </c>
      <c r="E2397" t="s">
        <v>404</v>
      </c>
      <c r="F2397" t="s">
        <v>405</v>
      </c>
      <c r="G2397" t="s">
        <v>245</v>
      </c>
    </row>
    <row r="2398" spans="1:8" x14ac:dyDescent="0.25">
      <c r="A2398" t="s">
        <v>622</v>
      </c>
      <c r="B2398" t="s">
        <v>116</v>
      </c>
      <c r="C2398" s="4">
        <f>(0.501285425540793/(0.501285425540793+0.247997156571988+0.247997156571988)) * 2.21433400946585%</f>
        <v>1.1130411289498824E-2</v>
      </c>
      <c r="D2398" t="s">
        <v>242</v>
      </c>
      <c r="E2398" t="s">
        <v>366</v>
      </c>
      <c r="F2398" t="s">
        <v>405</v>
      </c>
      <c r="G2398" t="s">
        <v>245</v>
      </c>
    </row>
    <row r="2399" spans="1:8" x14ac:dyDescent="0.25">
      <c r="A2399" t="s">
        <v>622</v>
      </c>
      <c r="B2399" t="s">
        <v>116</v>
      </c>
      <c r="C2399" s="4">
        <f>((0.247997156571988+0.247997156571988)/(0.501285425540793+0.247997156571988+0.247997156571988)) * 2.21433400946585%</f>
        <v>1.1012928805159675E-2</v>
      </c>
      <c r="D2399" t="s">
        <v>256</v>
      </c>
      <c r="E2399" t="s">
        <v>404</v>
      </c>
      <c r="F2399" t="s">
        <v>405</v>
      </c>
      <c r="G2399" t="s">
        <v>245</v>
      </c>
    </row>
    <row r="2400" spans="1:8" x14ac:dyDescent="0.25">
      <c r="A2400" t="s">
        <v>622</v>
      </c>
      <c r="B2400" t="s">
        <v>145</v>
      </c>
      <c r="C2400" s="4">
        <f>(0.501285425540793/(0.501285425540793+0.247997156571988+0.247997156571988)) * 2.81721884155961%</f>
        <v>1.4160828612593945E-2</v>
      </c>
      <c r="D2400" t="s">
        <v>242</v>
      </c>
      <c r="E2400" t="s">
        <v>366</v>
      </c>
      <c r="F2400" t="s">
        <v>405</v>
      </c>
      <c r="G2400" t="s">
        <v>245</v>
      </c>
    </row>
    <row r="2401" spans="1:7" x14ac:dyDescent="0.25">
      <c r="A2401" t="s">
        <v>622</v>
      </c>
      <c r="B2401" t="s">
        <v>145</v>
      </c>
      <c r="C2401" s="4">
        <f>((0.247997156571988+0.247997156571988)/(0.501285425540793+0.247997156571988+0.247997156571988)) * 2.81721884155961%</f>
        <v>1.4011359803002152E-2</v>
      </c>
      <c r="D2401" t="s">
        <v>256</v>
      </c>
      <c r="E2401" t="s">
        <v>404</v>
      </c>
      <c r="F2401" t="s">
        <v>405</v>
      </c>
      <c r="G2401" t="s">
        <v>245</v>
      </c>
    </row>
    <row r="2402" spans="1:7" x14ac:dyDescent="0.25">
      <c r="A2402" t="s">
        <v>622</v>
      </c>
      <c r="B2402" t="s">
        <v>86</v>
      </c>
      <c r="C2402" s="4">
        <f>(0.501285425540793/(0.501285425540793+0.247997156571988+0.247997156571988)) * 35.1476222672977%</f>
        <v>0.17667049777072208</v>
      </c>
      <c r="D2402" t="s">
        <v>242</v>
      </c>
      <c r="E2402" t="s">
        <v>366</v>
      </c>
      <c r="F2402" t="s">
        <v>405</v>
      </c>
      <c r="G2402" t="s">
        <v>245</v>
      </c>
    </row>
    <row r="2403" spans="1:7" x14ac:dyDescent="0.25">
      <c r="A2403" t="s">
        <v>622</v>
      </c>
      <c r="B2403" t="s">
        <v>86</v>
      </c>
      <c r="C2403" s="4">
        <f>((0.247997156571988+0.247997156571988)/(0.501285425540793+0.247997156571988+0.247997156571988)) * 35.1476222672977%</f>
        <v>0.17480572490225488</v>
      </c>
      <c r="D2403" t="s">
        <v>256</v>
      </c>
      <c r="E2403" t="s">
        <v>404</v>
      </c>
      <c r="F2403" t="s">
        <v>405</v>
      </c>
      <c r="G2403" t="s">
        <v>245</v>
      </c>
    </row>
    <row r="2404" spans="1:7" x14ac:dyDescent="0.25">
      <c r="A2404" t="s">
        <v>622</v>
      </c>
      <c r="B2404" t="s">
        <v>154</v>
      </c>
      <c r="C2404" s="4">
        <f>(0.501285425540793/(0.501285425540793+0.247997156571988+0.247997156571988)) * 2.86229434302457%</f>
        <v>1.4387401870395477E-2</v>
      </c>
      <c r="D2404" t="s">
        <v>242</v>
      </c>
      <c r="E2404" t="s">
        <v>366</v>
      </c>
      <c r="F2404" t="s">
        <v>405</v>
      </c>
      <c r="G2404" t="s">
        <v>245</v>
      </c>
    </row>
    <row r="2405" spans="1:7" x14ac:dyDescent="0.25">
      <c r="A2405" t="s">
        <v>622</v>
      </c>
      <c r="B2405" t="s">
        <v>154</v>
      </c>
      <c r="C2405" s="4">
        <f>((0.247997156571988+0.247997156571988)/(0.501285425540793+0.247997156571988+0.247997156571988)) * 2.86229434302457%</f>
        <v>1.4235541559850217E-2</v>
      </c>
      <c r="D2405" t="s">
        <v>333</v>
      </c>
      <c r="E2405" t="s">
        <v>404</v>
      </c>
      <c r="F2405" t="s">
        <v>405</v>
      </c>
      <c r="G2405" t="s">
        <v>245</v>
      </c>
    </row>
    <row r="2406" spans="1:7" x14ac:dyDescent="0.25">
      <c r="A2406" t="s">
        <v>622</v>
      </c>
      <c r="B2406" t="s">
        <v>117</v>
      </c>
      <c r="C2406" s="4">
        <f>(0.501285425540793/(0.501285425540793+0.247997156571988+0.247997156571988)) * 10.6490872210953%</f>
        <v>5.3527932155604981E-2</v>
      </c>
      <c r="D2406" t="s">
        <v>242</v>
      </c>
      <c r="E2406" t="s">
        <v>366</v>
      </c>
      <c r="F2406" t="s">
        <v>405</v>
      </c>
      <c r="G2406" t="s">
        <v>245</v>
      </c>
    </row>
    <row r="2407" spans="1:7" x14ac:dyDescent="0.25">
      <c r="A2407" t="s">
        <v>622</v>
      </c>
      <c r="B2407" t="s">
        <v>117</v>
      </c>
      <c r="C2407" s="4">
        <f>((0.247997156571988+0.247997156571988)/(0.501285425540793+0.247997156571988+0.247997156571988)) * 10.6490872210953%</f>
        <v>5.2962940055348011E-2</v>
      </c>
      <c r="D2407" t="s">
        <v>333</v>
      </c>
      <c r="E2407" t="s">
        <v>404</v>
      </c>
      <c r="F2407" t="s">
        <v>405</v>
      </c>
      <c r="G2407" t="s">
        <v>245</v>
      </c>
    </row>
    <row r="2408" spans="1:7" x14ac:dyDescent="0.25">
      <c r="A2408" t="s">
        <v>622</v>
      </c>
      <c r="B2408" t="s">
        <v>119</v>
      </c>
      <c r="C2408" s="4">
        <f>(0.501285425540793/(0.501285425540793+0.247997156571988+0.247997156571988)) * 20.9995492449853%</f>
        <v>0.1055548164782751</v>
      </c>
      <c r="D2408" t="s">
        <v>242</v>
      </c>
      <c r="E2408" t="s">
        <v>366</v>
      </c>
      <c r="F2408" t="s">
        <v>405</v>
      </c>
      <c r="G2408" t="s">
        <v>245</v>
      </c>
    </row>
    <row r="2409" spans="1:7" x14ac:dyDescent="0.25">
      <c r="A2409" t="s">
        <v>622</v>
      </c>
      <c r="B2409" t="s">
        <v>119</v>
      </c>
      <c r="C2409" s="4">
        <f>((0.247997156571988+0.247997156571988)/(0.501285425540793+0.247997156571988+0.247997156571988)) * 20.9995492449853%</f>
        <v>0.10444067597157788</v>
      </c>
      <c r="D2409" t="s">
        <v>256</v>
      </c>
      <c r="E2409" t="s">
        <v>404</v>
      </c>
      <c r="F2409" t="s">
        <v>405</v>
      </c>
      <c r="G2409" t="s">
        <v>245</v>
      </c>
    </row>
    <row r="2410" spans="1:7" x14ac:dyDescent="0.25">
      <c r="A2410" t="s">
        <v>622</v>
      </c>
      <c r="B2410" t="s">
        <v>102</v>
      </c>
      <c r="C2410" s="4">
        <f>(0.501285425540793/(0.501285425540793+0.247997156571988+0.247997156571988)) * 0.321162947937796%</f>
        <v>1.6143344618357119E-3</v>
      </c>
      <c r="D2410" t="s">
        <v>242</v>
      </c>
      <c r="E2410" t="s">
        <v>366</v>
      </c>
      <c r="F2410" t="s">
        <v>405</v>
      </c>
      <c r="G2410" t="s">
        <v>245</v>
      </c>
    </row>
    <row r="2411" spans="1:7" x14ac:dyDescent="0.25">
      <c r="A2411" t="s">
        <v>622</v>
      </c>
      <c r="B2411" t="s">
        <v>102</v>
      </c>
      <c r="C2411" s="4">
        <f>((0.247997156571988+0.247997156571988)/(0.501285425540793+0.247997156571988+0.247997156571988)) * 0.321162947937796%</f>
        <v>1.5972950175422475E-3</v>
      </c>
      <c r="D2411" t="s">
        <v>256</v>
      </c>
      <c r="E2411" t="s">
        <v>404</v>
      </c>
      <c r="F2411" t="s">
        <v>405</v>
      </c>
      <c r="G2411" t="s">
        <v>245</v>
      </c>
    </row>
    <row r="2412" spans="1:7" x14ac:dyDescent="0.25">
      <c r="A2412" t="s">
        <v>622</v>
      </c>
      <c r="B2412" t="s">
        <v>150</v>
      </c>
      <c r="C2412" s="4">
        <f>(0.501285425540793/(0.501285425540793+0.247997156571988+0.247997156571988)) * 3.30741491999098%</f>
        <v>1.662481279118528E-2</v>
      </c>
      <c r="D2412" t="s">
        <v>242</v>
      </c>
      <c r="E2412" t="s">
        <v>366</v>
      </c>
      <c r="F2412" t="s">
        <v>405</v>
      </c>
      <c r="G2412" t="s">
        <v>245</v>
      </c>
    </row>
    <row r="2413" spans="1:7" x14ac:dyDescent="0.25">
      <c r="A2413" t="s">
        <v>622</v>
      </c>
      <c r="B2413" t="s">
        <v>150</v>
      </c>
      <c r="C2413" s="4">
        <f>((0.247997156571988+0.247997156571988)/(0.501285425540793+0.247997156571988+0.247997156571988)) * 3.30741491999098%</f>
        <v>1.6449336408724518E-2</v>
      </c>
      <c r="D2413" t="s">
        <v>256</v>
      </c>
      <c r="E2413" t="s">
        <v>404</v>
      </c>
      <c r="F2413" t="s">
        <v>405</v>
      </c>
      <c r="G2413" t="s">
        <v>245</v>
      </c>
    </row>
    <row r="2414" spans="1:7" x14ac:dyDescent="0.25">
      <c r="A2414" t="s">
        <v>622</v>
      </c>
      <c r="B2414" t="s">
        <v>146</v>
      </c>
      <c r="C2414" s="4">
        <f>(0.501285425540793/(0.501285425540793+0.247997156571988+0.247997156571988)) * 1.25647960333559%</f>
        <v>6.3157295612169193E-3</v>
      </c>
      <c r="D2414" t="s">
        <v>242</v>
      </c>
      <c r="E2414" t="s">
        <v>366</v>
      </c>
      <c r="F2414" t="s">
        <v>405</v>
      </c>
      <c r="G2414" t="s">
        <v>245</v>
      </c>
    </row>
    <row r="2415" spans="1:7" x14ac:dyDescent="0.25">
      <c r="A2415" t="s">
        <v>622</v>
      </c>
      <c r="B2415" t="s">
        <v>146</v>
      </c>
      <c r="C2415" s="4">
        <f>((0.247997156571988+0.247997156571988)/(0.501285425540793+0.247997156571988+0.247997156571988)) * 1.25647960333559%</f>
        <v>6.24906647213898E-3</v>
      </c>
      <c r="D2415" t="s">
        <v>256</v>
      </c>
      <c r="E2415" t="s">
        <v>404</v>
      </c>
      <c r="F2415" t="s">
        <v>405</v>
      </c>
      <c r="G2415" t="s">
        <v>245</v>
      </c>
    </row>
    <row r="2416" spans="1:7" x14ac:dyDescent="0.25">
      <c r="A2416" t="s">
        <v>622</v>
      </c>
      <c r="B2416" t="s">
        <v>156</v>
      </c>
      <c r="C2416" s="4">
        <f>(0.501285425540793/(0.501285425540793+0.247997156571988+0.247997156571988)) * 1.97205318909173%</f>
        <v>9.9125800288157769E-3</v>
      </c>
      <c r="D2416" t="s">
        <v>242</v>
      </c>
      <c r="E2416" t="s">
        <v>366</v>
      </c>
      <c r="F2416" t="s">
        <v>405</v>
      </c>
      <c r="G2416" t="s">
        <v>245</v>
      </c>
    </row>
    <row r="2417" spans="1:7" x14ac:dyDescent="0.25">
      <c r="A2417" t="s">
        <v>622</v>
      </c>
      <c r="B2417" t="s">
        <v>156</v>
      </c>
      <c r="C2417" s="4">
        <f>((0.247997156571988+0.247997156571988)/(0.501285425540793+0.247997156571988+0.247997156571988)) * 1.97205318909173%</f>
        <v>9.8079518621015226E-3</v>
      </c>
      <c r="D2417" t="s">
        <v>256</v>
      </c>
      <c r="E2417" t="s">
        <v>404</v>
      </c>
      <c r="F2417" t="s">
        <v>405</v>
      </c>
      <c r="G2417" t="s">
        <v>245</v>
      </c>
    </row>
    <row r="2418" spans="1:7" x14ac:dyDescent="0.25">
      <c r="A2418" t="s">
        <v>622</v>
      </c>
      <c r="B2418" t="s">
        <v>151</v>
      </c>
      <c r="C2418" s="4">
        <f>(0.501285425540793/(0.501285425540793+0.247997156571988+0.247997156571988)) * 2.00585981519044%</f>
        <v>1.0082509972166878E-2</v>
      </c>
      <c r="D2418" t="s">
        <v>242</v>
      </c>
      <c r="E2418" t="s">
        <v>366</v>
      </c>
      <c r="F2418" t="s">
        <v>405</v>
      </c>
      <c r="G2418" t="s">
        <v>245</v>
      </c>
    </row>
    <row r="2419" spans="1:7" x14ac:dyDescent="0.25">
      <c r="A2419" t="s">
        <v>622</v>
      </c>
      <c r="B2419" t="s">
        <v>151</v>
      </c>
      <c r="C2419" s="4">
        <f>((0.247997156571988+0.247997156571988)/(0.501285425540793+0.247997156571988+0.247997156571988)) * 2.00585981519044%</f>
        <v>9.9760881797375228E-3</v>
      </c>
      <c r="D2419" t="s">
        <v>333</v>
      </c>
      <c r="E2419" t="s">
        <v>404</v>
      </c>
      <c r="F2419" t="s">
        <v>405</v>
      </c>
      <c r="G2419" t="s">
        <v>245</v>
      </c>
    </row>
    <row r="2420" spans="1:7" x14ac:dyDescent="0.25">
      <c r="A2420" t="s">
        <v>622</v>
      </c>
      <c r="B2420" t="s">
        <v>107</v>
      </c>
      <c r="C2420" s="4">
        <f>(0.501285425540793/(0.501285425540793+0.247997156571988+0.247997156571988)) * 5.28510254676583%</f>
        <v>2.6565714477226249E-2</v>
      </c>
      <c r="D2420" t="s">
        <v>242</v>
      </c>
      <c r="E2420" t="s">
        <v>366</v>
      </c>
      <c r="F2420" t="s">
        <v>405</v>
      </c>
      <c r="G2420" t="s">
        <v>245</v>
      </c>
    </row>
    <row r="2421" spans="1:7" x14ac:dyDescent="0.25">
      <c r="A2421" t="s">
        <v>622</v>
      </c>
      <c r="B2421" t="s">
        <v>107</v>
      </c>
      <c r="C2421" s="4">
        <f>((0.247997156571988+0.247997156571988)/(0.501285425540793+0.247997156571988+0.247997156571988)) * 5.28510254676583%</f>
        <v>2.6285310990432048E-2</v>
      </c>
      <c r="D2421" t="s">
        <v>333</v>
      </c>
      <c r="E2421" t="s">
        <v>404</v>
      </c>
      <c r="F2421" t="s">
        <v>405</v>
      </c>
      <c r="G2421" t="s">
        <v>245</v>
      </c>
    </row>
    <row r="2422" spans="1:7" x14ac:dyDescent="0.25">
      <c r="A2422" t="s">
        <v>622</v>
      </c>
      <c r="B2422" t="s">
        <v>179</v>
      </c>
      <c r="C2422" s="4">
        <f>(0.501285425540793/(0.501285425540793+0.247997156571988+0.247997156571988)) * 0.58034708136128%</f>
        <v>2.9171306941943543E-3</v>
      </c>
      <c r="D2422" t="s">
        <v>242</v>
      </c>
      <c r="E2422" t="s">
        <v>366</v>
      </c>
      <c r="F2422" t="s">
        <v>405</v>
      </c>
      <c r="G2422" t="s">
        <v>245</v>
      </c>
    </row>
    <row r="2423" spans="1:7" x14ac:dyDescent="0.25">
      <c r="A2423" t="s">
        <v>622</v>
      </c>
      <c r="B2423" t="s">
        <v>179</v>
      </c>
      <c r="C2423" s="4">
        <f>((0.247997156571988+0.247997156571988)/(0.501285425540793+0.247997156571988+0.247997156571988)) * 0.58034708136128%</f>
        <v>2.8863401194184454E-3</v>
      </c>
      <c r="D2423" t="s">
        <v>333</v>
      </c>
      <c r="E2423" t="s">
        <v>404</v>
      </c>
      <c r="F2423" t="s">
        <v>405</v>
      </c>
      <c r="G2423" t="s">
        <v>245</v>
      </c>
    </row>
    <row r="2424" spans="1:7" x14ac:dyDescent="0.25">
      <c r="A2424" t="s">
        <v>622</v>
      </c>
      <c r="B2424" t="s">
        <v>138</v>
      </c>
      <c r="C2424" s="4">
        <f>(0.501285425540793/(0.501285425540793+0.247997156571988+0.247997156571988)) * 0.94658553076403%</f>
        <v>4.7580384138315697E-3</v>
      </c>
      <c r="D2424" t="s">
        <v>242</v>
      </c>
      <c r="E2424" t="s">
        <v>366</v>
      </c>
      <c r="F2424" t="s">
        <v>405</v>
      </c>
      <c r="G2424" t="s">
        <v>245</v>
      </c>
    </row>
    <row r="2425" spans="1:7" x14ac:dyDescent="0.25">
      <c r="A2425" t="s">
        <v>622</v>
      </c>
      <c r="B2425" t="s">
        <v>138</v>
      </c>
      <c r="C2425" s="4">
        <f>((0.247997156571988+0.247997156571988)/(0.501285425540793+0.247997156571988+0.247997156571988)) * 0.94658553076403%</f>
        <v>4.7078168938087276E-3</v>
      </c>
      <c r="D2425" t="s">
        <v>333</v>
      </c>
      <c r="E2425" t="s">
        <v>404</v>
      </c>
      <c r="F2425" t="s">
        <v>405</v>
      </c>
      <c r="G2425" t="s">
        <v>245</v>
      </c>
    </row>
    <row r="2426" spans="1:7" x14ac:dyDescent="0.25">
      <c r="A2426" t="s">
        <v>622</v>
      </c>
      <c r="B2426" t="s">
        <v>113</v>
      </c>
      <c r="C2426" s="4">
        <f>(0.501285425540793/(0.501285425540793+0.247997156571988+0.247997156571988)) * 3.32431823304034%</f>
        <v>1.6709777762860853E-2</v>
      </c>
      <c r="D2426" t="s">
        <v>242</v>
      </c>
      <c r="E2426" t="s">
        <v>366</v>
      </c>
      <c r="F2426" t="s">
        <v>405</v>
      </c>
      <c r="G2426" t="s">
        <v>245</v>
      </c>
    </row>
    <row r="2427" spans="1:7" x14ac:dyDescent="0.25">
      <c r="A2427" t="s">
        <v>622</v>
      </c>
      <c r="B2427" t="s">
        <v>113</v>
      </c>
      <c r="C2427" s="4">
        <f>((0.247997156571988+0.247997156571988)/(0.501285425540793+0.247997156571988+0.247997156571988)) * 3.32431823304034%</f>
        <v>1.6533404567542539E-2</v>
      </c>
      <c r="D2427" t="s">
        <v>256</v>
      </c>
      <c r="E2427" t="s">
        <v>404</v>
      </c>
      <c r="F2427" t="s">
        <v>405</v>
      </c>
      <c r="G2427" t="s">
        <v>245</v>
      </c>
    </row>
    <row r="2428" spans="1:7" x14ac:dyDescent="0.25">
      <c r="A2428" t="s">
        <v>622</v>
      </c>
      <c r="B2428" t="s">
        <v>180</v>
      </c>
      <c r="C2428" s="4">
        <f>(0.501285425540793/(0.501285425540793+0.247997156571988+0.247997156571988)) * 0.112688753662384%</f>
        <v>5.6643314450375573E-4</v>
      </c>
      <c r="D2428" t="s">
        <v>242</v>
      </c>
      <c r="E2428" t="s">
        <v>366</v>
      </c>
      <c r="F2428" t="s">
        <v>405</v>
      </c>
      <c r="G2428" t="s">
        <v>245</v>
      </c>
    </row>
    <row r="2429" spans="1:7" x14ac:dyDescent="0.25">
      <c r="A2429" t="s">
        <v>622</v>
      </c>
      <c r="B2429" t="s">
        <v>180</v>
      </c>
      <c r="C2429" s="4">
        <f>((0.247997156571988+0.247997156571988)/(0.501285425540793+0.247997156571988+0.247997156571988)) * 0.112688753662384%</f>
        <v>5.6045439212008407E-4</v>
      </c>
      <c r="D2429" t="s">
        <v>256</v>
      </c>
      <c r="E2429" t="s">
        <v>404</v>
      </c>
      <c r="F2429" t="s">
        <v>405</v>
      </c>
      <c r="G2429" t="s">
        <v>245</v>
      </c>
    </row>
    <row r="2430" spans="1:7" x14ac:dyDescent="0.25">
      <c r="A2430" t="s">
        <v>757</v>
      </c>
      <c r="B2430" t="s">
        <v>113</v>
      </c>
      <c r="D2430" t="s">
        <v>242</v>
      </c>
      <c r="E2430" t="s">
        <v>315</v>
      </c>
      <c r="F2430" t="s">
        <v>757</v>
      </c>
      <c r="G2430" t="s">
        <v>245</v>
      </c>
    </row>
    <row r="2431" spans="1:7" x14ac:dyDescent="0.25">
      <c r="A2431" t="s">
        <v>757</v>
      </c>
      <c r="B2431" t="s">
        <v>113</v>
      </c>
      <c r="D2431" t="s">
        <v>256</v>
      </c>
      <c r="E2431" t="s">
        <v>758</v>
      </c>
      <c r="F2431" t="s">
        <v>757</v>
      </c>
      <c r="G2431" t="s">
        <v>245</v>
      </c>
    </row>
    <row r="2432" spans="1:7" x14ac:dyDescent="0.25">
      <c r="A2432" t="s">
        <v>757</v>
      </c>
      <c r="B2432" t="s">
        <v>113</v>
      </c>
      <c r="D2432" t="s">
        <v>256</v>
      </c>
      <c r="E2432" t="s">
        <v>759</v>
      </c>
      <c r="F2432" t="s">
        <v>757</v>
      </c>
      <c r="G2432" t="s">
        <v>245</v>
      </c>
    </row>
    <row r="2433" spans="1:7" x14ac:dyDescent="0.25">
      <c r="A2433" t="s">
        <v>754</v>
      </c>
      <c r="B2433" t="s">
        <v>113</v>
      </c>
      <c r="C2433" s="4">
        <v>0.24975984630163303</v>
      </c>
      <c r="D2433" t="s">
        <v>256</v>
      </c>
      <c r="E2433" t="s">
        <v>755</v>
      </c>
      <c r="F2433" t="s">
        <v>754</v>
      </c>
      <c r="G2433" t="s">
        <v>245</v>
      </c>
    </row>
    <row r="2434" spans="1:7" x14ac:dyDescent="0.25">
      <c r="A2434" t="s">
        <v>757</v>
      </c>
      <c r="B2434" t="s">
        <v>124</v>
      </c>
      <c r="D2434" t="s">
        <v>242</v>
      </c>
      <c r="E2434" t="s">
        <v>315</v>
      </c>
      <c r="F2434" t="s">
        <v>757</v>
      </c>
      <c r="G2434" t="s">
        <v>245</v>
      </c>
    </row>
    <row r="2435" spans="1:7" x14ac:dyDescent="0.25">
      <c r="A2435" t="s">
        <v>757</v>
      </c>
      <c r="B2435" t="s">
        <v>124</v>
      </c>
      <c r="D2435" t="s">
        <v>256</v>
      </c>
      <c r="E2435" t="s">
        <v>758</v>
      </c>
      <c r="F2435" t="s">
        <v>757</v>
      </c>
      <c r="G2435" t="s">
        <v>245</v>
      </c>
    </row>
    <row r="2436" spans="1:7" x14ac:dyDescent="0.25">
      <c r="A2436" t="s">
        <v>757</v>
      </c>
      <c r="B2436" t="s">
        <v>124</v>
      </c>
      <c r="D2436" t="s">
        <v>256</v>
      </c>
      <c r="E2436" t="s">
        <v>759</v>
      </c>
      <c r="F2436" t="s">
        <v>757</v>
      </c>
      <c r="G2436" t="s">
        <v>245</v>
      </c>
    </row>
    <row r="2437" spans="1:7" x14ac:dyDescent="0.25">
      <c r="A2437" t="s">
        <v>754</v>
      </c>
      <c r="B2437" t="s">
        <v>124</v>
      </c>
      <c r="C2437" s="4">
        <v>1.0916077198497947E-2</v>
      </c>
      <c r="D2437" t="s">
        <v>256</v>
      </c>
      <c r="E2437" t="s">
        <v>755</v>
      </c>
      <c r="F2437" t="s">
        <v>754</v>
      </c>
      <c r="G2437" t="s">
        <v>245</v>
      </c>
    </row>
    <row r="2438" spans="1:7" x14ac:dyDescent="0.25">
      <c r="A2438" t="s">
        <v>757</v>
      </c>
      <c r="B2438" t="s">
        <v>83</v>
      </c>
      <c r="D2438" t="s">
        <v>242</v>
      </c>
      <c r="E2438" t="s">
        <v>315</v>
      </c>
      <c r="F2438" t="s">
        <v>757</v>
      </c>
      <c r="G2438" t="s">
        <v>245</v>
      </c>
    </row>
    <row r="2439" spans="1:7" x14ac:dyDescent="0.25">
      <c r="A2439" t="s">
        <v>757</v>
      </c>
      <c r="B2439" t="s">
        <v>83</v>
      </c>
      <c r="D2439" t="s">
        <v>256</v>
      </c>
      <c r="E2439" t="s">
        <v>758</v>
      </c>
      <c r="F2439" t="s">
        <v>757</v>
      </c>
      <c r="G2439" t="s">
        <v>245</v>
      </c>
    </row>
    <row r="2440" spans="1:7" x14ac:dyDescent="0.25">
      <c r="A2440" t="s">
        <v>757</v>
      </c>
      <c r="B2440" t="s">
        <v>83</v>
      </c>
      <c r="D2440" t="s">
        <v>256</v>
      </c>
      <c r="E2440" t="s">
        <v>759</v>
      </c>
      <c r="F2440" t="s">
        <v>757</v>
      </c>
      <c r="G2440" t="s">
        <v>245</v>
      </c>
    </row>
    <row r="2441" spans="1:7" x14ac:dyDescent="0.25">
      <c r="A2441" t="s">
        <v>754</v>
      </c>
      <c r="B2441" t="s">
        <v>83</v>
      </c>
      <c r="C2441" s="4">
        <v>1.164381567839781E-2</v>
      </c>
      <c r="D2441" t="s">
        <v>256</v>
      </c>
      <c r="E2441" t="s">
        <v>755</v>
      </c>
      <c r="F2441" t="s">
        <v>754</v>
      </c>
      <c r="G2441" t="s">
        <v>245</v>
      </c>
    </row>
    <row r="2442" spans="1:7" x14ac:dyDescent="0.25">
      <c r="A2442" t="s">
        <v>757</v>
      </c>
      <c r="B2442" t="s">
        <v>147</v>
      </c>
      <c r="D2442" t="s">
        <v>242</v>
      </c>
      <c r="E2442" t="s">
        <v>315</v>
      </c>
      <c r="F2442" t="s">
        <v>757</v>
      </c>
      <c r="G2442" t="s">
        <v>245</v>
      </c>
    </row>
    <row r="2443" spans="1:7" x14ac:dyDescent="0.25">
      <c r="A2443" t="s">
        <v>757</v>
      </c>
      <c r="B2443" t="s">
        <v>147</v>
      </c>
      <c r="D2443" t="s">
        <v>256</v>
      </c>
      <c r="E2443" t="s">
        <v>758</v>
      </c>
      <c r="F2443" t="s">
        <v>757</v>
      </c>
      <c r="G2443" t="s">
        <v>245</v>
      </c>
    </row>
    <row r="2444" spans="1:7" x14ac:dyDescent="0.25">
      <c r="A2444" t="s">
        <v>757</v>
      </c>
      <c r="B2444" t="s">
        <v>147</v>
      </c>
      <c r="D2444" t="s">
        <v>256</v>
      </c>
      <c r="E2444" t="s">
        <v>759</v>
      </c>
      <c r="F2444" t="s">
        <v>757</v>
      </c>
      <c r="G2444" t="s">
        <v>245</v>
      </c>
    </row>
    <row r="2445" spans="1:7" x14ac:dyDescent="0.25">
      <c r="A2445" t="s">
        <v>754</v>
      </c>
      <c r="B2445" t="s">
        <v>147</v>
      </c>
      <c r="C2445" s="4">
        <v>2.4379239076645416E-2</v>
      </c>
      <c r="D2445" t="s">
        <v>256</v>
      </c>
      <c r="E2445" t="s">
        <v>755</v>
      </c>
      <c r="F2445" t="s">
        <v>754</v>
      </c>
      <c r="G2445" t="s">
        <v>245</v>
      </c>
    </row>
    <row r="2446" spans="1:7" x14ac:dyDescent="0.25">
      <c r="A2446" t="s">
        <v>757</v>
      </c>
      <c r="B2446" t="s">
        <v>116</v>
      </c>
      <c r="D2446" t="s">
        <v>242</v>
      </c>
      <c r="E2446" t="s">
        <v>315</v>
      </c>
      <c r="F2446" t="s">
        <v>757</v>
      </c>
      <c r="G2446" t="s">
        <v>245</v>
      </c>
    </row>
    <row r="2447" spans="1:7" x14ac:dyDescent="0.25">
      <c r="A2447" t="s">
        <v>757</v>
      </c>
      <c r="B2447" t="s">
        <v>116</v>
      </c>
      <c r="D2447" t="s">
        <v>256</v>
      </c>
      <c r="E2447" t="s">
        <v>758</v>
      </c>
      <c r="F2447" t="s">
        <v>757</v>
      </c>
      <c r="G2447" t="s">
        <v>245</v>
      </c>
    </row>
    <row r="2448" spans="1:7" x14ac:dyDescent="0.25">
      <c r="A2448" t="s">
        <v>757</v>
      </c>
      <c r="B2448" t="s">
        <v>116</v>
      </c>
      <c r="D2448" t="s">
        <v>256</v>
      </c>
      <c r="E2448" t="s">
        <v>759</v>
      </c>
      <c r="F2448" t="s">
        <v>757</v>
      </c>
      <c r="G2448" t="s">
        <v>245</v>
      </c>
    </row>
    <row r="2449" spans="1:7" x14ac:dyDescent="0.25">
      <c r="A2449" t="s">
        <v>754</v>
      </c>
      <c r="B2449" t="s">
        <v>116</v>
      </c>
      <c r="C2449" s="4">
        <v>1.404535266206736E-2</v>
      </c>
      <c r="D2449" t="s">
        <v>256</v>
      </c>
      <c r="E2449" t="s">
        <v>755</v>
      </c>
      <c r="F2449" t="s">
        <v>754</v>
      </c>
      <c r="G2449" t="s">
        <v>245</v>
      </c>
    </row>
    <row r="2450" spans="1:7" x14ac:dyDescent="0.25">
      <c r="A2450" t="s">
        <v>757</v>
      </c>
      <c r="B2450" t="s">
        <v>86</v>
      </c>
      <c r="D2450" t="s">
        <v>242</v>
      </c>
      <c r="E2450" t="s">
        <v>315</v>
      </c>
      <c r="F2450" t="s">
        <v>757</v>
      </c>
      <c r="G2450" t="s">
        <v>245</v>
      </c>
    </row>
    <row r="2451" spans="1:7" x14ac:dyDescent="0.25">
      <c r="A2451" t="s">
        <v>757</v>
      </c>
      <c r="B2451" t="s">
        <v>86</v>
      </c>
      <c r="D2451" t="s">
        <v>256</v>
      </c>
      <c r="E2451" t="s">
        <v>758</v>
      </c>
      <c r="F2451" t="s">
        <v>757</v>
      </c>
      <c r="G2451" t="s">
        <v>245</v>
      </c>
    </row>
    <row r="2452" spans="1:7" x14ac:dyDescent="0.25">
      <c r="A2452" t="s">
        <v>757</v>
      </c>
      <c r="B2452" t="s">
        <v>86</v>
      </c>
      <c r="D2452" t="s">
        <v>256</v>
      </c>
      <c r="E2452" t="s">
        <v>759</v>
      </c>
      <c r="F2452" t="s">
        <v>757</v>
      </c>
      <c r="G2452" t="s">
        <v>245</v>
      </c>
    </row>
    <row r="2453" spans="1:7" x14ac:dyDescent="0.25">
      <c r="A2453" t="s">
        <v>754</v>
      </c>
      <c r="B2453" t="s">
        <v>86</v>
      </c>
      <c r="C2453" s="4">
        <v>0.25572730183681192</v>
      </c>
      <c r="D2453" t="s">
        <v>256</v>
      </c>
      <c r="E2453" t="s">
        <v>755</v>
      </c>
      <c r="F2453" t="s">
        <v>754</v>
      </c>
      <c r="G2453" t="s">
        <v>245</v>
      </c>
    </row>
    <row r="2454" spans="1:7" x14ac:dyDescent="0.25">
      <c r="A2454" t="s">
        <v>757</v>
      </c>
      <c r="B2454" t="s">
        <v>91</v>
      </c>
      <c r="D2454" t="s">
        <v>242</v>
      </c>
      <c r="E2454" t="s">
        <v>315</v>
      </c>
      <c r="F2454" t="s">
        <v>757</v>
      </c>
      <c r="G2454" t="s">
        <v>245</v>
      </c>
    </row>
    <row r="2455" spans="1:7" x14ac:dyDescent="0.25">
      <c r="A2455" t="s">
        <v>757</v>
      </c>
      <c r="B2455" t="s">
        <v>91</v>
      </c>
      <c r="D2455" t="s">
        <v>256</v>
      </c>
      <c r="E2455" t="s">
        <v>758</v>
      </c>
      <c r="F2455" t="s">
        <v>757</v>
      </c>
      <c r="G2455" t="s">
        <v>245</v>
      </c>
    </row>
    <row r="2456" spans="1:7" x14ac:dyDescent="0.25">
      <c r="A2456" t="s">
        <v>757</v>
      </c>
      <c r="B2456" t="s">
        <v>91</v>
      </c>
      <c r="D2456" t="s">
        <v>256</v>
      </c>
      <c r="E2456" t="s">
        <v>759</v>
      </c>
      <c r="F2456" t="s">
        <v>757</v>
      </c>
      <c r="G2456" t="s">
        <v>245</v>
      </c>
    </row>
    <row r="2457" spans="1:7" x14ac:dyDescent="0.25">
      <c r="A2457" t="s">
        <v>754</v>
      </c>
      <c r="B2457" t="s">
        <v>91</v>
      </c>
      <c r="C2457" s="4">
        <v>3.3475970075393706E-2</v>
      </c>
      <c r="D2457" t="s">
        <v>256</v>
      </c>
      <c r="E2457" t="s">
        <v>755</v>
      </c>
      <c r="F2457" t="s">
        <v>754</v>
      </c>
      <c r="G2457" t="s">
        <v>245</v>
      </c>
    </row>
    <row r="2458" spans="1:7" x14ac:dyDescent="0.25">
      <c r="A2458" t="s">
        <v>757</v>
      </c>
      <c r="B2458" t="s">
        <v>117</v>
      </c>
      <c r="D2458" t="s">
        <v>242</v>
      </c>
      <c r="E2458" t="s">
        <v>315</v>
      </c>
      <c r="F2458" t="s">
        <v>757</v>
      </c>
      <c r="G2458" t="s">
        <v>245</v>
      </c>
    </row>
    <row r="2459" spans="1:7" x14ac:dyDescent="0.25">
      <c r="A2459" t="s">
        <v>757</v>
      </c>
      <c r="B2459" t="s">
        <v>117</v>
      </c>
      <c r="D2459" t="s">
        <v>256</v>
      </c>
      <c r="E2459" t="s">
        <v>758</v>
      </c>
      <c r="F2459" t="s">
        <v>757</v>
      </c>
      <c r="G2459" t="s">
        <v>245</v>
      </c>
    </row>
    <row r="2460" spans="1:7" x14ac:dyDescent="0.25">
      <c r="A2460" t="s">
        <v>757</v>
      </c>
      <c r="B2460" t="s">
        <v>117</v>
      </c>
      <c r="D2460" t="s">
        <v>256</v>
      </c>
      <c r="E2460" t="s">
        <v>759</v>
      </c>
      <c r="F2460" t="s">
        <v>757</v>
      </c>
      <c r="G2460" t="s">
        <v>245</v>
      </c>
    </row>
    <row r="2461" spans="1:7" x14ac:dyDescent="0.25">
      <c r="A2461" t="s">
        <v>754</v>
      </c>
      <c r="B2461" t="s">
        <v>117</v>
      </c>
      <c r="C2461" s="4">
        <v>3.0375804151020289E-2</v>
      </c>
      <c r="D2461" t="s">
        <v>756</v>
      </c>
      <c r="E2461" t="s">
        <v>755</v>
      </c>
      <c r="F2461" t="s">
        <v>754</v>
      </c>
      <c r="G2461" t="s">
        <v>245</v>
      </c>
    </row>
    <row r="2462" spans="1:7" x14ac:dyDescent="0.25">
      <c r="A2462" t="s">
        <v>757</v>
      </c>
      <c r="B2462" t="s">
        <v>97</v>
      </c>
      <c r="D2462" t="s">
        <v>308</v>
      </c>
      <c r="E2462" t="s">
        <v>758</v>
      </c>
      <c r="F2462" t="s">
        <v>757</v>
      </c>
      <c r="G2462" t="s">
        <v>245</v>
      </c>
    </row>
    <row r="2463" spans="1:7" x14ac:dyDescent="0.25">
      <c r="A2463" t="s">
        <v>754</v>
      </c>
      <c r="B2463" t="s">
        <v>97</v>
      </c>
      <c r="C2463" s="4">
        <v>3.4785899339213458E-2</v>
      </c>
      <c r="D2463" t="s">
        <v>256</v>
      </c>
      <c r="E2463" t="s">
        <v>755</v>
      </c>
      <c r="F2463" t="s">
        <v>754</v>
      </c>
      <c r="G2463" t="s">
        <v>245</v>
      </c>
    </row>
    <row r="2464" spans="1:7" x14ac:dyDescent="0.25">
      <c r="A2464" t="s">
        <v>757</v>
      </c>
      <c r="B2464" t="s">
        <v>98</v>
      </c>
      <c r="D2464" t="s">
        <v>242</v>
      </c>
      <c r="E2464" t="s">
        <v>315</v>
      </c>
      <c r="F2464" t="s">
        <v>757</v>
      </c>
      <c r="G2464" t="s">
        <v>245</v>
      </c>
    </row>
    <row r="2465" spans="1:7" x14ac:dyDescent="0.25">
      <c r="A2465" t="s">
        <v>757</v>
      </c>
      <c r="B2465" t="s">
        <v>98</v>
      </c>
      <c r="D2465" t="s">
        <v>256</v>
      </c>
      <c r="E2465" t="s">
        <v>758</v>
      </c>
      <c r="F2465" t="s">
        <v>757</v>
      </c>
      <c r="G2465" t="s">
        <v>245</v>
      </c>
    </row>
    <row r="2466" spans="1:7" x14ac:dyDescent="0.25">
      <c r="A2466" t="s">
        <v>757</v>
      </c>
      <c r="B2466" t="s">
        <v>98</v>
      </c>
      <c r="D2466" t="s">
        <v>256</v>
      </c>
      <c r="E2466" t="s">
        <v>759</v>
      </c>
      <c r="F2466" t="s">
        <v>757</v>
      </c>
      <c r="G2466" t="s">
        <v>245</v>
      </c>
    </row>
    <row r="2467" spans="1:7" x14ac:dyDescent="0.25">
      <c r="A2467" t="s">
        <v>754</v>
      </c>
      <c r="B2467" t="s">
        <v>98</v>
      </c>
      <c r="C2467" s="4">
        <v>1.0246557796990073E-2</v>
      </c>
      <c r="D2467" t="s">
        <v>256</v>
      </c>
      <c r="E2467" t="s">
        <v>755</v>
      </c>
      <c r="F2467" t="s">
        <v>754</v>
      </c>
      <c r="G2467" t="s">
        <v>245</v>
      </c>
    </row>
    <row r="2468" spans="1:7" x14ac:dyDescent="0.25">
      <c r="A2468" t="s">
        <v>757</v>
      </c>
      <c r="B2468" t="s">
        <v>182</v>
      </c>
      <c r="D2468" t="s">
        <v>242</v>
      </c>
      <c r="E2468" t="s">
        <v>315</v>
      </c>
      <c r="F2468" t="s">
        <v>757</v>
      </c>
      <c r="G2468" t="s">
        <v>245</v>
      </c>
    </row>
    <row r="2469" spans="1:7" x14ac:dyDescent="0.25">
      <c r="A2469" t="s">
        <v>757</v>
      </c>
      <c r="B2469" t="s">
        <v>182</v>
      </c>
      <c r="D2469" t="s">
        <v>256</v>
      </c>
      <c r="E2469" t="s">
        <v>758</v>
      </c>
      <c r="F2469" t="s">
        <v>757</v>
      </c>
      <c r="G2469" t="s">
        <v>245</v>
      </c>
    </row>
    <row r="2470" spans="1:7" x14ac:dyDescent="0.25">
      <c r="A2470" t="s">
        <v>757</v>
      </c>
      <c r="B2470" t="s">
        <v>182</v>
      </c>
      <c r="D2470" t="s">
        <v>256</v>
      </c>
      <c r="E2470" t="s">
        <v>759</v>
      </c>
      <c r="F2470" t="s">
        <v>757</v>
      </c>
      <c r="G2470" t="s">
        <v>245</v>
      </c>
    </row>
    <row r="2471" spans="1:7" x14ac:dyDescent="0.25">
      <c r="A2471" t="s">
        <v>754</v>
      </c>
      <c r="B2471" t="s">
        <v>182</v>
      </c>
      <c r="C2471" s="4">
        <v>3.9297877914592612E-2</v>
      </c>
      <c r="D2471" t="s">
        <v>256</v>
      </c>
      <c r="E2471" t="s">
        <v>755</v>
      </c>
      <c r="F2471" t="s">
        <v>754</v>
      </c>
      <c r="G2471" t="s">
        <v>245</v>
      </c>
    </row>
    <row r="2472" spans="1:7" x14ac:dyDescent="0.25">
      <c r="A2472" t="s">
        <v>757</v>
      </c>
      <c r="B2472" t="s">
        <v>103</v>
      </c>
      <c r="D2472" t="s">
        <v>242</v>
      </c>
      <c r="E2472" t="s">
        <v>315</v>
      </c>
      <c r="F2472" t="s">
        <v>757</v>
      </c>
      <c r="G2472" t="s">
        <v>245</v>
      </c>
    </row>
    <row r="2473" spans="1:7" x14ac:dyDescent="0.25">
      <c r="A2473" t="s">
        <v>757</v>
      </c>
      <c r="B2473" t="s">
        <v>103</v>
      </c>
      <c r="D2473" t="s">
        <v>256</v>
      </c>
      <c r="E2473" t="s">
        <v>758</v>
      </c>
      <c r="F2473" t="s">
        <v>757</v>
      </c>
      <c r="G2473" t="s">
        <v>245</v>
      </c>
    </row>
    <row r="2474" spans="1:7" x14ac:dyDescent="0.25">
      <c r="A2474" t="s">
        <v>757</v>
      </c>
      <c r="B2474" t="s">
        <v>103</v>
      </c>
      <c r="D2474" t="s">
        <v>256</v>
      </c>
      <c r="E2474" t="s">
        <v>759</v>
      </c>
      <c r="F2474" t="s">
        <v>757</v>
      </c>
      <c r="G2474" t="s">
        <v>245</v>
      </c>
    </row>
    <row r="2475" spans="1:7" x14ac:dyDescent="0.25">
      <c r="A2475" t="s">
        <v>754</v>
      </c>
      <c r="B2475" t="s">
        <v>103</v>
      </c>
      <c r="C2475" s="4">
        <v>1.2226006462317701E-2</v>
      </c>
      <c r="D2475" t="s">
        <v>256</v>
      </c>
      <c r="E2475" t="s">
        <v>755</v>
      </c>
      <c r="F2475" t="s">
        <v>754</v>
      </c>
      <c r="G2475" t="s">
        <v>245</v>
      </c>
    </row>
    <row r="2476" spans="1:7" x14ac:dyDescent="0.25">
      <c r="A2476" t="s">
        <v>757</v>
      </c>
      <c r="B2476" t="s">
        <v>150</v>
      </c>
      <c r="D2476" t="s">
        <v>242</v>
      </c>
      <c r="E2476" t="s">
        <v>315</v>
      </c>
      <c r="F2476" t="s">
        <v>757</v>
      </c>
      <c r="G2476" t="s">
        <v>245</v>
      </c>
    </row>
    <row r="2477" spans="1:7" x14ac:dyDescent="0.25">
      <c r="A2477" t="s">
        <v>757</v>
      </c>
      <c r="B2477" t="s">
        <v>150</v>
      </c>
      <c r="D2477" t="s">
        <v>256</v>
      </c>
      <c r="E2477" t="s">
        <v>758</v>
      </c>
      <c r="F2477" t="s">
        <v>757</v>
      </c>
      <c r="G2477" t="s">
        <v>245</v>
      </c>
    </row>
    <row r="2478" spans="1:7" x14ac:dyDescent="0.25">
      <c r="A2478" t="s">
        <v>757</v>
      </c>
      <c r="B2478" t="s">
        <v>150</v>
      </c>
      <c r="D2478" t="s">
        <v>256</v>
      </c>
      <c r="E2478" t="s">
        <v>759</v>
      </c>
      <c r="F2478" t="s">
        <v>757</v>
      </c>
      <c r="G2478" t="s">
        <v>245</v>
      </c>
    </row>
    <row r="2479" spans="1:7" x14ac:dyDescent="0.25">
      <c r="A2479" t="s">
        <v>754</v>
      </c>
      <c r="B2479" t="s">
        <v>150</v>
      </c>
      <c r="C2479" s="4">
        <v>7.5684801909585769E-3</v>
      </c>
      <c r="D2479" t="s">
        <v>256</v>
      </c>
      <c r="E2479" t="s">
        <v>755</v>
      </c>
      <c r="F2479" t="s">
        <v>754</v>
      </c>
      <c r="G2479" t="s">
        <v>245</v>
      </c>
    </row>
    <row r="2480" spans="1:7" x14ac:dyDescent="0.25">
      <c r="A2480" t="s">
        <v>757</v>
      </c>
      <c r="B2480" t="s">
        <v>130</v>
      </c>
      <c r="D2480" t="s">
        <v>242</v>
      </c>
      <c r="E2480" t="s">
        <v>315</v>
      </c>
      <c r="F2480" t="s">
        <v>757</v>
      </c>
      <c r="G2480" t="s">
        <v>245</v>
      </c>
    </row>
    <row r="2481" spans="1:7" x14ac:dyDescent="0.25">
      <c r="A2481" t="s">
        <v>757</v>
      </c>
      <c r="B2481" t="s">
        <v>130</v>
      </c>
      <c r="D2481" t="s">
        <v>256</v>
      </c>
      <c r="E2481" t="s">
        <v>758</v>
      </c>
      <c r="F2481" t="s">
        <v>757</v>
      </c>
      <c r="G2481" t="s">
        <v>245</v>
      </c>
    </row>
    <row r="2482" spans="1:7" x14ac:dyDescent="0.25">
      <c r="A2482" t="s">
        <v>757</v>
      </c>
      <c r="B2482" t="s">
        <v>130</v>
      </c>
      <c r="D2482" t="s">
        <v>256</v>
      </c>
      <c r="E2482" t="s">
        <v>759</v>
      </c>
      <c r="F2482" t="s">
        <v>757</v>
      </c>
      <c r="G2482" t="s">
        <v>245</v>
      </c>
    </row>
    <row r="2483" spans="1:7" x14ac:dyDescent="0.25">
      <c r="A2483" t="s">
        <v>754</v>
      </c>
      <c r="B2483" t="s">
        <v>130</v>
      </c>
      <c r="C2483" s="4">
        <v>0.15719151165837045</v>
      </c>
      <c r="D2483" t="s">
        <v>256</v>
      </c>
      <c r="E2483" t="s">
        <v>755</v>
      </c>
      <c r="F2483" t="s">
        <v>754</v>
      </c>
      <c r="G2483" t="s">
        <v>245</v>
      </c>
    </row>
    <row r="2484" spans="1:7" x14ac:dyDescent="0.25">
      <c r="A2484" t="s">
        <v>757</v>
      </c>
      <c r="B2484" t="s">
        <v>151</v>
      </c>
      <c r="D2484" t="s">
        <v>242</v>
      </c>
      <c r="E2484" t="s">
        <v>315</v>
      </c>
      <c r="F2484" t="s">
        <v>757</v>
      </c>
      <c r="G2484" t="s">
        <v>245</v>
      </c>
    </row>
    <row r="2485" spans="1:7" x14ac:dyDescent="0.25">
      <c r="A2485" t="s">
        <v>757</v>
      </c>
      <c r="B2485" t="s">
        <v>151</v>
      </c>
      <c r="D2485" t="s">
        <v>256</v>
      </c>
      <c r="E2485" t="s">
        <v>758</v>
      </c>
      <c r="F2485" t="s">
        <v>757</v>
      </c>
      <c r="G2485" t="s">
        <v>245</v>
      </c>
    </row>
    <row r="2486" spans="1:7" x14ac:dyDescent="0.25">
      <c r="A2486" t="s">
        <v>757</v>
      </c>
      <c r="B2486" t="s">
        <v>151</v>
      </c>
      <c r="D2486" t="s">
        <v>256</v>
      </c>
      <c r="E2486" t="s">
        <v>759</v>
      </c>
      <c r="F2486" t="s">
        <v>757</v>
      </c>
      <c r="G2486" t="s">
        <v>245</v>
      </c>
    </row>
    <row r="2487" spans="1:7" x14ac:dyDescent="0.25">
      <c r="A2487" t="s">
        <v>754</v>
      </c>
      <c r="B2487" t="s">
        <v>151</v>
      </c>
      <c r="C2487" s="4">
        <v>1.5544493930661077E-2</v>
      </c>
      <c r="D2487" t="s">
        <v>256</v>
      </c>
      <c r="E2487" t="s">
        <v>755</v>
      </c>
      <c r="F2487" t="s">
        <v>754</v>
      </c>
      <c r="G2487" t="s">
        <v>245</v>
      </c>
    </row>
    <row r="2488" spans="1:7" x14ac:dyDescent="0.25">
      <c r="A2488" t="s">
        <v>757</v>
      </c>
      <c r="B2488" t="s">
        <v>107</v>
      </c>
      <c r="D2488" t="s">
        <v>242</v>
      </c>
      <c r="E2488" t="s">
        <v>315</v>
      </c>
      <c r="F2488" t="s">
        <v>757</v>
      </c>
      <c r="G2488" t="s">
        <v>245</v>
      </c>
    </row>
    <row r="2489" spans="1:7" x14ac:dyDescent="0.25">
      <c r="A2489" t="s">
        <v>757</v>
      </c>
      <c r="B2489" t="s">
        <v>107</v>
      </c>
      <c r="D2489" t="s">
        <v>256</v>
      </c>
      <c r="E2489" t="s">
        <v>758</v>
      </c>
      <c r="F2489" t="s">
        <v>757</v>
      </c>
      <c r="G2489" t="s">
        <v>245</v>
      </c>
    </row>
    <row r="2490" spans="1:7" x14ac:dyDescent="0.25">
      <c r="A2490" t="s">
        <v>757</v>
      </c>
      <c r="B2490" t="s">
        <v>107</v>
      </c>
      <c r="D2490" t="s">
        <v>256</v>
      </c>
      <c r="E2490" t="s">
        <v>759</v>
      </c>
      <c r="F2490" t="s">
        <v>757</v>
      </c>
      <c r="G2490" t="s">
        <v>245</v>
      </c>
    </row>
    <row r="2491" spans="1:7" x14ac:dyDescent="0.25">
      <c r="A2491" t="s">
        <v>754</v>
      </c>
      <c r="B2491" t="s">
        <v>107</v>
      </c>
      <c r="C2491" s="4">
        <v>2.1249963613076003E-2</v>
      </c>
      <c r="D2491" t="s">
        <v>256</v>
      </c>
      <c r="E2491" t="s">
        <v>755</v>
      </c>
      <c r="F2491" t="s">
        <v>754</v>
      </c>
      <c r="G2491" t="s">
        <v>245</v>
      </c>
    </row>
    <row r="2492" spans="1:7" x14ac:dyDescent="0.25">
      <c r="A2492" t="s">
        <v>757</v>
      </c>
      <c r="B2492" t="s">
        <v>137</v>
      </c>
      <c r="D2492" t="s">
        <v>242</v>
      </c>
      <c r="E2492" t="s">
        <v>315</v>
      </c>
      <c r="F2492" t="s">
        <v>757</v>
      </c>
      <c r="G2492" t="s">
        <v>245</v>
      </c>
    </row>
    <row r="2493" spans="1:7" x14ac:dyDescent="0.25">
      <c r="A2493" t="s">
        <v>757</v>
      </c>
      <c r="B2493" t="s">
        <v>137</v>
      </c>
      <c r="D2493" t="s">
        <v>256</v>
      </c>
      <c r="E2493" t="s">
        <v>758</v>
      </c>
      <c r="F2493" t="s">
        <v>757</v>
      </c>
      <c r="G2493" t="s">
        <v>245</v>
      </c>
    </row>
    <row r="2494" spans="1:7" x14ac:dyDescent="0.25">
      <c r="A2494" t="s">
        <v>757</v>
      </c>
      <c r="B2494" t="s">
        <v>137</v>
      </c>
      <c r="D2494" t="s">
        <v>256</v>
      </c>
      <c r="E2494" t="s">
        <v>759</v>
      </c>
      <c r="F2494" t="s">
        <v>757</v>
      </c>
      <c r="G2494" t="s">
        <v>245</v>
      </c>
    </row>
    <row r="2495" spans="1:7" x14ac:dyDescent="0.25">
      <c r="A2495" t="s">
        <v>754</v>
      </c>
      <c r="B2495" t="s">
        <v>137</v>
      </c>
      <c r="C2495" s="4">
        <v>6.3749890839228012E-3</v>
      </c>
      <c r="D2495" t="s">
        <v>256</v>
      </c>
      <c r="E2495" t="s">
        <v>755</v>
      </c>
      <c r="F2495" t="s">
        <v>754</v>
      </c>
      <c r="G2495" t="s">
        <v>245</v>
      </c>
    </row>
    <row r="2496" spans="1:7" x14ac:dyDescent="0.25">
      <c r="A2496" t="s">
        <v>757</v>
      </c>
      <c r="B2496" t="s">
        <v>121</v>
      </c>
      <c r="D2496" t="s">
        <v>242</v>
      </c>
      <c r="E2496" t="s">
        <v>315</v>
      </c>
      <c r="F2496" t="s">
        <v>757</v>
      </c>
      <c r="G2496" t="s">
        <v>245</v>
      </c>
    </row>
    <row r="2497" spans="1:7" x14ac:dyDescent="0.25">
      <c r="A2497" t="s">
        <v>757</v>
      </c>
      <c r="B2497" t="s">
        <v>121</v>
      </c>
      <c r="D2497" t="s">
        <v>256</v>
      </c>
      <c r="E2497" t="s">
        <v>758</v>
      </c>
      <c r="F2497" t="s">
        <v>757</v>
      </c>
      <c r="G2497" t="s">
        <v>245</v>
      </c>
    </row>
    <row r="2498" spans="1:7" x14ac:dyDescent="0.25">
      <c r="A2498" t="s">
        <v>757</v>
      </c>
      <c r="B2498" t="s">
        <v>121</v>
      </c>
      <c r="D2498" t="s">
        <v>256</v>
      </c>
      <c r="E2498" t="s">
        <v>759</v>
      </c>
      <c r="F2498" t="s">
        <v>757</v>
      </c>
      <c r="G2498" t="s">
        <v>245</v>
      </c>
    </row>
    <row r="2499" spans="1:7" x14ac:dyDescent="0.25">
      <c r="A2499" t="s">
        <v>754</v>
      </c>
      <c r="B2499" t="s">
        <v>121</v>
      </c>
      <c r="C2499" s="4">
        <v>1.7451168747998718E-2</v>
      </c>
      <c r="D2499" t="s">
        <v>256</v>
      </c>
      <c r="E2499" t="s">
        <v>755</v>
      </c>
      <c r="F2499" t="s">
        <v>754</v>
      </c>
      <c r="G2499" t="s">
        <v>245</v>
      </c>
    </row>
    <row r="2500" spans="1:7" x14ac:dyDescent="0.25">
      <c r="A2500" t="s">
        <v>757</v>
      </c>
      <c r="B2500" t="s">
        <v>112</v>
      </c>
      <c r="D2500" t="s">
        <v>242</v>
      </c>
      <c r="E2500" t="s">
        <v>315</v>
      </c>
      <c r="F2500" t="s">
        <v>757</v>
      </c>
      <c r="G2500" t="s">
        <v>245</v>
      </c>
    </row>
    <row r="2501" spans="1:7" x14ac:dyDescent="0.25">
      <c r="A2501" t="s">
        <v>757</v>
      </c>
      <c r="B2501" t="s">
        <v>112</v>
      </c>
      <c r="D2501" t="s">
        <v>256</v>
      </c>
      <c r="E2501" t="s">
        <v>758</v>
      </c>
      <c r="F2501" t="s">
        <v>757</v>
      </c>
      <c r="G2501" t="s">
        <v>245</v>
      </c>
    </row>
    <row r="2502" spans="1:7" x14ac:dyDescent="0.25">
      <c r="A2502" t="s">
        <v>757</v>
      </c>
      <c r="B2502" t="s">
        <v>112</v>
      </c>
      <c r="D2502" t="s">
        <v>256</v>
      </c>
      <c r="E2502" t="s">
        <v>759</v>
      </c>
      <c r="F2502" t="s">
        <v>757</v>
      </c>
      <c r="G2502" t="s">
        <v>245</v>
      </c>
    </row>
    <row r="2503" spans="1:7" x14ac:dyDescent="0.25">
      <c r="A2503" t="s">
        <v>754</v>
      </c>
      <c r="B2503" t="s">
        <v>112</v>
      </c>
      <c r="C2503" s="4">
        <v>3.2311588507553925E-2</v>
      </c>
      <c r="D2503" t="s">
        <v>256</v>
      </c>
      <c r="E2503" t="s">
        <v>755</v>
      </c>
      <c r="F2503" t="s">
        <v>754</v>
      </c>
      <c r="G2503" t="s">
        <v>245</v>
      </c>
    </row>
    <row r="2504" spans="1:7" x14ac:dyDescent="0.25">
      <c r="A2504" t="s">
        <v>757</v>
      </c>
      <c r="B2504" t="s">
        <v>140</v>
      </c>
      <c r="D2504" t="s">
        <v>242</v>
      </c>
      <c r="E2504" t="s">
        <v>315</v>
      </c>
      <c r="F2504" t="s">
        <v>757</v>
      </c>
      <c r="G2504" t="s">
        <v>245</v>
      </c>
    </row>
    <row r="2505" spans="1:7" x14ac:dyDescent="0.25">
      <c r="A2505" t="s">
        <v>757</v>
      </c>
      <c r="B2505" t="s">
        <v>140</v>
      </c>
      <c r="D2505" t="s">
        <v>256</v>
      </c>
      <c r="E2505" t="s">
        <v>758</v>
      </c>
      <c r="F2505" t="s">
        <v>757</v>
      </c>
      <c r="G2505" t="s">
        <v>245</v>
      </c>
    </row>
    <row r="2506" spans="1:7" x14ac:dyDescent="0.25">
      <c r="A2506" t="s">
        <v>757</v>
      </c>
      <c r="B2506" t="s">
        <v>140</v>
      </c>
      <c r="D2506" t="s">
        <v>256</v>
      </c>
      <c r="E2506" t="s">
        <v>759</v>
      </c>
      <c r="F2506" t="s">
        <v>757</v>
      </c>
      <c r="G2506" t="s">
        <v>245</v>
      </c>
    </row>
    <row r="2507" spans="1:7" x14ac:dyDescent="0.25">
      <c r="A2507" t="s">
        <v>754</v>
      </c>
      <c r="B2507" t="s">
        <v>140</v>
      </c>
      <c r="C2507" s="4">
        <v>1.5428055773877099E-2</v>
      </c>
      <c r="D2507" t="s">
        <v>256</v>
      </c>
      <c r="E2507" t="s">
        <v>755</v>
      </c>
      <c r="F2507" t="s">
        <v>754</v>
      </c>
      <c r="G2507" t="s">
        <v>245</v>
      </c>
    </row>
    <row r="2508" spans="1:7" x14ac:dyDescent="0.25">
      <c r="A2508" t="s">
        <v>760</v>
      </c>
      <c r="B2508" t="s">
        <v>113</v>
      </c>
      <c r="C2508" s="4">
        <v>3.5397727272727275E-2</v>
      </c>
      <c r="D2508" t="s">
        <v>276</v>
      </c>
      <c r="E2508" t="s">
        <v>761</v>
      </c>
      <c r="F2508" t="s">
        <v>760</v>
      </c>
      <c r="G2508" t="s">
        <v>245</v>
      </c>
    </row>
    <row r="2509" spans="1:7" x14ac:dyDescent="0.25">
      <c r="A2509" t="s">
        <v>760</v>
      </c>
      <c r="B2509" t="s">
        <v>83</v>
      </c>
      <c r="C2509" s="4">
        <v>5.681818181818182E-3</v>
      </c>
      <c r="D2509" t="s">
        <v>763</v>
      </c>
      <c r="E2509" t="s">
        <v>761</v>
      </c>
      <c r="F2509" t="s">
        <v>760</v>
      </c>
      <c r="G2509" t="s">
        <v>245</v>
      </c>
    </row>
    <row r="2510" spans="1:7" x14ac:dyDescent="0.25">
      <c r="A2510" t="s">
        <v>760</v>
      </c>
      <c r="B2510" t="s">
        <v>212</v>
      </c>
      <c r="C2510" s="4">
        <v>9.6590909090909088E-3</v>
      </c>
      <c r="D2510" t="s">
        <v>763</v>
      </c>
      <c r="E2510" t="s">
        <v>761</v>
      </c>
      <c r="F2510" t="s">
        <v>760</v>
      </c>
      <c r="G2510" t="s">
        <v>245</v>
      </c>
    </row>
    <row r="2511" spans="1:7" x14ac:dyDescent="0.25">
      <c r="A2511" t="s">
        <v>760</v>
      </c>
      <c r="B2511" t="s">
        <v>85</v>
      </c>
      <c r="C2511" s="4">
        <v>4.4829545454545455E-2</v>
      </c>
      <c r="D2511" t="s">
        <v>256</v>
      </c>
      <c r="E2511" t="s">
        <v>761</v>
      </c>
      <c r="F2511" t="s">
        <v>760</v>
      </c>
      <c r="G2511" t="s">
        <v>245</v>
      </c>
    </row>
    <row r="2512" spans="1:7" x14ac:dyDescent="0.25">
      <c r="A2512" t="s">
        <v>760</v>
      </c>
      <c r="B2512" t="s">
        <v>116</v>
      </c>
      <c r="C2512" s="4">
        <v>5.5681818181818185E-3</v>
      </c>
      <c r="D2512" t="s">
        <v>256</v>
      </c>
      <c r="E2512" t="s">
        <v>761</v>
      </c>
      <c r="F2512" t="s">
        <v>760</v>
      </c>
      <c r="G2512" t="s">
        <v>245</v>
      </c>
    </row>
    <row r="2513" spans="1:8" x14ac:dyDescent="0.25">
      <c r="A2513" t="s">
        <v>760</v>
      </c>
      <c r="B2513" t="s">
        <v>86</v>
      </c>
      <c r="C2513" s="4">
        <v>0.70454545454545459</v>
      </c>
      <c r="D2513" t="s">
        <v>254</v>
      </c>
      <c r="E2513" t="s">
        <v>761</v>
      </c>
      <c r="F2513" t="s">
        <v>760</v>
      </c>
      <c r="G2513" t="s">
        <v>245</v>
      </c>
    </row>
    <row r="2514" spans="1:8" x14ac:dyDescent="0.25">
      <c r="A2514" t="s">
        <v>760</v>
      </c>
      <c r="B2514" t="s">
        <v>91</v>
      </c>
      <c r="C2514" s="4">
        <v>1.4034090909090909E-2</v>
      </c>
      <c r="D2514" t="s">
        <v>256</v>
      </c>
      <c r="E2514" t="s">
        <v>761</v>
      </c>
      <c r="F2514" t="s">
        <v>760</v>
      </c>
      <c r="G2514" t="s">
        <v>245</v>
      </c>
    </row>
    <row r="2515" spans="1:8" x14ac:dyDescent="0.25">
      <c r="A2515" t="s">
        <v>760</v>
      </c>
      <c r="B2515" t="s">
        <v>117</v>
      </c>
      <c r="C2515" s="4">
        <v>7.1590909090909092E-3</v>
      </c>
      <c r="D2515" t="s">
        <v>256</v>
      </c>
      <c r="E2515" t="s">
        <v>761</v>
      </c>
      <c r="F2515" t="s">
        <v>760</v>
      </c>
      <c r="G2515" t="s">
        <v>245</v>
      </c>
    </row>
    <row r="2516" spans="1:8" x14ac:dyDescent="0.25">
      <c r="A2516" t="s">
        <v>760</v>
      </c>
      <c r="B2516" t="s">
        <v>129</v>
      </c>
      <c r="C2516" s="4">
        <v>1.2556818181818181E-2</v>
      </c>
      <c r="D2516" t="s">
        <v>256</v>
      </c>
      <c r="E2516" t="s">
        <v>761</v>
      </c>
      <c r="F2516" t="s">
        <v>760</v>
      </c>
      <c r="G2516" t="s">
        <v>245</v>
      </c>
    </row>
    <row r="2517" spans="1:8" x14ac:dyDescent="0.25">
      <c r="A2517" t="s">
        <v>760</v>
      </c>
      <c r="B2517" t="s">
        <v>97</v>
      </c>
      <c r="C2517" s="4">
        <v>6.7045454545454543E-3</v>
      </c>
      <c r="D2517" t="s">
        <v>763</v>
      </c>
      <c r="E2517" t="s">
        <v>761</v>
      </c>
      <c r="F2517" t="s">
        <v>760</v>
      </c>
      <c r="G2517" t="s">
        <v>245</v>
      </c>
    </row>
    <row r="2518" spans="1:8" x14ac:dyDescent="0.25">
      <c r="A2518" t="s">
        <v>760</v>
      </c>
      <c r="B2518" t="s">
        <v>102</v>
      </c>
      <c r="C2518" s="4">
        <v>1.375E-2</v>
      </c>
      <c r="D2518" t="s">
        <v>763</v>
      </c>
      <c r="E2518" t="s">
        <v>761</v>
      </c>
      <c r="F2518" t="s">
        <v>760</v>
      </c>
      <c r="G2518" t="s">
        <v>245</v>
      </c>
    </row>
    <row r="2519" spans="1:8" x14ac:dyDescent="0.25">
      <c r="A2519" t="s">
        <v>760</v>
      </c>
      <c r="B2519" t="s">
        <v>103</v>
      </c>
      <c r="C2519" s="4">
        <v>1.0056818181818182E-2</v>
      </c>
      <c r="D2519" t="s">
        <v>763</v>
      </c>
      <c r="E2519" t="s">
        <v>761</v>
      </c>
      <c r="F2519" t="s">
        <v>760</v>
      </c>
      <c r="G2519" t="s">
        <v>245</v>
      </c>
    </row>
    <row r="2520" spans="1:8" x14ac:dyDescent="0.25">
      <c r="A2520" t="s">
        <v>760</v>
      </c>
      <c r="B2520" t="s">
        <v>132</v>
      </c>
      <c r="C2520" s="4">
        <v>4.1022727272727273E-2</v>
      </c>
      <c r="D2520" t="s">
        <v>762</v>
      </c>
      <c r="E2520" t="s">
        <v>761</v>
      </c>
      <c r="F2520" t="s">
        <v>760</v>
      </c>
      <c r="G2520" t="s">
        <v>245</v>
      </c>
    </row>
    <row r="2521" spans="1:8" x14ac:dyDescent="0.25">
      <c r="A2521" t="s">
        <v>760</v>
      </c>
      <c r="B2521" t="s">
        <v>151</v>
      </c>
      <c r="C2521" s="4">
        <v>5.5681818181818185E-3</v>
      </c>
      <c r="D2521" t="s">
        <v>256</v>
      </c>
      <c r="E2521" t="s">
        <v>761</v>
      </c>
      <c r="F2521" t="s">
        <v>760</v>
      </c>
      <c r="G2521" t="s">
        <v>245</v>
      </c>
    </row>
    <row r="2522" spans="1:8" x14ac:dyDescent="0.25">
      <c r="A2522" t="s">
        <v>760</v>
      </c>
      <c r="B2522" t="s">
        <v>107</v>
      </c>
      <c r="C2522" s="4">
        <v>7.2954545454545452E-2</v>
      </c>
      <c r="D2522" t="s">
        <v>256</v>
      </c>
      <c r="E2522" t="s">
        <v>761</v>
      </c>
      <c r="F2522" t="s">
        <v>760</v>
      </c>
      <c r="G2522" t="s">
        <v>245</v>
      </c>
    </row>
    <row r="2523" spans="1:8" x14ac:dyDescent="0.25">
      <c r="A2523" t="s">
        <v>760</v>
      </c>
      <c r="B2523" t="s">
        <v>121</v>
      </c>
      <c r="C2523" s="4">
        <v>6.647727272727273E-3</v>
      </c>
      <c r="D2523" t="s">
        <v>256</v>
      </c>
      <c r="E2523" t="s">
        <v>761</v>
      </c>
      <c r="F2523" t="s">
        <v>760</v>
      </c>
      <c r="G2523" t="s">
        <v>245</v>
      </c>
    </row>
    <row r="2524" spans="1:8" x14ac:dyDescent="0.25">
      <c r="A2524" t="s">
        <v>760</v>
      </c>
      <c r="B2524" t="s">
        <v>122</v>
      </c>
      <c r="C2524" s="4">
        <v>3.8636363636363638E-3</v>
      </c>
      <c r="D2524" t="s">
        <v>256</v>
      </c>
      <c r="E2524" t="s">
        <v>761</v>
      </c>
      <c r="F2524" t="s">
        <v>760</v>
      </c>
      <c r="G2524" t="s">
        <v>245</v>
      </c>
    </row>
    <row r="2525" spans="1:8" x14ac:dyDescent="0.25">
      <c r="A2525" t="s">
        <v>623</v>
      </c>
      <c r="B2525" t="s">
        <v>183</v>
      </c>
      <c r="C2525" s="4">
        <f>(0.0900940072589024/(0.0900940072589024+0.00396421732885982+0.0572052587068733+0.752028927432513)) * 0.00017026467232329%</f>
        <v>1.698212720715831E-7</v>
      </c>
      <c r="D2525" t="s">
        <v>242</v>
      </c>
      <c r="E2525" t="s">
        <v>366</v>
      </c>
      <c r="F2525" t="s">
        <v>434</v>
      </c>
      <c r="G2525" s="4" t="s">
        <v>245</v>
      </c>
      <c r="H2525" t="s">
        <v>435</v>
      </c>
    </row>
    <row r="2526" spans="1:8" x14ac:dyDescent="0.25">
      <c r="A2526" t="s">
        <v>623</v>
      </c>
      <c r="B2526" t="s">
        <v>183</v>
      </c>
      <c r="C2526" s="4">
        <f>(0.00396421732885982/(0.0900940072589024+0.00396421732885982+0.0572052587068733+0.752028927432513))  * 0.00017026467232329%</f>
        <v>7.4722886686635496E-9</v>
      </c>
      <c r="D2526" t="s">
        <v>256</v>
      </c>
      <c r="E2526" t="s">
        <v>361</v>
      </c>
      <c r="F2526" t="s">
        <v>434</v>
      </c>
      <c r="G2526" s="4" t="s">
        <v>245</v>
      </c>
      <c r="H2526" t="s">
        <v>624</v>
      </c>
    </row>
    <row r="2527" spans="1:8" x14ac:dyDescent="0.25">
      <c r="A2527" t="s">
        <v>623</v>
      </c>
      <c r="B2527" t="s">
        <v>183</v>
      </c>
      <c r="C2527" s="4">
        <f>(0.0572052587068733/(0.0900940072589024+0.00396421732885982+0.0572052587068733+0.752028927432513)) * 0.00017026467232329%</f>
        <v>1.0782814638123778E-7</v>
      </c>
      <c r="D2527" t="s">
        <v>256</v>
      </c>
      <c r="E2527" t="s">
        <v>280</v>
      </c>
      <c r="F2527" t="s">
        <v>434</v>
      </c>
      <c r="G2527" s="4" t="s">
        <v>245</v>
      </c>
    </row>
    <row r="2528" spans="1:8" x14ac:dyDescent="0.25">
      <c r="A2528" t="s">
        <v>623</v>
      </c>
      <c r="B2528" t="s">
        <v>183</v>
      </c>
      <c r="C2528" s="4">
        <f>(0.752028927432513/(0.0900940072589024+0.00396421732885982+0.0572052587068733+0.752028927432513)) * 0.00017026467232329%</f>
        <v>1.4175250161114156E-6</v>
      </c>
      <c r="D2528" t="s">
        <v>256</v>
      </c>
      <c r="E2528" t="s">
        <v>362</v>
      </c>
      <c r="F2528" t="s">
        <v>434</v>
      </c>
      <c r="G2528" s="4" t="s">
        <v>245</v>
      </c>
    </row>
    <row r="2529" spans="1:7" x14ac:dyDescent="0.25">
      <c r="A2529" t="s">
        <v>623</v>
      </c>
      <c r="B2529" t="s">
        <v>124</v>
      </c>
      <c r="C2529" s="4">
        <f>(0.0900940072589024/(0.0900940072589024+0.00396421732885982+0.0572052587068733+0.752028927432513)) * 3.43738613550038%</f>
        <v>3.4284345552524189E-3</v>
      </c>
      <c r="D2529" t="s">
        <v>242</v>
      </c>
      <c r="E2529" t="s">
        <v>366</v>
      </c>
      <c r="F2529" t="s">
        <v>434</v>
      </c>
      <c r="G2529" s="4" t="s">
        <v>245</v>
      </c>
    </row>
    <row r="2530" spans="1:7" x14ac:dyDescent="0.25">
      <c r="A2530" t="s">
        <v>623</v>
      </c>
      <c r="B2530" t="s">
        <v>124</v>
      </c>
      <c r="C2530" s="4">
        <f>(0.00396421732885982/(0.0900940072589024+0.00396421732885982+0.0572052587068733+0.752028927432513))  * 3.43738613550038%</f>
        <v>1.5085420316289115E-4</v>
      </c>
      <c r="D2530" t="s">
        <v>256</v>
      </c>
      <c r="E2530" t="s">
        <v>361</v>
      </c>
      <c r="F2530" t="s">
        <v>434</v>
      </c>
      <c r="G2530" s="4" t="s">
        <v>245</v>
      </c>
    </row>
    <row r="2531" spans="1:7" x14ac:dyDescent="0.25">
      <c r="A2531" t="s">
        <v>623</v>
      </c>
      <c r="B2531" t="s">
        <v>124</v>
      </c>
      <c r="C2531" s="4">
        <f>(0.0572052587068733/(0.0900940072589024+0.00396421732885982+0.0572052587068733+0.752028927432513)) * 3.43738613550038%</f>
        <v>2.1768871388881325E-3</v>
      </c>
      <c r="D2531" t="s">
        <v>256</v>
      </c>
      <c r="E2531" t="s">
        <v>280</v>
      </c>
      <c r="F2531" t="s">
        <v>434</v>
      </c>
      <c r="G2531" s="4" t="s">
        <v>245</v>
      </c>
    </row>
    <row r="2532" spans="1:7" x14ac:dyDescent="0.25">
      <c r="A2532" t="s">
        <v>623</v>
      </c>
      <c r="B2532" t="s">
        <v>124</v>
      </c>
      <c r="C2532" s="4">
        <f>(0.752028927432513/(0.0900940072589024+0.00396421732885982+0.0572052587068733+0.752028927432513)) * 3.43738613550038%</f>
        <v>2.8617685457700354E-2</v>
      </c>
      <c r="D2532" t="s">
        <v>256</v>
      </c>
      <c r="E2532" t="s">
        <v>362</v>
      </c>
      <c r="F2532" t="s">
        <v>434</v>
      </c>
      <c r="G2532" s="4" t="s">
        <v>245</v>
      </c>
    </row>
    <row r="2533" spans="1:7" x14ac:dyDescent="0.25">
      <c r="A2533" t="s">
        <v>623</v>
      </c>
      <c r="B2533" t="s">
        <v>164</v>
      </c>
      <c r="C2533" s="4">
        <f>(0.0900940072589024/(0.0900940072589024+0.00396421732885982+0.0572052587068733+0.752028927432513)) * 0.067885699094415%</f>
        <v>6.7708912356126693E-5</v>
      </c>
      <c r="D2533" t="s">
        <v>242</v>
      </c>
      <c r="E2533" t="s">
        <v>366</v>
      </c>
      <c r="F2533" t="s">
        <v>434</v>
      </c>
      <c r="G2533" s="4" t="s">
        <v>245</v>
      </c>
    </row>
    <row r="2534" spans="1:7" x14ac:dyDescent="0.25">
      <c r="A2534" t="s">
        <v>623</v>
      </c>
      <c r="B2534" t="s">
        <v>164</v>
      </c>
      <c r="C2534" s="4">
        <f>(0.00396421732885982/(0.0900940072589024+0.00396421732885982+0.0572052587068733+0.752028927432513))  * 0.067885699094415%</f>
        <v>2.9792530252214502E-6</v>
      </c>
      <c r="D2534" t="s">
        <v>256</v>
      </c>
      <c r="E2534" t="s">
        <v>361</v>
      </c>
      <c r="F2534" t="s">
        <v>434</v>
      </c>
      <c r="G2534" s="4" t="s">
        <v>245</v>
      </c>
    </row>
    <row r="2535" spans="1:7" x14ac:dyDescent="0.25">
      <c r="A2535" t="s">
        <v>623</v>
      </c>
      <c r="B2535" t="s">
        <v>164</v>
      </c>
      <c r="C2535" s="4">
        <f>(0.0572052587068733/(0.0900940072589024+0.00396421732885982+0.0572052587068733+0.752028927432513)) * 0.067885699094415%</f>
        <v>4.2991825604588217E-5</v>
      </c>
      <c r="D2535" t="s">
        <v>256</v>
      </c>
      <c r="E2535" t="s">
        <v>280</v>
      </c>
      <c r="F2535" t="s">
        <v>434</v>
      </c>
      <c r="G2535" s="4" t="s">
        <v>245</v>
      </c>
    </row>
    <row r="2536" spans="1:7" x14ac:dyDescent="0.25">
      <c r="A2536" t="s">
        <v>623</v>
      </c>
      <c r="B2536" t="s">
        <v>164</v>
      </c>
      <c r="C2536" s="4">
        <f>(0.752028927432513/(0.0900940072589024+0.00396421732885982+0.0572052587068733+0.752028927432513)) * 0.067885699094415%</f>
        <v>5.651769999582137E-4</v>
      </c>
      <c r="D2536" t="s">
        <v>256</v>
      </c>
      <c r="E2536" t="s">
        <v>362</v>
      </c>
      <c r="F2536" t="s">
        <v>434</v>
      </c>
      <c r="G2536" s="4" t="s">
        <v>245</v>
      </c>
    </row>
    <row r="2537" spans="1:7" x14ac:dyDescent="0.25">
      <c r="A2537" t="s">
        <v>623</v>
      </c>
      <c r="B2537" t="s">
        <v>83</v>
      </c>
      <c r="C2537" s="4">
        <f>(0.0900940072589024/(0.0900940072589024+0.00396421732885982+0.0572052587068733+0.752028927432513)) * 4.67259541955153%</f>
        <v>4.6604271291076985E-3</v>
      </c>
      <c r="D2537" t="s">
        <v>242</v>
      </c>
      <c r="E2537" t="s">
        <v>366</v>
      </c>
      <c r="F2537" t="s">
        <v>434</v>
      </c>
      <c r="G2537" s="4" t="s">
        <v>245</v>
      </c>
    </row>
    <row r="2538" spans="1:7" x14ac:dyDescent="0.25">
      <c r="A2538" t="s">
        <v>623</v>
      </c>
      <c r="B2538" t="s">
        <v>83</v>
      </c>
      <c r="C2538" s="4">
        <f>(0.00396421732885982/(0.0900940072589024+0.00396421732885982+0.0572052587068733+0.752028927432513))  * 4.67259541955153%</f>
        <v>2.0506298417835787E-4</v>
      </c>
      <c r="D2538" t="s">
        <v>256</v>
      </c>
      <c r="E2538" t="s">
        <v>361</v>
      </c>
      <c r="F2538" t="s">
        <v>434</v>
      </c>
      <c r="G2538" s="4" t="s">
        <v>245</v>
      </c>
    </row>
    <row r="2539" spans="1:7" x14ac:dyDescent="0.25">
      <c r="A2539" t="s">
        <v>623</v>
      </c>
      <c r="B2539" t="s">
        <v>83</v>
      </c>
      <c r="C2539" s="4">
        <f>(0.0572052587068733/(0.0900940072589024+0.00396421732885982+0.0572052587068733+0.752028927432513)) * 4.67259541955153%</f>
        <v>2.9591417644350944E-3</v>
      </c>
      <c r="D2539" t="s">
        <v>256</v>
      </c>
      <c r="E2539" t="s">
        <v>280</v>
      </c>
      <c r="F2539" t="s">
        <v>434</v>
      </c>
      <c r="G2539" s="4" t="s">
        <v>245</v>
      </c>
    </row>
    <row r="2540" spans="1:7" x14ac:dyDescent="0.25">
      <c r="A2540" t="s">
        <v>623</v>
      </c>
      <c r="B2540" t="s">
        <v>83</v>
      </c>
      <c r="C2540" s="4">
        <f>(0.752028927432513/(0.0900940072589024+0.00396421732885982+0.0572052587068733+0.752028927432513)) * 4.67259541955153%</f>
        <v>3.8901322317794147E-2</v>
      </c>
      <c r="D2540" t="s">
        <v>256</v>
      </c>
      <c r="E2540" t="s">
        <v>362</v>
      </c>
      <c r="F2540" t="s">
        <v>434</v>
      </c>
      <c r="G2540" s="4" t="s">
        <v>245</v>
      </c>
    </row>
    <row r="2541" spans="1:7" x14ac:dyDescent="0.25">
      <c r="A2541" t="s">
        <v>623</v>
      </c>
      <c r="B2541" t="s">
        <v>125</v>
      </c>
      <c r="C2541" s="4">
        <f>(0.0900940072589024/(0.0900940072589024+0.00396421732885982+0.0572052587068733+0.752028927432513)) * 0.0306513105154405%</f>
        <v>3.0571488914093349E-5</v>
      </c>
      <c r="D2541" t="s">
        <v>242</v>
      </c>
      <c r="E2541" t="s">
        <v>366</v>
      </c>
      <c r="F2541" t="s">
        <v>434</v>
      </c>
      <c r="G2541" s="4" t="s">
        <v>245</v>
      </c>
    </row>
    <row r="2542" spans="1:7" x14ac:dyDescent="0.25">
      <c r="A2542" t="s">
        <v>623</v>
      </c>
      <c r="B2542" t="s">
        <v>125</v>
      </c>
      <c r="C2542" s="4">
        <f>(0.00396421732885982/(0.0900940072589024+0.00396421732885982+0.0572052587068733+0.752028927432513))  * 0.0306513105154405%</f>
        <v>1.345173001063503E-6</v>
      </c>
      <c r="D2542" t="s">
        <v>256</v>
      </c>
      <c r="E2542" t="s">
        <v>361</v>
      </c>
      <c r="F2542" t="s">
        <v>434</v>
      </c>
      <c r="G2542" s="4" t="s">
        <v>245</v>
      </c>
    </row>
    <row r="2543" spans="1:7" x14ac:dyDescent="0.25">
      <c r="A2543" t="s">
        <v>623</v>
      </c>
      <c r="B2543" t="s">
        <v>125</v>
      </c>
      <c r="C2543" s="4">
        <f>(0.0572052587068733/(0.0900940072589024+0.00396421732885982+0.0572052587068733+0.752028927432513)) * 0.0306513105154405%</f>
        <v>1.9411390231087886E-5</v>
      </c>
      <c r="D2543" t="s">
        <v>256</v>
      </c>
      <c r="E2543" t="s">
        <v>280</v>
      </c>
      <c r="F2543" t="s">
        <v>434</v>
      </c>
      <c r="G2543" s="4" t="s">
        <v>245</v>
      </c>
    </row>
    <row r="2544" spans="1:7" x14ac:dyDescent="0.25">
      <c r="A2544" t="s">
        <v>623</v>
      </c>
      <c r="B2544" t="s">
        <v>125</v>
      </c>
      <c r="C2544" s="4">
        <f>(0.752028927432513/(0.0900940072589024+0.00396421732885982+0.0572052587068733+0.752028927432513)) * 0.0306513105154405%</f>
        <v>2.5518505300816026E-4</v>
      </c>
      <c r="D2544" t="s">
        <v>256</v>
      </c>
      <c r="E2544" t="s">
        <v>362</v>
      </c>
      <c r="F2544" t="s">
        <v>434</v>
      </c>
      <c r="G2544" s="4" t="s">
        <v>245</v>
      </c>
    </row>
    <row r="2545" spans="1:7" x14ac:dyDescent="0.25">
      <c r="A2545" t="s">
        <v>623</v>
      </c>
      <c r="B2545" t="s">
        <v>144</v>
      </c>
      <c r="C2545" s="4">
        <f>(0.0900940072589024/(0.0900940072589024+0.00396421732885982+0.0572052587068733+0.752028927432513)) * 4.24589306932367%</f>
        <v>4.2348359896020238E-3</v>
      </c>
      <c r="D2545" t="s">
        <v>242</v>
      </c>
      <c r="E2545" t="s">
        <v>366</v>
      </c>
      <c r="F2545" t="s">
        <v>434</v>
      </c>
      <c r="G2545" s="4" t="s">
        <v>245</v>
      </c>
    </row>
    <row r="2546" spans="1:7" x14ac:dyDescent="0.25">
      <c r="A2546" t="s">
        <v>623</v>
      </c>
      <c r="B2546" t="s">
        <v>144</v>
      </c>
      <c r="C2546" s="4">
        <f>(0.00396421732885982/(0.0900940072589024+0.00396421732885982+0.0572052587068733+0.752028927432513))  * 4.24589306932367%</f>
        <v>1.8633659136302571E-4</v>
      </c>
      <c r="D2546" t="s">
        <v>256</v>
      </c>
      <c r="E2546" t="s">
        <v>361</v>
      </c>
      <c r="F2546" t="s">
        <v>434</v>
      </c>
      <c r="G2546" s="4" t="s">
        <v>245</v>
      </c>
    </row>
    <row r="2547" spans="1:7" x14ac:dyDescent="0.25">
      <c r="A2547" t="s">
        <v>623</v>
      </c>
      <c r="B2547" t="s">
        <v>144</v>
      </c>
      <c r="C2547" s="4">
        <f>(0.0572052587068733/(0.0900940072589024+0.00396421732885982+0.0572052587068733+0.752028927432513)) * 4.24589306932367%</f>
        <v>2.6889123454148919E-3</v>
      </c>
      <c r="D2547" t="s">
        <v>256</v>
      </c>
      <c r="E2547" t="s">
        <v>280</v>
      </c>
      <c r="F2547" t="s">
        <v>434</v>
      </c>
      <c r="G2547" s="4" t="s">
        <v>245</v>
      </c>
    </row>
    <row r="2548" spans="1:7" x14ac:dyDescent="0.25">
      <c r="A2548" t="s">
        <v>623</v>
      </c>
      <c r="B2548" t="s">
        <v>144</v>
      </c>
      <c r="C2548" s="4">
        <f>(0.752028927432513/(0.0900940072589024+0.00396421732885982+0.0572052587068733+0.752028927432513)) * 4.24589306932367%</f>
        <v>3.5348845766856762E-2</v>
      </c>
      <c r="D2548" t="s">
        <v>256</v>
      </c>
      <c r="E2548" t="s">
        <v>362</v>
      </c>
      <c r="F2548" t="s">
        <v>434</v>
      </c>
      <c r="G2548" s="4" t="s">
        <v>245</v>
      </c>
    </row>
    <row r="2549" spans="1:7" x14ac:dyDescent="0.25">
      <c r="A2549" t="s">
        <v>623</v>
      </c>
      <c r="B2549" t="s">
        <v>165</v>
      </c>
      <c r="C2549" s="4">
        <f>(0.0900940072589024/(0.0900940072589024+0.00396421732885982+0.0572052587068733+0.752028927432513)) * 0.0495844485180104%</f>
        <v>4.9455321573156646E-5</v>
      </c>
      <c r="D2549" t="s">
        <v>242</v>
      </c>
      <c r="E2549" t="s">
        <v>366</v>
      </c>
      <c r="F2549" t="s">
        <v>434</v>
      </c>
      <c r="G2549" s="4" t="s">
        <v>245</v>
      </c>
    </row>
    <row r="2550" spans="1:7" x14ac:dyDescent="0.25">
      <c r="A2550" t="s">
        <v>623</v>
      </c>
      <c r="B2550" t="s">
        <v>165</v>
      </c>
      <c r="C2550" s="4">
        <f>(0.00396421732885982/(0.0900940072589024+0.00396421732885982+0.0572052587068733+0.752028927432513))  * 0.0495844485180104%</f>
        <v>2.1760786177625614E-6</v>
      </c>
      <c r="D2550" t="s">
        <v>256</v>
      </c>
      <c r="E2550" t="s">
        <v>361</v>
      </c>
      <c r="F2550" t="s">
        <v>434</v>
      </c>
      <c r="G2550" s="4" t="s">
        <v>245</v>
      </c>
    </row>
    <row r="2551" spans="1:7" x14ac:dyDescent="0.25">
      <c r="A2551" t="s">
        <v>623</v>
      </c>
      <c r="B2551" t="s">
        <v>165</v>
      </c>
      <c r="C2551" s="4">
        <f>(0.0572052587068733/(0.0900940072589024+0.00396421732885982+0.0572052587068733+0.752028927432513)) * 0.0495844485180104%</f>
        <v>3.140169419808427E-5</v>
      </c>
      <c r="D2551" t="s">
        <v>256</v>
      </c>
      <c r="E2551" t="s">
        <v>280</v>
      </c>
      <c r="F2551" t="s">
        <v>434</v>
      </c>
      <c r="G2551" s="4" t="s">
        <v>245</v>
      </c>
    </row>
    <row r="2552" spans="1:7" x14ac:dyDescent="0.25">
      <c r="A2552" t="s">
        <v>623</v>
      </c>
      <c r="B2552" t="s">
        <v>165</v>
      </c>
      <c r="C2552" s="4">
        <f>(0.752028927432513/(0.0900940072589024+0.00396421732885982+0.0572052587068733+0.752028927432513)) * 0.0495844485180104%</f>
        <v>4.1281139079110061E-4</v>
      </c>
      <c r="D2552" t="s">
        <v>256</v>
      </c>
      <c r="E2552" t="s">
        <v>362</v>
      </c>
      <c r="F2552" t="s">
        <v>434</v>
      </c>
      <c r="G2552" s="4" t="s">
        <v>245</v>
      </c>
    </row>
    <row r="2553" spans="1:7" x14ac:dyDescent="0.25">
      <c r="A2553" t="s">
        <v>623</v>
      </c>
      <c r="B2553" t="s">
        <v>85</v>
      </c>
      <c r="C2553" s="4">
        <f>(0.0900940072589024/(0.0900940072589024+0.00396421732885982+0.0572052587068733+0.752028927432513)) * 0.226921709837764%</f>
        <v>2.2633076432988566E-4</v>
      </c>
      <c r="D2553" t="s">
        <v>242</v>
      </c>
      <c r="E2553" t="s">
        <v>366</v>
      </c>
      <c r="F2553" t="s">
        <v>434</v>
      </c>
      <c r="G2553" s="4" t="s">
        <v>245</v>
      </c>
    </row>
    <row r="2554" spans="1:7" x14ac:dyDescent="0.25">
      <c r="A2554" t="s">
        <v>623</v>
      </c>
      <c r="B2554" t="s">
        <v>85</v>
      </c>
      <c r="C2554" s="4">
        <f>(0.00396421732885982/(0.0900940072589024+0.00396421732885982+0.0572052587068733+0.752028927432513))  * 0.226921709837764%</f>
        <v>9.9587571394429693E-6</v>
      </c>
      <c r="D2554" t="s">
        <v>256</v>
      </c>
      <c r="E2554" t="s">
        <v>361</v>
      </c>
      <c r="F2554" t="s">
        <v>434</v>
      </c>
      <c r="G2554" s="4" t="s">
        <v>245</v>
      </c>
    </row>
    <row r="2555" spans="1:7" x14ac:dyDescent="0.25">
      <c r="A2555" t="s">
        <v>623</v>
      </c>
      <c r="B2555" t="s">
        <v>85</v>
      </c>
      <c r="C2555" s="4">
        <f>(0.0572052587068733/(0.0900940072589024+0.00396421732885982+0.0572052587068733+0.752028927432513)) * 0.226921709837764%</f>
        <v>1.4370889164258064E-4</v>
      </c>
      <c r="D2555" t="s">
        <v>256</v>
      </c>
      <c r="E2555" t="s">
        <v>280</v>
      </c>
      <c r="F2555" t="s">
        <v>434</v>
      </c>
      <c r="G2555" s="4" t="s">
        <v>245</v>
      </c>
    </row>
    <row r="2556" spans="1:7" x14ac:dyDescent="0.25">
      <c r="A2556" t="s">
        <v>623</v>
      </c>
      <c r="B2556" t="s">
        <v>85</v>
      </c>
      <c r="C2556" s="4">
        <f>(0.752028927432513/(0.0900940072589024+0.00396421732885982+0.0572052587068733+0.752028927432513)) * 0.226921709837764%</f>
        <v>1.8892186852657307E-3</v>
      </c>
      <c r="D2556" t="s">
        <v>256</v>
      </c>
      <c r="E2556" t="s">
        <v>362</v>
      </c>
      <c r="F2556" t="s">
        <v>434</v>
      </c>
      <c r="G2556" s="4" t="s">
        <v>245</v>
      </c>
    </row>
    <row r="2557" spans="1:7" x14ac:dyDescent="0.25">
      <c r="A2557" t="s">
        <v>623</v>
      </c>
      <c r="B2557" t="s">
        <v>147</v>
      </c>
      <c r="C2557" s="4">
        <f>(0.0900940072589024/(0.0900940072589024+0.00396421732885982+0.0572052587068733+0.752028927432513)) * 0.153100965893873%</f>
        <v>1.5270226306322935E-4</v>
      </c>
      <c r="D2557" t="s">
        <v>242</v>
      </c>
      <c r="E2557" t="s">
        <v>366</v>
      </c>
      <c r="F2557" t="s">
        <v>434</v>
      </c>
      <c r="G2557" s="4" t="s">
        <v>245</v>
      </c>
    </row>
    <row r="2558" spans="1:7" x14ac:dyDescent="0.25">
      <c r="A2558" t="s">
        <v>623</v>
      </c>
      <c r="B2558" t="s">
        <v>147</v>
      </c>
      <c r="C2558" s="4">
        <f>(0.00396421732885982/(0.0900940072589024+0.00396421732885982+0.0572052587068733+0.752028927432513))  * 0.153100965893873%</f>
        <v>6.7190368794651338E-6</v>
      </c>
      <c r="D2558" t="s">
        <v>256</v>
      </c>
      <c r="E2558" t="s">
        <v>361</v>
      </c>
      <c r="F2558" t="s">
        <v>434</v>
      </c>
      <c r="G2558" s="4" t="s">
        <v>245</v>
      </c>
    </row>
    <row r="2559" spans="1:7" x14ac:dyDescent="0.25">
      <c r="A2559" t="s">
        <v>623</v>
      </c>
      <c r="B2559" t="s">
        <v>147</v>
      </c>
      <c r="C2559" s="4">
        <f>(0.0572052587068733/(0.0900940072589024+0.00396421732885982+0.0572052587068733+0.752028927432513)) * 0.153100965893873%</f>
        <v>9.6958418538918898E-5</v>
      </c>
      <c r="D2559" t="s">
        <v>256</v>
      </c>
      <c r="E2559" t="s">
        <v>280</v>
      </c>
      <c r="F2559" t="s">
        <v>434</v>
      </c>
      <c r="G2559" s="4" t="s">
        <v>245</v>
      </c>
    </row>
    <row r="2560" spans="1:7" x14ac:dyDescent="0.25">
      <c r="A2560" t="s">
        <v>623</v>
      </c>
      <c r="B2560" t="s">
        <v>147</v>
      </c>
      <c r="C2560" s="4">
        <f>(0.752028927432513/(0.0900940072589024+0.00396421732885982+0.0572052587068733+0.752028927432513)) * 0.153100965893873%</f>
        <v>1.2746299404571167E-3</v>
      </c>
      <c r="D2560" t="s">
        <v>256</v>
      </c>
      <c r="E2560" t="s">
        <v>362</v>
      </c>
      <c r="F2560" t="s">
        <v>434</v>
      </c>
      <c r="G2560" s="4" t="s">
        <v>245</v>
      </c>
    </row>
    <row r="2561" spans="1:7" x14ac:dyDescent="0.25">
      <c r="A2561" t="s">
        <v>623</v>
      </c>
      <c r="B2561" t="s">
        <v>186</v>
      </c>
      <c r="C2561" s="4">
        <f>(0.0900940072589024/(0.0900940072589024+0.00396421732885982+0.0572052587068733+0.752028927432513)) * 0.0312729233493104%</f>
        <v>3.1191482954802926E-5</v>
      </c>
      <c r="D2561" t="s">
        <v>242</v>
      </c>
      <c r="E2561" t="s">
        <v>366</v>
      </c>
      <c r="F2561" t="s">
        <v>434</v>
      </c>
      <c r="G2561" s="4" t="s">
        <v>245</v>
      </c>
    </row>
    <row r="2562" spans="1:7" x14ac:dyDescent="0.25">
      <c r="A2562" t="s">
        <v>623</v>
      </c>
      <c r="B2562" t="s">
        <v>186</v>
      </c>
      <c r="C2562" s="4">
        <f>(0.00396421732885982/(0.0900940072589024+0.00396421732885982+0.0572052587068733+0.752028927432513))  * 0.0312729233493104%</f>
        <v>1.3724532963322857E-6</v>
      </c>
      <c r="D2562" t="s">
        <v>256</v>
      </c>
      <c r="E2562" t="s">
        <v>361</v>
      </c>
      <c r="F2562" t="s">
        <v>434</v>
      </c>
      <c r="G2562" s="4" t="s">
        <v>245</v>
      </c>
    </row>
    <row r="2563" spans="1:7" x14ac:dyDescent="0.25">
      <c r="A2563" t="s">
        <v>623</v>
      </c>
      <c r="B2563" t="s">
        <v>186</v>
      </c>
      <c r="C2563" s="4">
        <f>(0.0572052587068733/(0.0900940072589024+0.00396421732885982+0.0572052587068733+0.752028927432513)) * 0.0312729233493104%</f>
        <v>1.9805055920677981E-5</v>
      </c>
      <c r="D2563" t="s">
        <v>256</v>
      </c>
      <c r="E2563" t="s">
        <v>280</v>
      </c>
      <c r="F2563" t="s">
        <v>434</v>
      </c>
      <c r="G2563" s="4" t="s">
        <v>245</v>
      </c>
    </row>
    <row r="2564" spans="1:7" x14ac:dyDescent="0.25">
      <c r="A2564" t="s">
        <v>623</v>
      </c>
      <c r="B2564" t="s">
        <v>186</v>
      </c>
      <c r="C2564" s="4">
        <f>(0.752028927432513/(0.0900940072589024+0.00396421732885982+0.0572052587068733+0.752028927432513)) * 0.0312729233493104%</f>
        <v>2.6036024132129081E-4</v>
      </c>
      <c r="D2564" t="s">
        <v>256</v>
      </c>
      <c r="E2564" t="s">
        <v>362</v>
      </c>
      <c r="F2564" t="s">
        <v>434</v>
      </c>
      <c r="G2564" s="4" t="s">
        <v>245</v>
      </c>
    </row>
    <row r="2565" spans="1:7" x14ac:dyDescent="0.25">
      <c r="A2565" t="s">
        <v>623</v>
      </c>
      <c r="B2565" t="s">
        <v>116</v>
      </c>
      <c r="C2565" s="4">
        <v>1.3383720618922649E-2</v>
      </c>
      <c r="D2565" t="s">
        <v>288</v>
      </c>
      <c r="E2565" t="s">
        <v>361</v>
      </c>
      <c r="F2565" t="s">
        <v>434</v>
      </c>
      <c r="G2565" s="4" t="s">
        <v>245</v>
      </c>
    </row>
    <row r="2566" spans="1:7" x14ac:dyDescent="0.25">
      <c r="A2566" t="s">
        <v>623</v>
      </c>
      <c r="B2566" t="s">
        <v>145</v>
      </c>
      <c r="C2566" s="4">
        <v>5.1057201238634387E-2</v>
      </c>
      <c r="D2566" t="s">
        <v>311</v>
      </c>
      <c r="E2566" t="s">
        <v>362</v>
      </c>
      <c r="F2566" t="s">
        <v>434</v>
      </c>
      <c r="G2566" s="4" t="s">
        <v>245</v>
      </c>
    </row>
    <row r="2567" spans="1:7" x14ac:dyDescent="0.25">
      <c r="A2567" t="s">
        <v>623</v>
      </c>
      <c r="B2567" t="s">
        <v>86</v>
      </c>
      <c r="C2567" s="4">
        <f>(0.0900940072589024/(0.0900940072589024+0.00396421732885982+0.0572052587068733+0.752028927432513)) * 12.7714921573156%</f>
        <v>1.273823286306533E-2</v>
      </c>
      <c r="D2567" t="s">
        <v>242</v>
      </c>
      <c r="E2567" t="s">
        <v>366</v>
      </c>
      <c r="F2567" t="s">
        <v>434</v>
      </c>
      <c r="G2567" s="4" t="s">
        <v>245</v>
      </c>
    </row>
    <row r="2568" spans="1:7" x14ac:dyDescent="0.25">
      <c r="A2568" t="s">
        <v>623</v>
      </c>
      <c r="B2568" t="s">
        <v>86</v>
      </c>
      <c r="C2568" s="4">
        <f>(0.00396421732885982/(0.0900940072589024+0.00396421732885982+0.0572052587068733+0.752028927432513))  * 12.7714921573156%</f>
        <v>5.604936997607628E-4</v>
      </c>
      <c r="D2568" t="s">
        <v>256</v>
      </c>
      <c r="E2568" t="s">
        <v>361</v>
      </c>
      <c r="F2568" t="s">
        <v>434</v>
      </c>
      <c r="G2568" s="4" t="s">
        <v>245</v>
      </c>
    </row>
    <row r="2569" spans="1:7" x14ac:dyDescent="0.25">
      <c r="A2569" t="s">
        <v>623</v>
      </c>
      <c r="B2569" t="s">
        <v>86</v>
      </c>
      <c r="C2569" s="4">
        <f>(0.0572052587068733/(0.0900940072589024+0.00396421732885982+0.0572052587068733+0.752028927432513)) * 12.7714921573156%</f>
        <v>8.0881506836076884E-3</v>
      </c>
      <c r="D2569" t="s">
        <v>256</v>
      </c>
      <c r="E2569" t="s">
        <v>280</v>
      </c>
      <c r="F2569" t="s">
        <v>434</v>
      </c>
      <c r="G2569" s="4" t="s">
        <v>245</v>
      </c>
    </row>
    <row r="2570" spans="1:7" x14ac:dyDescent="0.25">
      <c r="A2570" t="s">
        <v>623</v>
      </c>
      <c r="B2570" t="s">
        <v>86</v>
      </c>
      <c r="C2570" s="4">
        <f>(0.752028927432513/(0.0900940072589024+0.00396421732885982+0.0572052587068733+0.752028927432513)) * 12.7714921573156%</f>
        <v>0.10632804432672223</v>
      </c>
      <c r="D2570" t="s">
        <v>256</v>
      </c>
      <c r="E2570" t="s">
        <v>362</v>
      </c>
      <c r="F2570" t="s">
        <v>434</v>
      </c>
      <c r="G2570" s="4" t="s">
        <v>245</v>
      </c>
    </row>
    <row r="2571" spans="1:7" x14ac:dyDescent="0.25">
      <c r="A2571" t="s">
        <v>623</v>
      </c>
      <c r="B2571" t="s">
        <v>87</v>
      </c>
      <c r="C2571" s="4">
        <f>(0.0900940072589024/(0.0900940072589024+0.00396421732885982+0.0572052587068733+0.752028927432513)) * 0.0661661726838398%</f>
        <v>6.5993863905852132E-5</v>
      </c>
      <c r="D2571" t="s">
        <v>242</v>
      </c>
      <c r="E2571" t="s">
        <v>366</v>
      </c>
      <c r="F2571" t="s">
        <v>434</v>
      </c>
      <c r="G2571" s="4" t="s">
        <v>245</v>
      </c>
    </row>
    <row r="2572" spans="1:7" x14ac:dyDescent="0.25">
      <c r="A2572" t="s">
        <v>623</v>
      </c>
      <c r="B2572" t="s">
        <v>87</v>
      </c>
      <c r="C2572" s="4">
        <f>(0.00396421732885982/(0.0900940072589024+0.00396421732885982+0.0572052587068733+0.752028927432513))  * 0.0661661726838398%</f>
        <v>2.9037893512961152E-6</v>
      </c>
      <c r="D2572" t="s">
        <v>256</v>
      </c>
      <c r="E2572" t="s">
        <v>361</v>
      </c>
      <c r="F2572" t="s">
        <v>434</v>
      </c>
      <c r="G2572" s="4" t="s">
        <v>245</v>
      </c>
    </row>
    <row r="2573" spans="1:7" x14ac:dyDescent="0.25">
      <c r="A2573" t="s">
        <v>623</v>
      </c>
      <c r="B2573" t="s">
        <v>87</v>
      </c>
      <c r="C2573" s="4">
        <f>(0.0572052587068733/(0.0900940072589024+0.00396421732885982+0.0572052587068733+0.752028927432513)) * 0.0661661726838398%</f>
        <v>4.1902854281436382E-5</v>
      </c>
      <c r="D2573" t="s">
        <v>256</v>
      </c>
      <c r="E2573" t="s">
        <v>280</v>
      </c>
      <c r="F2573" t="s">
        <v>434</v>
      </c>
      <c r="G2573" s="4" t="s">
        <v>245</v>
      </c>
    </row>
    <row r="2574" spans="1:7" x14ac:dyDescent="0.25">
      <c r="A2574" t="s">
        <v>623</v>
      </c>
      <c r="B2574" t="s">
        <v>87</v>
      </c>
      <c r="C2574" s="4">
        <f>(0.752028927432513/(0.0900940072589024+0.00396421732885982+0.0572052587068733+0.752028927432513)) * 0.0661661726838398%</f>
        <v>5.5086121929981337E-4</v>
      </c>
      <c r="D2574" t="s">
        <v>256</v>
      </c>
      <c r="E2574" t="s">
        <v>362</v>
      </c>
      <c r="F2574" t="s">
        <v>434</v>
      </c>
      <c r="G2574" s="4" t="s">
        <v>245</v>
      </c>
    </row>
    <row r="2575" spans="1:7" x14ac:dyDescent="0.25">
      <c r="A2575" t="s">
        <v>623</v>
      </c>
      <c r="B2575" t="s">
        <v>159</v>
      </c>
      <c r="C2575" s="4">
        <f>(0.0900940072589024/(0.0900940072589024+0.00396421732885982+0.0572052587068733+0.752028927432513)) * 0.012476290644379%</f>
        <v>1.2443800108693581E-5</v>
      </c>
      <c r="D2575" t="s">
        <v>242</v>
      </c>
      <c r="E2575" t="s">
        <v>366</v>
      </c>
      <c r="F2575" t="s">
        <v>434</v>
      </c>
      <c r="G2575" s="4" t="s">
        <v>245</v>
      </c>
    </row>
    <row r="2576" spans="1:7" x14ac:dyDescent="0.25">
      <c r="A2576" t="s">
        <v>623</v>
      </c>
      <c r="B2576" t="s">
        <v>159</v>
      </c>
      <c r="C2576" s="4">
        <f>(0.00396421732885982/(0.0900940072589024+0.00396421732885982+0.0572052587068733+0.752028927432513))  * 0.012476290644379%</f>
        <v>5.4753839382448396E-7</v>
      </c>
      <c r="D2576" t="s">
        <v>256</v>
      </c>
      <c r="E2576" t="s">
        <v>361</v>
      </c>
      <c r="F2576" t="s">
        <v>434</v>
      </c>
      <c r="G2576" s="4" t="s">
        <v>245</v>
      </c>
    </row>
    <row r="2577" spans="1:7" x14ac:dyDescent="0.25">
      <c r="A2577" t="s">
        <v>623</v>
      </c>
      <c r="B2577" t="s">
        <v>159</v>
      </c>
      <c r="C2577" s="4">
        <f>(0.0572052587068733/(0.0900940072589024+0.00396421732885982+0.0572052587068733+0.752028927432513)) * 0.012476290644379%</f>
        <v>7.9012003813837977E-6</v>
      </c>
      <c r="D2577" t="s">
        <v>256</v>
      </c>
      <c r="E2577" t="s">
        <v>280</v>
      </c>
      <c r="F2577" t="s">
        <v>434</v>
      </c>
      <c r="G2577" s="4" t="s">
        <v>245</v>
      </c>
    </row>
    <row r="2578" spans="1:7" x14ac:dyDescent="0.25">
      <c r="A2578" t="s">
        <v>623</v>
      </c>
      <c r="B2578" t="s">
        <v>159</v>
      </c>
      <c r="C2578" s="4">
        <f>(0.752028927432513/(0.0900940072589024+0.00396421732885982+0.0572052587068733+0.752028927432513)) * 0.012476290644379%</f>
        <v>1.0387036755988815E-4</v>
      </c>
      <c r="D2578" t="s">
        <v>256</v>
      </c>
      <c r="E2578" t="s">
        <v>362</v>
      </c>
      <c r="F2578" t="s">
        <v>434</v>
      </c>
      <c r="G2578" s="4" t="s">
        <v>245</v>
      </c>
    </row>
    <row r="2579" spans="1:7" x14ac:dyDescent="0.25">
      <c r="A2579" t="s">
        <v>623</v>
      </c>
      <c r="B2579" t="s">
        <v>166</v>
      </c>
      <c r="C2579" s="4">
        <f>(0.0900940072589024/(0.0900940072589024+0.00396421732885982+0.0572052587068733+0.752028927432513)) * 0.000632621325614981%</f>
        <v>6.3097386433493211E-7</v>
      </c>
      <c r="D2579" t="s">
        <v>242</v>
      </c>
      <c r="E2579" t="s">
        <v>366</v>
      </c>
      <c r="F2579" t="s">
        <v>434</v>
      </c>
      <c r="G2579" s="4" t="s">
        <v>245</v>
      </c>
    </row>
    <row r="2580" spans="1:7" x14ac:dyDescent="0.25">
      <c r="A2580" t="s">
        <v>623</v>
      </c>
      <c r="B2580" t="s">
        <v>166</v>
      </c>
      <c r="C2580" s="4">
        <f>(0.00396421732885982/(0.0900940072589024+0.00396421732885982+0.0572052587068733+0.752028927432513))  * 0.000632621325614981%</f>
        <v>2.7763417380982601E-8</v>
      </c>
      <c r="D2580" t="s">
        <v>256</v>
      </c>
      <c r="E2580" t="s">
        <v>361</v>
      </c>
      <c r="F2580" t="s">
        <v>434</v>
      </c>
      <c r="G2580" s="4" t="s">
        <v>245</v>
      </c>
    </row>
    <row r="2581" spans="1:7" x14ac:dyDescent="0.25">
      <c r="A2581" t="s">
        <v>623</v>
      </c>
      <c r="B2581" t="s">
        <v>166</v>
      </c>
      <c r="C2581" s="4">
        <f>(0.0572052587068733/(0.0900940072589024+0.00396421732885982+0.0572052587068733+0.752028927432513)) * 0.000632621325614981%</f>
        <v>4.0063733698546004E-7</v>
      </c>
      <c r="D2581" t="s">
        <v>256</v>
      </c>
      <c r="E2581" t="s">
        <v>280</v>
      </c>
      <c r="F2581" t="s">
        <v>434</v>
      </c>
      <c r="G2581" s="4" t="s">
        <v>245</v>
      </c>
    </row>
    <row r="2582" spans="1:7" x14ac:dyDescent="0.25">
      <c r="A2582" t="s">
        <v>623</v>
      </c>
      <c r="B2582" t="s">
        <v>166</v>
      </c>
      <c r="C2582" s="4">
        <f>(0.752028927432513/(0.0900940072589024+0.00396421732885982+0.0572052587068733+0.752028927432513)) * 0.000632621325614981%</f>
        <v>5.2668386374484357E-6</v>
      </c>
      <c r="D2582" t="s">
        <v>256</v>
      </c>
      <c r="E2582" t="s">
        <v>362</v>
      </c>
      <c r="F2582" t="s">
        <v>434</v>
      </c>
      <c r="G2582" s="4" t="s">
        <v>245</v>
      </c>
    </row>
    <row r="2583" spans="1:7" x14ac:dyDescent="0.25">
      <c r="A2583" t="s">
        <v>623</v>
      </c>
      <c r="B2583" t="s">
        <v>89</v>
      </c>
      <c r="C2583" s="4">
        <f>(0.0900940072589024/(0.0900940072589024+0.00396421732885982+0.0572052587068733+0.752028927432513)) * 0.436314965219624%</f>
        <v>4.3517872149529736E-4</v>
      </c>
      <c r="D2583" t="s">
        <v>242</v>
      </c>
      <c r="E2583" t="s">
        <v>366</v>
      </c>
      <c r="F2583" t="s">
        <v>434</v>
      </c>
      <c r="G2583" s="4" t="s">
        <v>245</v>
      </c>
    </row>
    <row r="2584" spans="1:7" x14ac:dyDescent="0.25">
      <c r="A2584" t="s">
        <v>623</v>
      </c>
      <c r="B2584" t="s">
        <v>89</v>
      </c>
      <c r="C2584" s="4">
        <f>(0.00396421732885982/(0.0900940072589024+0.00396421732885982+0.0572052587068733+0.752028927432513))  * 0.436314965219624%</f>
        <v>1.91482550437033E-5</v>
      </c>
      <c r="D2584" t="s">
        <v>256</v>
      </c>
      <c r="E2584" t="s">
        <v>361</v>
      </c>
      <c r="F2584" t="s">
        <v>434</v>
      </c>
      <c r="G2584" s="4" t="s">
        <v>245</v>
      </c>
    </row>
    <row r="2585" spans="1:7" x14ac:dyDescent="0.25">
      <c r="A2585" t="s">
        <v>623</v>
      </c>
      <c r="B2585" t="s">
        <v>89</v>
      </c>
      <c r="C2585" s="4">
        <f>(0.0572052587068733/(0.0900940072589024+0.00396421732885982+0.0572052587068733+0.752028927432513)) * 0.436314965219624%</f>
        <v>2.7631706152580934E-4</v>
      </c>
      <c r="D2585" t="s">
        <v>256</v>
      </c>
      <c r="E2585" t="s">
        <v>280</v>
      </c>
      <c r="F2585" t="s">
        <v>434</v>
      </c>
      <c r="G2585" s="4" t="s">
        <v>245</v>
      </c>
    </row>
    <row r="2586" spans="1:7" x14ac:dyDescent="0.25">
      <c r="A2586" t="s">
        <v>623</v>
      </c>
      <c r="B2586" t="s">
        <v>89</v>
      </c>
      <c r="C2586" s="4">
        <f>(0.752028927432513/(0.0900940072589024+0.00396421732885982+0.0572052587068733+0.752028927432513)) * 0.436314965219624%</f>
        <v>3.63250561413143E-3</v>
      </c>
      <c r="D2586" t="s">
        <v>256</v>
      </c>
      <c r="E2586" t="s">
        <v>362</v>
      </c>
      <c r="F2586" t="s">
        <v>434</v>
      </c>
      <c r="G2586" s="4" t="s">
        <v>245</v>
      </c>
    </row>
    <row r="2587" spans="1:7" x14ac:dyDescent="0.25">
      <c r="A2587" t="s">
        <v>623</v>
      </c>
      <c r="B2587" t="s">
        <v>167</v>
      </c>
      <c r="C2587" s="4">
        <f>(0.0900940072589024/(0.0900940072589024+0.00396421732885982+0.0572052587068733+0.752028927432513)) * 0.00529655232826371%</f>
        <v>5.2827591402612589E-6</v>
      </c>
      <c r="D2587" t="s">
        <v>242</v>
      </c>
      <c r="E2587" t="s">
        <v>366</v>
      </c>
      <c r="F2587" t="s">
        <v>434</v>
      </c>
      <c r="G2587" s="4" t="s">
        <v>245</v>
      </c>
    </row>
    <row r="2588" spans="1:7" x14ac:dyDescent="0.25">
      <c r="A2588" t="s">
        <v>623</v>
      </c>
      <c r="B2588" t="s">
        <v>167</v>
      </c>
      <c r="C2588" s="4">
        <f>(0.00396421732885982/(0.0900940072589024+0.00396421732885982+0.0572052587068733+0.752028927432513))  * 0.00529655232826371%</f>
        <v>2.3244615224889958E-7</v>
      </c>
      <c r="D2588" t="s">
        <v>256</v>
      </c>
      <c r="E2588" t="s">
        <v>361</v>
      </c>
      <c r="F2588" t="s">
        <v>434</v>
      </c>
      <c r="G2588" s="4" t="s">
        <v>245</v>
      </c>
    </row>
    <row r="2589" spans="1:7" x14ac:dyDescent="0.25">
      <c r="A2589" t="s">
        <v>623</v>
      </c>
      <c r="B2589" t="s">
        <v>167</v>
      </c>
      <c r="C2589" s="4">
        <f>(0.0572052587068733/(0.0900940072589024+0.00396421732885982+0.0572052587068733+0.752028927432513)) * 0.00529655232826371%</f>
        <v>3.3542919501439274E-6</v>
      </c>
      <c r="D2589" t="s">
        <v>256</v>
      </c>
      <c r="E2589" t="s">
        <v>280</v>
      </c>
      <c r="F2589" t="s">
        <v>434</v>
      </c>
      <c r="G2589" s="4" t="s">
        <v>245</v>
      </c>
    </row>
    <row r="2590" spans="1:7" x14ac:dyDescent="0.25">
      <c r="A2590" t="s">
        <v>623</v>
      </c>
      <c r="B2590" t="s">
        <v>167</v>
      </c>
      <c r="C2590" s="4">
        <f>(0.752028927432513/(0.0900940072589024+0.00396421732885982+0.0572052587068733+0.752028927432513)) * 0.00529655232826371%</f>
        <v>4.4096026039983022E-5</v>
      </c>
      <c r="D2590" t="s">
        <v>256</v>
      </c>
      <c r="E2590" t="s">
        <v>362</v>
      </c>
      <c r="F2590" t="s">
        <v>434</v>
      </c>
      <c r="G2590" s="4" t="s">
        <v>245</v>
      </c>
    </row>
    <row r="2591" spans="1:7" x14ac:dyDescent="0.25">
      <c r="A2591" t="s">
        <v>623</v>
      </c>
      <c r="B2591" t="s">
        <v>168</v>
      </c>
      <c r="C2591" s="4">
        <f>(0.0900940072589024/(0.0900940072589024+0.00396421732885982+0.0572052587068733+0.752028927432513)) * 0.154805814315454%</f>
        <v>1.5440267174866932E-4</v>
      </c>
      <c r="D2591" t="s">
        <v>242</v>
      </c>
      <c r="E2591" t="s">
        <v>366</v>
      </c>
      <c r="F2591" t="s">
        <v>434</v>
      </c>
      <c r="G2591" s="4" t="s">
        <v>245</v>
      </c>
    </row>
    <row r="2592" spans="1:7" x14ac:dyDescent="0.25">
      <c r="A2592" t="s">
        <v>623</v>
      </c>
      <c r="B2592" t="s">
        <v>168</v>
      </c>
      <c r="C2592" s="4">
        <f>(0.00396421732885982/(0.0900940072589024+0.00396421732885982+0.0572052587068733+0.752028927432513))  * 0.154805814315454%</f>
        <v>6.7938563905741688E-6</v>
      </c>
      <c r="D2592" t="s">
        <v>256</v>
      </c>
      <c r="E2592" t="s">
        <v>361</v>
      </c>
      <c r="F2592" t="s">
        <v>434</v>
      </c>
      <c r="G2592" s="4" t="s">
        <v>245</v>
      </c>
    </row>
    <row r="2593" spans="1:7" x14ac:dyDescent="0.25">
      <c r="A2593" t="s">
        <v>623</v>
      </c>
      <c r="B2593" t="s">
        <v>168</v>
      </c>
      <c r="C2593" s="4">
        <f>(0.0572052587068733/(0.0900940072589024+0.00396421732885982+0.0572052587068733+0.752028927432513)) * 0.154805814315454%</f>
        <v>9.8038094332209767E-5</v>
      </c>
      <c r="D2593" t="s">
        <v>256</v>
      </c>
      <c r="E2593" t="s">
        <v>280</v>
      </c>
      <c r="F2593" t="s">
        <v>434</v>
      </c>
      <c r="G2593" s="4" t="s">
        <v>245</v>
      </c>
    </row>
    <row r="2594" spans="1:7" x14ac:dyDescent="0.25">
      <c r="A2594" t="s">
        <v>623</v>
      </c>
      <c r="B2594" t="s">
        <v>168</v>
      </c>
      <c r="C2594" s="4">
        <f>(0.752028927432513/(0.0900940072589024+0.00396421732885982+0.0572052587068733+0.752028927432513)) * 0.154805814315454%</f>
        <v>1.2888235206830868E-3</v>
      </c>
      <c r="D2594" t="s">
        <v>256</v>
      </c>
      <c r="E2594" t="s">
        <v>362</v>
      </c>
      <c r="F2594" t="s">
        <v>434</v>
      </c>
      <c r="G2594" s="4" t="s">
        <v>245</v>
      </c>
    </row>
    <row r="2595" spans="1:7" x14ac:dyDescent="0.25">
      <c r="A2595" t="s">
        <v>623</v>
      </c>
      <c r="B2595" t="s">
        <v>193</v>
      </c>
      <c r="C2595" s="4">
        <f>(0.0900940072589024/(0.0900940072589024+0.00396421732885982+0.0572052587068733+0.752028927432513)) * 0.00186410460216015%</f>
        <v>1.8592501338871522E-6</v>
      </c>
      <c r="D2595" t="s">
        <v>242</v>
      </c>
      <c r="E2595" t="s">
        <v>366</v>
      </c>
      <c r="F2595" t="s">
        <v>434</v>
      </c>
      <c r="G2595" s="4" t="s">
        <v>245</v>
      </c>
    </row>
    <row r="2596" spans="1:7" x14ac:dyDescent="0.25">
      <c r="A2596" t="s">
        <v>623</v>
      </c>
      <c r="B2596" t="s">
        <v>193</v>
      </c>
      <c r="C2596" s="4">
        <f>(0.00396421732885982/(0.0900940072589024+0.00396421732885982+0.0572052587068733+0.752028927432513))  * 0.00186410460216015%</f>
        <v>8.1808677665540251E-8</v>
      </c>
      <c r="D2596" t="s">
        <v>256</v>
      </c>
      <c r="E2596" t="s">
        <v>361</v>
      </c>
      <c r="F2596" t="s">
        <v>434</v>
      </c>
      <c r="G2596" s="4" t="s">
        <v>245</v>
      </c>
    </row>
    <row r="2597" spans="1:7" x14ac:dyDescent="0.25">
      <c r="A2597" t="s">
        <v>623</v>
      </c>
      <c r="B2597" t="s">
        <v>193</v>
      </c>
      <c r="C2597" s="4">
        <f>(0.0572052587068733/(0.0900940072589024+0.00396421732885982+0.0572052587068733+0.752028927432513)) * 0.00186410460216015%</f>
        <v>1.18053229227734E-6</v>
      </c>
      <c r="D2597" t="s">
        <v>256</v>
      </c>
      <c r="E2597" t="s">
        <v>280</v>
      </c>
      <c r="F2597" t="s">
        <v>434</v>
      </c>
      <c r="G2597" s="4" t="s">
        <v>245</v>
      </c>
    </row>
    <row r="2598" spans="1:7" x14ac:dyDescent="0.25">
      <c r="A2598" t="s">
        <v>623</v>
      </c>
      <c r="B2598" t="s">
        <v>193</v>
      </c>
      <c r="C2598" s="4">
        <f>(0.752028927432513/(0.0900940072589024+0.00396421732885982+0.0572052587068733+0.752028927432513)) * 0.00186410460216015%</f>
        <v>1.5519454917771471E-5</v>
      </c>
      <c r="D2598" t="s">
        <v>256</v>
      </c>
      <c r="E2598" t="s">
        <v>362</v>
      </c>
      <c r="F2598" t="s">
        <v>434</v>
      </c>
      <c r="G2598" s="4" t="s">
        <v>245</v>
      </c>
    </row>
    <row r="2599" spans="1:7" x14ac:dyDescent="0.25">
      <c r="A2599" t="s">
        <v>623</v>
      </c>
      <c r="B2599" t="s">
        <v>90</v>
      </c>
      <c r="C2599" s="4">
        <f>(0.0900940072589024/(0.0900940072589024+0.00396421732885982+0.0572052587068733+0.752028927432513)) * 0.00183548252362305%</f>
        <v>1.8307025924613305E-6</v>
      </c>
      <c r="D2599" t="s">
        <v>242</v>
      </c>
      <c r="E2599" t="s">
        <v>366</v>
      </c>
      <c r="F2599" t="s">
        <v>434</v>
      </c>
      <c r="G2599" s="4" t="s">
        <v>245</v>
      </c>
    </row>
    <row r="2600" spans="1:7" x14ac:dyDescent="0.25">
      <c r="A2600" t="s">
        <v>623</v>
      </c>
      <c r="B2600" t="s">
        <v>90</v>
      </c>
      <c r="C2600" s="4">
        <f>(0.00396421732885982/(0.0900940072589024+0.00396421732885982+0.0572052587068733+0.752028927432513))  * 0.00183548252362305%</f>
        <v>8.0552560173825466E-8</v>
      </c>
      <c r="D2600" t="s">
        <v>256</v>
      </c>
      <c r="E2600" t="s">
        <v>361</v>
      </c>
      <c r="F2600" t="s">
        <v>434</v>
      </c>
      <c r="G2600" s="4" t="s">
        <v>245</v>
      </c>
    </row>
    <row r="2601" spans="1:7" x14ac:dyDescent="0.25">
      <c r="A2601" t="s">
        <v>623</v>
      </c>
      <c r="B2601" t="s">
        <v>90</v>
      </c>
      <c r="C2601" s="4">
        <f>(0.0572052587068733/(0.0900940072589024+0.00396421732885982+0.0572052587068733+0.752028927432513)) * 0.00183548252362305%</f>
        <v>1.1624060090494625E-6</v>
      </c>
      <c r="D2601" t="s">
        <v>256</v>
      </c>
      <c r="E2601" t="s">
        <v>280</v>
      </c>
      <c r="F2601" t="s">
        <v>434</v>
      </c>
      <c r="G2601" s="4" t="s">
        <v>245</v>
      </c>
    </row>
    <row r="2602" spans="1:7" x14ac:dyDescent="0.25">
      <c r="A2602" t="s">
        <v>623</v>
      </c>
      <c r="B2602" t="s">
        <v>90</v>
      </c>
      <c r="C2602" s="4">
        <f>(0.752028927432513/(0.0900940072589024+0.00396421732885982+0.0572052587068733+0.752028927432513)) * 0.00183548252362305%</f>
        <v>1.5281164074545882E-5</v>
      </c>
      <c r="D2602" t="s">
        <v>256</v>
      </c>
      <c r="E2602" t="s">
        <v>362</v>
      </c>
      <c r="F2602" t="s">
        <v>434</v>
      </c>
      <c r="G2602" s="4" t="s">
        <v>245</v>
      </c>
    </row>
    <row r="2603" spans="1:7" x14ac:dyDescent="0.25">
      <c r="A2603" t="s">
        <v>623</v>
      </c>
      <c r="B2603" t="s">
        <v>154</v>
      </c>
      <c r="C2603" s="4">
        <f>(0.0900940072589024/(0.0900940072589024+0.00396421732885982+0.0572052587068733+0.752028927432513)) * 0.122660284520487%</f>
        <v>1.223408547744998E-4</v>
      </c>
      <c r="D2603" t="s">
        <v>242</v>
      </c>
      <c r="E2603" t="s">
        <v>366</v>
      </c>
      <c r="F2603" t="s">
        <v>434</v>
      </c>
      <c r="G2603" s="4" t="s">
        <v>245</v>
      </c>
    </row>
    <row r="2604" spans="1:7" x14ac:dyDescent="0.25">
      <c r="A2604" t="s">
        <v>623</v>
      </c>
      <c r="B2604" t="s">
        <v>154</v>
      </c>
      <c r="C2604" s="4">
        <f>(0.00396421732885982/(0.0900940072589024+0.00396421732885982+0.0572052587068733+0.752028927432513))  * 0.122660284520487%</f>
        <v>5.3831076148149931E-6</v>
      </c>
      <c r="D2604" t="s">
        <v>256</v>
      </c>
      <c r="E2604" t="s">
        <v>361</v>
      </c>
      <c r="F2604" t="s">
        <v>434</v>
      </c>
      <c r="G2604" s="4" t="s">
        <v>245</v>
      </c>
    </row>
    <row r="2605" spans="1:7" x14ac:dyDescent="0.25">
      <c r="A2605" t="s">
        <v>623</v>
      </c>
      <c r="B2605" t="s">
        <v>154</v>
      </c>
      <c r="C2605" s="4">
        <f>(0.0572052587068733/(0.0900940072589024+0.00396421732885982+0.0572052587068733+0.752028927432513)) * 0.122660284520487%</f>
        <v>7.7680419161328099E-5</v>
      </c>
      <c r="D2605" t="s">
        <v>256</v>
      </c>
      <c r="E2605" t="s">
        <v>280</v>
      </c>
      <c r="F2605" t="s">
        <v>434</v>
      </c>
      <c r="G2605" s="4" t="s">
        <v>245</v>
      </c>
    </row>
    <row r="2606" spans="1:7" x14ac:dyDescent="0.25">
      <c r="A2606" t="s">
        <v>623</v>
      </c>
      <c r="B2606" t="s">
        <v>154</v>
      </c>
      <c r="C2606" s="4">
        <f>(0.752028927432513/(0.0900940072589024+0.00396421732885982+0.0572052587068733+0.752028927432513)) * 0.122660284520487%</f>
        <v>1.0211984636542271E-3</v>
      </c>
      <c r="D2606" t="s">
        <v>256</v>
      </c>
      <c r="E2606" t="s">
        <v>362</v>
      </c>
      <c r="F2606" t="s">
        <v>434</v>
      </c>
      <c r="G2606" s="4" t="s">
        <v>245</v>
      </c>
    </row>
    <row r="2607" spans="1:7" x14ac:dyDescent="0.25">
      <c r="A2607" t="s">
        <v>623</v>
      </c>
      <c r="B2607" t="s">
        <v>169</v>
      </c>
      <c r="C2607" s="4">
        <f>(0.0900940072589024/(0.0900940072589024+0.00396421732885982+0.0572052587068733+0.752028927432513)) * 0.0505950280602051%</f>
        <v>5.0463269381960817E-5</v>
      </c>
      <c r="D2607" t="s">
        <v>242</v>
      </c>
      <c r="E2607" t="s">
        <v>366</v>
      </c>
      <c r="F2607" t="s">
        <v>434</v>
      </c>
      <c r="G2607" s="4" t="s">
        <v>245</v>
      </c>
    </row>
    <row r="2608" spans="1:7" x14ac:dyDescent="0.25">
      <c r="A2608" t="s">
        <v>623</v>
      </c>
      <c r="B2608" t="s">
        <v>169</v>
      </c>
      <c r="C2608" s="4">
        <f>(0.00396421732885982/(0.0900940072589024+0.00396421732885982+0.0572052587068733+0.752028927432513))  * 0.0505950280602051%</f>
        <v>2.220429227662344E-6</v>
      </c>
      <c r="D2608" t="s">
        <v>256</v>
      </c>
      <c r="E2608" t="s">
        <v>361</v>
      </c>
      <c r="F2608" t="s">
        <v>434</v>
      </c>
      <c r="G2608" s="4" t="s">
        <v>245</v>
      </c>
    </row>
    <row r="2609" spans="1:7" x14ac:dyDescent="0.25">
      <c r="A2609" t="s">
        <v>623</v>
      </c>
      <c r="B2609" t="s">
        <v>169</v>
      </c>
      <c r="C2609" s="4">
        <f>(0.0572052587068733/(0.0900940072589024+0.00396421732885982+0.0572052587068733+0.752028927432513)) * 0.0505950280602051%</f>
        <v>3.204169142897635E-5</v>
      </c>
      <c r="D2609" t="s">
        <v>256</v>
      </c>
      <c r="E2609" t="s">
        <v>280</v>
      </c>
      <c r="F2609" t="s">
        <v>434</v>
      </c>
      <c r="G2609" s="4" t="s">
        <v>245</v>
      </c>
    </row>
    <row r="2610" spans="1:7" x14ac:dyDescent="0.25">
      <c r="A2610" t="s">
        <v>623</v>
      </c>
      <c r="B2610" t="s">
        <v>169</v>
      </c>
      <c r="C2610" s="4">
        <f>(0.752028927432513/(0.0900940072589024+0.00396421732885982+0.0572052587068733+0.752028927432513)) * 0.0505950280602051%</f>
        <v>4.2122489056345148E-4</v>
      </c>
      <c r="D2610" t="s">
        <v>256</v>
      </c>
      <c r="E2610" t="s">
        <v>362</v>
      </c>
      <c r="F2610" t="s">
        <v>434</v>
      </c>
      <c r="G2610" s="4" t="s">
        <v>245</v>
      </c>
    </row>
    <row r="2611" spans="1:7" x14ac:dyDescent="0.25">
      <c r="A2611" t="s">
        <v>623</v>
      </c>
      <c r="B2611" t="s">
        <v>117</v>
      </c>
      <c r="C2611" s="4">
        <f>(0.0900940072589024/(0.0900940072589024+0.00396421732885982+0.0572052587068733+0.752028927432513)) * 0.00168796873423951%</f>
        <v>1.683572955882071E-6</v>
      </c>
      <c r="D2611" t="s">
        <v>242</v>
      </c>
      <c r="E2611" t="s">
        <v>366</v>
      </c>
      <c r="F2611" t="s">
        <v>434</v>
      </c>
      <c r="G2611" s="4" t="s">
        <v>245</v>
      </c>
    </row>
    <row r="2612" spans="1:7" x14ac:dyDescent="0.25">
      <c r="A2612" t="s">
        <v>623</v>
      </c>
      <c r="B2612" t="s">
        <v>117</v>
      </c>
      <c r="C2612" s="4">
        <f>(0.00396421732885982/(0.0900940072589024+0.00396421732885982+0.0572052587068733+0.752028927432513))  * 0.00168796873423951%</f>
        <v>7.4078723870371271E-8</v>
      </c>
      <c r="D2612" t="s">
        <v>256</v>
      </c>
      <c r="E2612" t="s">
        <v>361</v>
      </c>
      <c r="F2612" t="s">
        <v>434</v>
      </c>
      <c r="G2612" s="4" t="s">
        <v>245</v>
      </c>
    </row>
    <row r="2613" spans="1:7" x14ac:dyDescent="0.25">
      <c r="A2613" t="s">
        <v>623</v>
      </c>
      <c r="B2613" t="s">
        <v>117</v>
      </c>
      <c r="C2613" s="4">
        <f>(0.0572052587068733/(0.0900940072589024+0.00396421732885982+0.0572052587068733+0.752028927432513)) * 0.00168796873423951%</f>
        <v>1.0689859339519244E-6</v>
      </c>
      <c r="D2613" t="s">
        <v>256</v>
      </c>
      <c r="E2613" t="s">
        <v>280</v>
      </c>
      <c r="F2613" t="s">
        <v>434</v>
      </c>
      <c r="G2613" s="4" t="s">
        <v>245</v>
      </c>
    </row>
    <row r="2614" spans="1:7" x14ac:dyDescent="0.25">
      <c r="A2614" t="s">
        <v>623</v>
      </c>
      <c r="B2614" t="s">
        <v>117</v>
      </c>
      <c r="C2614" s="4">
        <f>(0.752028927432513/(0.0900940072589024+0.00396421732885982+0.0572052587068733+0.752028927432513)) * 0.00168796873423951%</f>
        <v>1.4053049728690733E-5</v>
      </c>
      <c r="D2614" t="s">
        <v>256</v>
      </c>
      <c r="E2614" t="s">
        <v>362</v>
      </c>
      <c r="F2614" t="s">
        <v>434</v>
      </c>
      <c r="G2614" s="4" t="s">
        <v>245</v>
      </c>
    </row>
    <row r="2615" spans="1:7" x14ac:dyDescent="0.25">
      <c r="A2615" t="s">
        <v>623</v>
      </c>
      <c r="B2615" t="s">
        <v>92</v>
      </c>
      <c r="C2615" s="4">
        <f>(0.0900940072589024/(0.0900940072589024+0.00396421732885982+0.0572052587068733+0.752028927432513)) * 0.0102745922953709%</f>
        <v>1.0247835383629968E-5</v>
      </c>
      <c r="D2615" t="s">
        <v>242</v>
      </c>
      <c r="E2615" t="s">
        <v>366</v>
      </c>
      <c r="F2615" t="s">
        <v>434</v>
      </c>
      <c r="G2615" s="4" t="s">
        <v>245</v>
      </c>
    </row>
    <row r="2616" spans="1:7" x14ac:dyDescent="0.25">
      <c r="A2616" t="s">
        <v>623</v>
      </c>
      <c r="B2616" t="s">
        <v>92</v>
      </c>
      <c r="C2616" s="4">
        <f>(0.00396421732885982/(0.0900940072589024+0.00396421732885982+0.0572052587068733+0.752028927432513))  * 0.0102745922953709%</f>
        <v>4.5091397138486732E-7</v>
      </c>
      <c r="D2616" t="s">
        <v>256</v>
      </c>
      <c r="E2616" t="s">
        <v>361</v>
      </c>
      <c r="F2616" t="s">
        <v>434</v>
      </c>
      <c r="G2616" s="4" t="s">
        <v>245</v>
      </c>
    </row>
    <row r="2617" spans="1:7" x14ac:dyDescent="0.25">
      <c r="A2617" t="s">
        <v>623</v>
      </c>
      <c r="B2617" t="s">
        <v>92</v>
      </c>
      <c r="C2617" s="4">
        <f>(0.0572052587068733/(0.0900940072589024+0.00396421732885982+0.0572052587068733+0.752028927432513)) * 0.0102745922953709%</f>
        <v>6.5068709023160433E-6</v>
      </c>
      <c r="D2617" t="s">
        <v>256</v>
      </c>
      <c r="E2617" t="s">
        <v>280</v>
      </c>
      <c r="F2617" t="s">
        <v>434</v>
      </c>
      <c r="G2617" s="4" t="s">
        <v>245</v>
      </c>
    </row>
    <row r="2618" spans="1:7" x14ac:dyDescent="0.25">
      <c r="A2618" t="s">
        <v>623</v>
      </c>
      <c r="B2618" t="s">
        <v>92</v>
      </c>
      <c r="C2618" s="4">
        <f>(0.752028927432513/(0.0900940072589024+0.00396421732885982+0.0572052587068733+0.752028927432513)) * 0.0102745922953709%</f>
        <v>8.5540302696378133E-5</v>
      </c>
      <c r="D2618" t="s">
        <v>256</v>
      </c>
      <c r="E2618" t="s">
        <v>362</v>
      </c>
      <c r="F2618" t="s">
        <v>434</v>
      </c>
      <c r="G2618" s="4" t="s">
        <v>245</v>
      </c>
    </row>
    <row r="2619" spans="1:7" x14ac:dyDescent="0.25">
      <c r="A2619" t="s">
        <v>623</v>
      </c>
      <c r="B2619" t="s">
        <v>93</v>
      </c>
      <c r="C2619" s="4">
        <f>(0.0900940072589024/(0.0900940072589024+0.00396421732885982+0.0572052587068733+0.752028927432513)) * 0.1549261738252%</f>
        <v>1.5452271782030635E-4</v>
      </c>
      <c r="D2619" t="s">
        <v>242</v>
      </c>
      <c r="E2619" t="s">
        <v>366</v>
      </c>
      <c r="F2619" t="s">
        <v>434</v>
      </c>
      <c r="G2619" s="4" t="s">
        <v>245</v>
      </c>
    </row>
    <row r="2620" spans="1:7" x14ac:dyDescent="0.25">
      <c r="A2620" t="s">
        <v>623</v>
      </c>
      <c r="B2620" t="s">
        <v>93</v>
      </c>
      <c r="C2620" s="4">
        <f>(0.00396421732885982/(0.0900940072589024+0.00396421732885982+0.0572052587068733+0.752028927432513))  * 0.1549261738252%</f>
        <v>6.7991385256675447E-6</v>
      </c>
      <c r="D2620" t="s">
        <v>256</v>
      </c>
      <c r="E2620" t="s">
        <v>361</v>
      </c>
      <c r="F2620" t="s">
        <v>434</v>
      </c>
      <c r="G2620" s="4" t="s">
        <v>245</v>
      </c>
    </row>
    <row r="2621" spans="1:7" x14ac:dyDescent="0.25">
      <c r="A2621" t="s">
        <v>623</v>
      </c>
      <c r="B2621" t="s">
        <v>93</v>
      </c>
      <c r="C2621" s="4">
        <f>(0.0572052587068733/(0.0900940072589024+0.00396421732885982+0.0572052587068733+0.752028927432513)) * 0.1549261738252%</f>
        <v>9.8114317677065619E-5</v>
      </c>
      <c r="D2621" t="s">
        <v>256</v>
      </c>
      <c r="E2621" t="s">
        <v>280</v>
      </c>
      <c r="F2621" t="s">
        <v>434</v>
      </c>
      <c r="G2621" s="4" t="s">
        <v>245</v>
      </c>
    </row>
    <row r="2622" spans="1:7" x14ac:dyDescent="0.25">
      <c r="A2622" t="s">
        <v>623</v>
      </c>
      <c r="B2622" t="s">
        <v>93</v>
      </c>
      <c r="C2622" s="4">
        <f>(0.752028927432513/(0.0900940072589024+0.00396421732885982+0.0572052587068733+0.752028927432513)) * 0.1549261738252%</f>
        <v>1.2898255642289605E-3</v>
      </c>
      <c r="D2622" t="s">
        <v>256</v>
      </c>
      <c r="E2622" t="s">
        <v>362</v>
      </c>
      <c r="F2622" t="s">
        <v>434</v>
      </c>
      <c r="G2622" s="4" t="s">
        <v>245</v>
      </c>
    </row>
    <row r="2623" spans="1:7" x14ac:dyDescent="0.25">
      <c r="A2623" t="s">
        <v>623</v>
      </c>
      <c r="B2623" t="s">
        <v>196</v>
      </c>
      <c r="C2623" s="4">
        <f>(0.0900940072589024/(0.0900940072589024+0.00396421732885982+0.0572052587068733+0.752028927432513)) * 0.24728301616939%</f>
        <v>2.466390461072731E-4</v>
      </c>
      <c r="D2623" t="s">
        <v>242</v>
      </c>
      <c r="E2623" t="s">
        <v>366</v>
      </c>
      <c r="F2623" t="s">
        <v>434</v>
      </c>
      <c r="G2623" s="4" t="s">
        <v>245</v>
      </c>
    </row>
    <row r="2624" spans="1:7" x14ac:dyDescent="0.25">
      <c r="A2624" t="s">
        <v>623</v>
      </c>
      <c r="B2624" t="s">
        <v>196</v>
      </c>
      <c r="C2624" s="4">
        <f>(0.00396421732885982/(0.0900940072589024+0.00396421732885982+0.0572052587068733+0.752028927432513))  * 0.24728301616939%</f>
        <v>1.0852339798164504E-5</v>
      </c>
      <c r="D2624" t="s">
        <v>256</v>
      </c>
      <c r="E2624" t="s">
        <v>361</v>
      </c>
      <c r="F2624" t="s">
        <v>434</v>
      </c>
      <c r="G2624" s="4" t="s">
        <v>245</v>
      </c>
    </row>
    <row r="2625" spans="1:7" x14ac:dyDescent="0.25">
      <c r="A2625" t="s">
        <v>623</v>
      </c>
      <c r="B2625" t="s">
        <v>196</v>
      </c>
      <c r="C2625" s="4">
        <f>(0.0572052587068733/(0.0900940072589024+0.00396421732885982+0.0572052587068733+0.752028927432513)) * 0.24728301616939%</f>
        <v>1.5660365066499869E-4</v>
      </c>
      <c r="D2625" t="s">
        <v>256</v>
      </c>
      <c r="E2625" t="s">
        <v>280</v>
      </c>
      <c r="F2625" t="s">
        <v>434</v>
      </c>
      <c r="G2625" s="4" t="s">
        <v>245</v>
      </c>
    </row>
    <row r="2626" spans="1:7" x14ac:dyDescent="0.25">
      <c r="A2626" t="s">
        <v>623</v>
      </c>
      <c r="B2626" t="s">
        <v>196</v>
      </c>
      <c r="C2626" s="4">
        <f>(0.752028927432513/(0.0900940072589024+0.00396421732885982+0.0572052587068733+0.752028927432513)) * 0.24728301616939%</f>
        <v>2.058735125123464E-3</v>
      </c>
      <c r="D2626" t="s">
        <v>256</v>
      </c>
      <c r="E2626" t="s">
        <v>362</v>
      </c>
      <c r="F2626" t="s">
        <v>434</v>
      </c>
      <c r="G2626" s="4" t="s">
        <v>245</v>
      </c>
    </row>
    <row r="2627" spans="1:7" x14ac:dyDescent="0.25">
      <c r="A2627" t="s">
        <v>623</v>
      </c>
      <c r="B2627" t="s">
        <v>197</v>
      </c>
      <c r="C2627" s="4">
        <f>(0.0900940072589024/(0.0900940072589024+0.00396421732885982+0.0572052587068733+0.752028927432513)) * 0.115945104556013%</f>
        <v>1.1564316236305648E-4</v>
      </c>
      <c r="D2627" t="s">
        <v>242</v>
      </c>
      <c r="E2627" t="s">
        <v>366</v>
      </c>
      <c r="F2627" t="s">
        <v>434</v>
      </c>
      <c r="G2627" s="4" t="s">
        <v>245</v>
      </c>
    </row>
    <row r="2628" spans="1:7" x14ac:dyDescent="0.25">
      <c r="A2628" t="s">
        <v>623</v>
      </c>
      <c r="B2628" t="s">
        <v>197</v>
      </c>
      <c r="C2628" s="4">
        <f>(0.00396421732885982/(0.0900940072589024+0.00396421732885982+0.0572052587068733+0.752028927432513))  * 0.115945104556013%</f>
        <v>5.0884031263741937E-6</v>
      </c>
      <c r="D2628" t="s">
        <v>256</v>
      </c>
      <c r="E2628" t="s">
        <v>361</v>
      </c>
      <c r="F2628" t="s">
        <v>434</v>
      </c>
      <c r="G2628" s="4" t="s">
        <v>245</v>
      </c>
    </row>
    <row r="2629" spans="1:7" x14ac:dyDescent="0.25">
      <c r="A2629" t="s">
        <v>623</v>
      </c>
      <c r="B2629" t="s">
        <v>197</v>
      </c>
      <c r="C2629" s="4">
        <f>(0.0572052587068733/(0.0900940072589024+0.00396421732885982+0.0572052587068733+0.752028927432513)) * 0.115945104556013%</f>
        <v>7.3427714250171906E-5</v>
      </c>
      <c r="D2629" t="s">
        <v>256</v>
      </c>
      <c r="E2629" t="s">
        <v>280</v>
      </c>
      <c r="F2629" t="s">
        <v>434</v>
      </c>
      <c r="G2629" s="4" t="s">
        <v>245</v>
      </c>
    </row>
    <row r="2630" spans="1:7" x14ac:dyDescent="0.25">
      <c r="A2630" t="s">
        <v>623</v>
      </c>
      <c r="B2630" t="s">
        <v>197</v>
      </c>
      <c r="C2630" s="4">
        <f>(0.752028927432513/(0.0900940072589024+0.00396421732885982+0.0572052587068733+0.752028927432513)) * 0.115945104556013%</f>
        <v>9.652917658205275E-4</v>
      </c>
      <c r="D2630" t="s">
        <v>256</v>
      </c>
      <c r="E2630" t="s">
        <v>362</v>
      </c>
      <c r="F2630" t="s">
        <v>434</v>
      </c>
      <c r="G2630" s="4" t="s">
        <v>245</v>
      </c>
    </row>
    <row r="2631" spans="1:7" x14ac:dyDescent="0.25">
      <c r="A2631" t="s">
        <v>623</v>
      </c>
      <c r="B2631" t="s">
        <v>97</v>
      </c>
      <c r="C2631" s="4">
        <f>(0.0900940072589024/(0.0900940072589024+0.00396421732885982+0.0572052587068733+0.752028927432513)) * 2.44815939779382%</f>
        <v>2.4417839443401567E-3</v>
      </c>
      <c r="D2631" t="s">
        <v>242</v>
      </c>
      <c r="E2631" t="s">
        <v>366</v>
      </c>
      <c r="F2631" t="s">
        <v>434</v>
      </c>
      <c r="G2631" s="4" t="s">
        <v>245</v>
      </c>
    </row>
    <row r="2632" spans="1:7" x14ac:dyDescent="0.25">
      <c r="A2632" t="s">
        <v>623</v>
      </c>
      <c r="B2632" t="s">
        <v>97</v>
      </c>
      <c r="C2632" s="4">
        <f>(0.00396421732885982/(0.0900940072589024+0.00396421732885982+0.0572052587068733+0.752028927432513))  * 2.44815939779382%</f>
        <v>1.0744068912006857E-4</v>
      </c>
      <c r="D2632" t="s">
        <v>256</v>
      </c>
      <c r="E2632" t="s">
        <v>361</v>
      </c>
      <c r="F2632" t="s">
        <v>434</v>
      </c>
      <c r="G2632" s="4" t="s">
        <v>245</v>
      </c>
    </row>
    <row r="2633" spans="1:7" x14ac:dyDescent="0.25">
      <c r="A2633" t="s">
        <v>623</v>
      </c>
      <c r="B2633" t="s">
        <v>97</v>
      </c>
      <c r="C2633" s="4">
        <f>(0.0572052587068733/(0.0900940072589024+0.00396421732885982+0.0572052587068733+0.752028927432513)) * 2.44815939779382%</f>
        <v>1.5504125800605431E-3</v>
      </c>
      <c r="D2633" t="s">
        <v>256</v>
      </c>
      <c r="E2633" t="s">
        <v>280</v>
      </c>
      <c r="F2633" t="s">
        <v>434</v>
      </c>
      <c r="G2633" s="4" t="s">
        <v>245</v>
      </c>
    </row>
    <row r="2634" spans="1:7" x14ac:dyDescent="0.25">
      <c r="A2634" t="s">
        <v>623</v>
      </c>
      <c r="B2634" t="s">
        <v>97</v>
      </c>
      <c r="C2634" s="4">
        <f>(0.752028927432513/(0.0900940072589024+0.00396421732885982+0.0572052587068733+0.752028927432513)) * 2.44815939779382%</f>
        <v>2.0381956764417435E-2</v>
      </c>
      <c r="D2634" t="s">
        <v>256</v>
      </c>
      <c r="E2634" t="s">
        <v>362</v>
      </c>
      <c r="F2634" t="s">
        <v>434</v>
      </c>
      <c r="G2634" s="4" t="s">
        <v>245</v>
      </c>
    </row>
    <row r="2635" spans="1:7" x14ac:dyDescent="0.25">
      <c r="A2635" t="s">
        <v>623</v>
      </c>
      <c r="B2635" t="s">
        <v>98</v>
      </c>
      <c r="C2635" s="4">
        <f>(0.0900940072589024/(0.0900940072589024+0.00396421732885982+0.0572052587068733+0.752028927432513)) * 1.34012608157698%</f>
        <v>1.3366361489104905E-3</v>
      </c>
      <c r="D2635" t="s">
        <v>242</v>
      </c>
      <c r="E2635" t="s">
        <v>366</v>
      </c>
      <c r="F2635" t="s">
        <v>434</v>
      </c>
      <c r="G2635" s="4" t="s">
        <v>245</v>
      </c>
    </row>
    <row r="2636" spans="1:7" x14ac:dyDescent="0.25">
      <c r="A2636" t="s">
        <v>623</v>
      </c>
      <c r="B2636" t="s">
        <v>98</v>
      </c>
      <c r="C2636" s="4">
        <f>(0.00396421732885982/(0.0900940072589024+0.00396421732885982+0.0572052587068733+0.752028927432513))  * 1.34012608157698%</f>
        <v>5.8813192409840814E-5</v>
      </c>
      <c r="D2636" t="s">
        <v>256</v>
      </c>
      <c r="E2636" t="s">
        <v>361</v>
      </c>
      <c r="F2636" t="s">
        <v>434</v>
      </c>
      <c r="G2636" s="4" t="s">
        <v>245</v>
      </c>
    </row>
    <row r="2637" spans="1:7" x14ac:dyDescent="0.25">
      <c r="A2637" t="s">
        <v>623</v>
      </c>
      <c r="B2637" t="s">
        <v>98</v>
      </c>
      <c r="C2637" s="4">
        <f>(0.0572052587068733/(0.0900940072589024+0.00396421732885982+0.0572052587068733+0.752028927432513)) *1.34012608157698%</f>
        <v>8.4869814343648225E-4</v>
      </c>
      <c r="D2637" t="s">
        <v>256</v>
      </c>
      <c r="E2637" t="s">
        <v>280</v>
      </c>
      <c r="F2637" t="s">
        <v>434</v>
      </c>
      <c r="G2637" s="4" t="s">
        <v>245</v>
      </c>
    </row>
    <row r="2638" spans="1:7" x14ac:dyDescent="0.25">
      <c r="A2638" t="s">
        <v>623</v>
      </c>
      <c r="B2638" t="s">
        <v>98</v>
      </c>
      <c r="C2638" s="4">
        <f>(0.752028927432513/(0.0900940072589024+0.00396421732885982+0.0572052587068733+0.752028927432513)) * 1.34012608157698%</f>
        <v>1.1157113331012988E-2</v>
      </c>
      <c r="D2638" t="s">
        <v>256</v>
      </c>
      <c r="E2638" t="s">
        <v>362</v>
      </c>
      <c r="F2638" t="s">
        <v>434</v>
      </c>
      <c r="G2638" s="4" t="s">
        <v>245</v>
      </c>
    </row>
    <row r="2639" spans="1:7" x14ac:dyDescent="0.25">
      <c r="A2639" t="s">
        <v>623</v>
      </c>
      <c r="B2639" t="s">
        <v>99</v>
      </c>
      <c r="C2639" s="4">
        <f>(0.0900940072589024/(0.0900940072589024+0.00396421732885982+0.0572052587068733+0.752028927432513)) * 0.183474862417338%</f>
        <v>1.8299706042196421E-4</v>
      </c>
      <c r="D2639" t="s">
        <v>242</v>
      </c>
      <c r="E2639" t="s">
        <v>366</v>
      </c>
      <c r="F2639" t="s">
        <v>434</v>
      </c>
      <c r="G2639" s="4" t="s">
        <v>245</v>
      </c>
    </row>
    <row r="2640" spans="1:7" x14ac:dyDescent="0.25">
      <c r="A2640" t="s">
        <v>623</v>
      </c>
      <c r="B2640" t="s">
        <v>99</v>
      </c>
      <c r="C2640" s="4">
        <f>(0.00396421732885982/(0.0900940072589024+0.00396421732885982+0.0572052587068733+0.752028927432513))  * 0.183474862417338%</f>
        <v>8.0520352033012236E-6</v>
      </c>
      <c r="D2640" t="s">
        <v>256</v>
      </c>
      <c r="E2640" t="s">
        <v>361</v>
      </c>
      <c r="F2640" t="s">
        <v>434</v>
      </c>
      <c r="G2640" s="4" t="s">
        <v>245</v>
      </c>
    </row>
    <row r="2641" spans="1:7" x14ac:dyDescent="0.25">
      <c r="A2641" t="s">
        <v>623</v>
      </c>
      <c r="B2641" t="s">
        <v>99</v>
      </c>
      <c r="C2641" s="4">
        <f>(0.0572052587068733/(0.0900940072589024+0.00396421732885982+0.0572052587068733+0.752028927432513)) * 0.183474862417338%</f>
        <v>1.1619412325564394E-4</v>
      </c>
      <c r="D2641" t="s">
        <v>256</v>
      </c>
      <c r="E2641" t="s">
        <v>280</v>
      </c>
      <c r="F2641" t="s">
        <v>434</v>
      </c>
      <c r="G2641" s="4" t="s">
        <v>245</v>
      </c>
    </row>
    <row r="2642" spans="1:7" x14ac:dyDescent="0.25">
      <c r="A2642" t="s">
        <v>623</v>
      </c>
      <c r="B2642" t="s">
        <v>99</v>
      </c>
      <c r="C2642" s="4">
        <f>(0.752028927432513/(0.0900940072589024+0.00396421732885982+0.0572052587068733+0.752028927432513)) * 0.183474862417338%</f>
        <v>1.5275054052924708E-3</v>
      </c>
      <c r="D2642" t="s">
        <v>256</v>
      </c>
      <c r="E2642" t="s">
        <v>362</v>
      </c>
      <c r="F2642" t="s">
        <v>434</v>
      </c>
      <c r="G2642" s="4" t="s">
        <v>245</v>
      </c>
    </row>
    <row r="2643" spans="1:7" x14ac:dyDescent="0.25">
      <c r="A2643" t="s">
        <v>623</v>
      </c>
      <c r="B2643" t="s">
        <v>118</v>
      </c>
      <c r="C2643" s="4">
        <f>(0.0900940072589024/(0.0900940072589024+0.00396421732885982+0.0572052587068733+0.752028927432513)) * 0.00465145471200435%</f>
        <v>4.6393414758176337E-6</v>
      </c>
      <c r="D2643" t="s">
        <v>242</v>
      </c>
      <c r="E2643" t="s">
        <v>366</v>
      </c>
      <c r="F2643" t="s">
        <v>434</v>
      </c>
      <c r="G2643" s="4" t="s">
        <v>245</v>
      </c>
    </row>
    <row r="2644" spans="1:7" x14ac:dyDescent="0.25">
      <c r="A2644" t="s">
        <v>623</v>
      </c>
      <c r="B2644" t="s">
        <v>118</v>
      </c>
      <c r="C2644" s="4">
        <f>(0.00396421732885982/(0.0900940072589024+0.00396421732885982+0.0572052587068733+0.752028927432513))  * 0.00465145471200435%</f>
        <v>2.0413519647409248E-7</v>
      </c>
      <c r="D2644" t="s">
        <v>256</v>
      </c>
      <c r="E2644" t="s">
        <v>361</v>
      </c>
      <c r="F2644" t="s">
        <v>434</v>
      </c>
      <c r="G2644" s="4" t="s">
        <v>245</v>
      </c>
    </row>
    <row r="2645" spans="1:7" x14ac:dyDescent="0.25">
      <c r="A2645" t="s">
        <v>623</v>
      </c>
      <c r="B2645" t="s">
        <v>118</v>
      </c>
      <c r="C2645" s="4">
        <f>(0.0572052587068733/(0.0900940072589024+0.00396421732885982+0.0572052587068733+0.752028927432513)) * 0.00465145471200435%</f>
        <v>2.9457534127770831E-6</v>
      </c>
      <c r="D2645" t="s">
        <v>256</v>
      </c>
      <c r="E2645" t="s">
        <v>280</v>
      </c>
      <c r="F2645" t="s">
        <v>434</v>
      </c>
      <c r="G2645" s="4" t="s">
        <v>245</v>
      </c>
    </row>
    <row r="2646" spans="1:7" x14ac:dyDescent="0.25">
      <c r="A2646" t="s">
        <v>623</v>
      </c>
      <c r="B2646" t="s">
        <v>118</v>
      </c>
      <c r="C2646" s="4">
        <f>(0.752028927432513/(0.0900940072589024+0.00396421732885982+0.0572052587068733+0.752028927432513)) * 0.00465145471200435%</f>
        <v>3.8725317034974695E-5</v>
      </c>
      <c r="D2646" t="s">
        <v>256</v>
      </c>
      <c r="E2646" t="s">
        <v>362</v>
      </c>
      <c r="F2646" t="s">
        <v>434</v>
      </c>
      <c r="G2646" s="4" t="s">
        <v>245</v>
      </c>
    </row>
    <row r="2647" spans="1:7" x14ac:dyDescent="0.25">
      <c r="A2647" t="s">
        <v>623</v>
      </c>
      <c r="B2647" t="s">
        <v>100</v>
      </c>
      <c r="C2647" s="4">
        <f>(0.0900940072589024/(0.0900940072589024+0.00396421732885982+0.0572052587068733+0.752028927432513)) * 0.000462356653291692%</f>
        <v>4.6115259226335001E-7</v>
      </c>
      <c r="D2647" t="s">
        <v>242</v>
      </c>
      <c r="E2647" t="s">
        <v>366</v>
      </c>
      <c r="F2647" t="s">
        <v>434</v>
      </c>
      <c r="G2647" s="4" t="s">
        <v>245</v>
      </c>
    </row>
    <row r="2648" spans="1:7" x14ac:dyDescent="0.25">
      <c r="A2648" t="s">
        <v>623</v>
      </c>
      <c r="B2648" t="s">
        <v>100</v>
      </c>
      <c r="C2648" s="4">
        <f>(0.00396421732885982/(0.0900940072589024+0.00396421732885982+0.0572052587068733+0.752028927432513))  * 0.000462356653291692%</f>
        <v>2.0291128712319094E-8</v>
      </c>
      <c r="D2648" t="s">
        <v>256</v>
      </c>
      <c r="E2648" t="s">
        <v>361</v>
      </c>
      <c r="F2648" t="s">
        <v>434</v>
      </c>
      <c r="G2648" s="4" t="s">
        <v>245</v>
      </c>
    </row>
    <row r="2649" spans="1:7" x14ac:dyDescent="0.25">
      <c r="A2649" t="s">
        <v>623</v>
      </c>
      <c r="B2649" t="s">
        <v>100</v>
      </c>
      <c r="C2649" s="4">
        <f>(0.0572052587068733/(0.0900940072589024+0.00396421732885982+0.0572052587068733+0.752028927432513)) * 0.000462356653291692%</f>
        <v>2.9280919060422287E-7</v>
      </c>
      <c r="D2649" t="s">
        <v>256</v>
      </c>
      <c r="E2649" t="s">
        <v>280</v>
      </c>
      <c r="F2649" t="s">
        <v>434</v>
      </c>
      <c r="G2649" s="4" t="s">
        <v>245</v>
      </c>
    </row>
    <row r="2650" spans="1:7" x14ac:dyDescent="0.25">
      <c r="A2650" t="s">
        <v>623</v>
      </c>
      <c r="B2650" t="s">
        <v>100</v>
      </c>
      <c r="C2650" s="4">
        <f>(0.752028927432513/(0.0900940072589024+0.00396421732885982+0.0572052587068733+0.752028927432513)) * 0.000462356653291692%</f>
        <v>3.8493136213370284E-6</v>
      </c>
      <c r="D2650" t="s">
        <v>256</v>
      </c>
      <c r="E2650" t="s">
        <v>362</v>
      </c>
      <c r="F2650" t="s">
        <v>434</v>
      </c>
      <c r="G2650" s="4" t="s">
        <v>245</v>
      </c>
    </row>
    <row r="2651" spans="1:7" x14ac:dyDescent="0.25">
      <c r="A2651" t="s">
        <v>623</v>
      </c>
      <c r="B2651" t="s">
        <v>119</v>
      </c>
      <c r="C2651" s="4">
        <f>(0.0900940072589024/(0.0900940072589024+0.00396421732885982+0.0572052587068733+0.752028927432513)) * 0.0132116578929477%</f>
        <v>1.3177252326864822E-5</v>
      </c>
      <c r="D2651" t="s">
        <v>242</v>
      </c>
      <c r="E2651" t="s">
        <v>366</v>
      </c>
      <c r="F2651" t="s">
        <v>434</v>
      </c>
      <c r="G2651" s="4" t="s">
        <v>245</v>
      </c>
    </row>
    <row r="2652" spans="1:7" x14ac:dyDescent="0.25">
      <c r="A2652" t="s">
        <v>623</v>
      </c>
      <c r="B2652" t="s">
        <v>119</v>
      </c>
      <c r="C2652" s="4">
        <f>(0.00396421732885982/(0.0900940072589024+0.00396421732885982+0.0572052587068733+0.752028927432513))  * 0.0132116578929477%</f>
        <v>5.7981095091931562E-7</v>
      </c>
      <c r="D2652" t="s">
        <v>256</v>
      </c>
      <c r="E2652" t="s">
        <v>361</v>
      </c>
      <c r="F2652" t="s">
        <v>434</v>
      </c>
      <c r="G2652" s="4" t="s">
        <v>245</v>
      </c>
    </row>
    <row r="2653" spans="1:7" x14ac:dyDescent="0.25">
      <c r="A2653" t="s">
        <v>623</v>
      </c>
      <c r="B2653" t="s">
        <v>119</v>
      </c>
      <c r="C2653" s="4">
        <f>(0.0572052587068733/(0.0900940072589024+0.00396421732885982+0.0572052587068733+0.752028927432513)) * 0.0132116578929477%</f>
        <v>8.3669064273924244E-6</v>
      </c>
      <c r="D2653" t="s">
        <v>256</v>
      </c>
      <c r="E2653" t="s">
        <v>280</v>
      </c>
      <c r="F2653" t="s">
        <v>434</v>
      </c>
      <c r="G2653" s="4" t="s">
        <v>245</v>
      </c>
    </row>
    <row r="2654" spans="1:7" x14ac:dyDescent="0.25">
      <c r="A2654" t="s">
        <v>623</v>
      </c>
      <c r="B2654" t="s">
        <v>119</v>
      </c>
      <c r="C2654" s="4">
        <f>(0.752028927432513/(0.0900940072589024+0.00396421732885982+0.0572052587068733+0.752028927432513)) * 0.0132116578929477%</f>
        <v>1.0999260922430044E-4</v>
      </c>
      <c r="D2654" t="s">
        <v>256</v>
      </c>
      <c r="E2654" t="s">
        <v>362</v>
      </c>
      <c r="F2654" t="s">
        <v>434</v>
      </c>
      <c r="G2654" s="4" t="s">
        <v>245</v>
      </c>
    </row>
    <row r="2655" spans="1:7" x14ac:dyDescent="0.25">
      <c r="A2655" t="s">
        <v>623</v>
      </c>
      <c r="B2655" t="s">
        <v>102</v>
      </c>
      <c r="C2655" s="4">
        <f>(0.0900940072589024/(0.0900940072589024+0.00396421732885982+0.0572052587068733+0.752028927432513)) * 3.73705049099047%</f>
        <v>3.7273185301219211E-3</v>
      </c>
      <c r="D2655" t="s">
        <v>242</v>
      </c>
      <c r="E2655" t="s">
        <v>366</v>
      </c>
      <c r="F2655" t="s">
        <v>434</v>
      </c>
      <c r="G2655" s="4" t="s">
        <v>245</v>
      </c>
    </row>
    <row r="2656" spans="1:7" x14ac:dyDescent="0.25">
      <c r="A2656" t="s">
        <v>623</v>
      </c>
      <c r="B2656" t="s">
        <v>102</v>
      </c>
      <c r="C2656" s="4">
        <f>(0.00396421732885982/(0.0900940072589024+0.00396421732885982+0.0572052587068733+0.752028927432513))  * 3.73705049099047%</f>
        <v>1.6400536680345732E-4</v>
      </c>
      <c r="D2656" t="s">
        <v>256</v>
      </c>
      <c r="E2656" t="s">
        <v>361</v>
      </c>
      <c r="F2656" t="s">
        <v>434</v>
      </c>
      <c r="G2656" s="4" t="s">
        <v>245</v>
      </c>
    </row>
    <row r="2657" spans="1:7" x14ac:dyDescent="0.25">
      <c r="A2657" t="s">
        <v>623</v>
      </c>
      <c r="B2657" t="s">
        <v>102</v>
      </c>
      <c r="C2657" s="4">
        <f>(0.0572052587068733/(0.0900940072589024+0.00396421732885982+0.0572052587068733+0.752028927432513)) * 3.73705049099047%</f>
        <v>2.3666637469661246E-3</v>
      </c>
      <c r="D2657" t="s">
        <v>256</v>
      </c>
      <c r="E2657" t="s">
        <v>280</v>
      </c>
      <c r="F2657" t="s">
        <v>434</v>
      </c>
      <c r="G2657" s="4" t="s">
        <v>245</v>
      </c>
    </row>
    <row r="2658" spans="1:7" x14ac:dyDescent="0.25">
      <c r="A2658" t="s">
        <v>623</v>
      </c>
      <c r="B2658" t="s">
        <v>102</v>
      </c>
      <c r="C2658" s="4">
        <f>(0.752028927432513/(0.0900940072589024+0.00396421732885982+0.0572052587068733+0.752028927432513)) * 3.73705049099047%</f>
        <v>3.1112517266013197E-2</v>
      </c>
      <c r="D2658" t="s">
        <v>256</v>
      </c>
      <c r="E2658" t="s">
        <v>362</v>
      </c>
      <c r="F2658" t="s">
        <v>434</v>
      </c>
      <c r="G2658" s="4" t="s">
        <v>245</v>
      </c>
    </row>
    <row r="2659" spans="1:7" x14ac:dyDescent="0.25">
      <c r="A2659" t="s">
        <v>623</v>
      </c>
      <c r="B2659" t="s">
        <v>148</v>
      </c>
      <c r="C2659" s="4">
        <f>(0.0900940072589024/(0.0900940072589024+0.00396421732885982+0.0572052587068733+0.752028927432513)) * 0.0271087778718865%</f>
        <v>2.7038181671466029E-5</v>
      </c>
      <c r="D2659" t="s">
        <v>242</v>
      </c>
      <c r="E2659" t="s">
        <v>366</v>
      </c>
      <c r="F2659" t="s">
        <v>434</v>
      </c>
      <c r="G2659" s="4" t="s">
        <v>245</v>
      </c>
    </row>
    <row r="2660" spans="1:7" x14ac:dyDescent="0.25">
      <c r="A2660" t="s">
        <v>623</v>
      </c>
      <c r="B2660" t="s">
        <v>148</v>
      </c>
      <c r="C2660" s="4">
        <f>(0.00396421732885982/(0.0900940072589024+0.00396421732885982+0.0572052587068733+0.752028927432513))  * 0.0271087778718865%</f>
        <v>1.1897043053581614E-6</v>
      </c>
      <c r="D2660" t="s">
        <v>256</v>
      </c>
      <c r="E2660" t="s">
        <v>361</v>
      </c>
      <c r="F2660" t="s">
        <v>434</v>
      </c>
      <c r="G2660" s="4" t="s">
        <v>245</v>
      </c>
    </row>
    <row r="2661" spans="1:7" x14ac:dyDescent="0.25">
      <c r="A2661" t="s">
        <v>623</v>
      </c>
      <c r="B2661" t="s">
        <v>148</v>
      </c>
      <c r="C2661" s="4">
        <f>(0.0572052587068733/(0.0900940072589024+0.00396421732885982+0.0572052587068733+0.752028927432513)) * 0.0271087778718865%</f>
        <v>1.7167914099267888E-5</v>
      </c>
      <c r="D2661" t="s">
        <v>256</v>
      </c>
      <c r="E2661" t="s">
        <v>280</v>
      </c>
      <c r="F2661" t="s">
        <v>434</v>
      </c>
      <c r="G2661" s="4" t="s">
        <v>245</v>
      </c>
    </row>
    <row r="2662" spans="1:7" x14ac:dyDescent="0.25">
      <c r="A2662" t="s">
        <v>623</v>
      </c>
      <c r="B2662" t="s">
        <v>148</v>
      </c>
      <c r="C2662" s="4">
        <f>(0.752028927432513/(0.0900940072589024+0.00396421732885982+0.0572052587068733+0.752028927432513)) * 0.0271087778718865%</f>
        <v>2.2569197864277292E-4</v>
      </c>
      <c r="D2662" t="s">
        <v>256</v>
      </c>
      <c r="E2662" t="s">
        <v>362</v>
      </c>
      <c r="F2662" t="s">
        <v>434</v>
      </c>
      <c r="G2662" s="4" t="s">
        <v>245</v>
      </c>
    </row>
    <row r="2663" spans="1:7" x14ac:dyDescent="0.25">
      <c r="A2663" t="s">
        <v>623</v>
      </c>
      <c r="B2663" t="s">
        <v>149</v>
      </c>
      <c r="C2663" s="4">
        <f>(0.0900940072589024/(0.0900940072589024+0.00396421732885982+0.0572052587068733+0.752028927432513)) * 0.183474862417338%</f>
        <v>1.8299706042196421E-4</v>
      </c>
      <c r="D2663" t="s">
        <v>242</v>
      </c>
      <c r="E2663" t="s">
        <v>366</v>
      </c>
      <c r="F2663" t="s">
        <v>434</v>
      </c>
      <c r="G2663" s="4" t="s">
        <v>245</v>
      </c>
    </row>
    <row r="2664" spans="1:7" x14ac:dyDescent="0.25">
      <c r="A2664" t="s">
        <v>623</v>
      </c>
      <c r="B2664" t="s">
        <v>149</v>
      </c>
      <c r="C2664" s="4">
        <f>(0.00396421732885982/(0.0900940072589024+0.00396421732885982+0.0572052587068733+0.752028927432513))  * 0.183474862417338%</f>
        <v>8.0520352033012236E-6</v>
      </c>
      <c r="D2664" t="s">
        <v>256</v>
      </c>
      <c r="E2664" t="s">
        <v>361</v>
      </c>
      <c r="F2664" t="s">
        <v>434</v>
      </c>
      <c r="G2664" s="4" t="s">
        <v>245</v>
      </c>
    </row>
    <row r="2665" spans="1:7" x14ac:dyDescent="0.25">
      <c r="A2665" t="s">
        <v>623</v>
      </c>
      <c r="B2665" t="s">
        <v>149</v>
      </c>
      <c r="C2665" s="4">
        <f>(0.0572052587068733/(0.0900940072589024+0.00396421732885982+0.0572052587068733+0.752028927432513)) * 0.183474862417338%</f>
        <v>1.1619412325564394E-4</v>
      </c>
      <c r="D2665" t="s">
        <v>256</v>
      </c>
      <c r="E2665" t="s">
        <v>280</v>
      </c>
      <c r="F2665" t="s">
        <v>434</v>
      </c>
      <c r="G2665" s="4" t="s">
        <v>245</v>
      </c>
    </row>
    <row r="2666" spans="1:7" x14ac:dyDescent="0.25">
      <c r="A2666" t="s">
        <v>623</v>
      </c>
      <c r="B2666" t="s">
        <v>149</v>
      </c>
      <c r="C2666" s="4">
        <f>(0.752028927432513/(0.0900940072589024+0.00396421732885982+0.0572052587068733+0.752028927432513)) * 0.183474862417338%</f>
        <v>1.5275054052924708E-3</v>
      </c>
      <c r="D2666" t="s">
        <v>256</v>
      </c>
      <c r="E2666" t="s">
        <v>362</v>
      </c>
      <c r="F2666" t="s">
        <v>434</v>
      </c>
      <c r="G2666" s="4" t="s">
        <v>245</v>
      </c>
    </row>
    <row r="2667" spans="1:7" x14ac:dyDescent="0.25">
      <c r="A2667" t="s">
        <v>623</v>
      </c>
      <c r="B2667" t="s">
        <v>170</v>
      </c>
      <c r="C2667" s="4">
        <f>(0.0900940072589024/(0.0900940072589024+0.00396421732885982+0.0572052587068733+0.752028927432513)) * 0.0495382128526813%</f>
        <v>4.9409206313930364E-5</v>
      </c>
      <c r="D2667" t="s">
        <v>242</v>
      </c>
      <c r="E2667" t="s">
        <v>366</v>
      </c>
      <c r="F2667" t="s">
        <v>434</v>
      </c>
      <c r="G2667" s="4" t="s">
        <v>245</v>
      </c>
    </row>
    <row r="2668" spans="1:7" x14ac:dyDescent="0.25">
      <c r="A2668" t="s">
        <v>623</v>
      </c>
      <c r="B2668" t="s">
        <v>170</v>
      </c>
      <c r="C2668" s="4">
        <f>(0.00396421732885982/(0.0900940072589024+0.00396421732885982+0.0572052587068733+0.752028927432513))  * 0.0495382128526813%</f>
        <v>2.1740495048913318E-6</v>
      </c>
      <c r="D2668" t="s">
        <v>256</v>
      </c>
      <c r="E2668" t="s">
        <v>361</v>
      </c>
      <c r="F2668" t="s">
        <v>434</v>
      </c>
      <c r="G2668" s="4" t="s">
        <v>245</v>
      </c>
    </row>
    <row r="2669" spans="1:7" x14ac:dyDescent="0.25">
      <c r="A2669" t="s">
        <v>623</v>
      </c>
      <c r="B2669" t="s">
        <v>170</v>
      </c>
      <c r="C2669" s="4">
        <f>(0.0572052587068733/(0.0900940072589024+0.00396421732885982+0.0572052587068733+0.752028927432513)) * 0.0495382128526813%</f>
        <v>3.1372413279023888E-5</v>
      </c>
      <c r="D2669" t="s">
        <v>256</v>
      </c>
      <c r="E2669" t="s">
        <v>280</v>
      </c>
      <c r="F2669" t="s">
        <v>434</v>
      </c>
      <c r="G2669" s="4" t="s">
        <v>245</v>
      </c>
    </row>
    <row r="2670" spans="1:7" x14ac:dyDescent="0.25">
      <c r="A2670" t="s">
        <v>623</v>
      </c>
      <c r="B2670" t="s">
        <v>170</v>
      </c>
      <c r="C2670" s="4">
        <f>(0.752028927432513/(0.0900940072589024+0.00396421732885982+0.0572052587068733+0.752028927432513)) * 0.0495382128526813%</f>
        <v>4.1242645942896739E-4</v>
      </c>
      <c r="D2670" t="s">
        <v>256</v>
      </c>
      <c r="E2670" t="s">
        <v>362</v>
      </c>
      <c r="F2670" t="s">
        <v>434</v>
      </c>
      <c r="G2670" s="4" t="s">
        <v>245</v>
      </c>
    </row>
    <row r="2671" spans="1:7" x14ac:dyDescent="0.25">
      <c r="A2671" t="s">
        <v>623</v>
      </c>
      <c r="B2671" t="s">
        <v>171</v>
      </c>
      <c r="C2671" s="4">
        <f>(0.0900940072589024/(0.0900940072589024+0.00396421732885982+0.0572052587068733+0.752028927432513)) * 0.122134812514524%</f>
        <v>1.2181675119345155E-4</v>
      </c>
      <c r="D2671" t="s">
        <v>242</v>
      </c>
      <c r="E2671" t="s">
        <v>366</v>
      </c>
      <c r="F2671" t="s">
        <v>434</v>
      </c>
      <c r="G2671" s="4" t="s">
        <v>245</v>
      </c>
    </row>
    <row r="2672" spans="1:7" x14ac:dyDescent="0.25">
      <c r="A2672" t="s">
        <v>623</v>
      </c>
      <c r="B2672" t="s">
        <v>171</v>
      </c>
      <c r="C2672" s="4">
        <f>(0.00396421732885982/(0.0900940072589024+0.00396421732885982+0.0572052587068733+0.752028927432513))  * 0.122134812514524%</f>
        <v>5.36004658599275E-6</v>
      </c>
      <c r="D2672" t="s">
        <v>256</v>
      </c>
      <c r="E2672" t="s">
        <v>361</v>
      </c>
      <c r="F2672" t="s">
        <v>434</v>
      </c>
      <c r="G2672" s="4" t="s">
        <v>245</v>
      </c>
    </row>
    <row r="2673" spans="1:7" x14ac:dyDescent="0.25">
      <c r="A2673" t="s">
        <v>623</v>
      </c>
      <c r="B2673" t="s">
        <v>171</v>
      </c>
      <c r="C2673" s="4">
        <f>(0.0572052587068733/(0.0900940072589024+0.00396421732885982+0.0572052587068733+0.752028927432513)) * 0.122134812514524%</f>
        <v>7.73476391923241E-5</v>
      </c>
      <c r="D2673" t="s">
        <v>256</v>
      </c>
      <c r="E2673" t="s">
        <v>280</v>
      </c>
      <c r="F2673" t="s">
        <v>434</v>
      </c>
      <c r="G2673" s="4" t="s">
        <v>245</v>
      </c>
    </row>
    <row r="2674" spans="1:7" x14ac:dyDescent="0.25">
      <c r="A2674" t="s">
        <v>623</v>
      </c>
      <c r="B2674" t="s">
        <v>171</v>
      </c>
      <c r="C2674" s="4">
        <f>(0.752028927432513/(0.0900940072589024+0.00396421732885982+0.0572052587068733+0.752028927432513)) * 0.122134812514524%</f>
        <v>1.0168236881734716E-3</v>
      </c>
      <c r="D2674" t="s">
        <v>256</v>
      </c>
      <c r="E2674" t="s">
        <v>362</v>
      </c>
      <c r="F2674" t="s">
        <v>434</v>
      </c>
      <c r="G2674" s="4" t="s">
        <v>245</v>
      </c>
    </row>
    <row r="2675" spans="1:7" x14ac:dyDescent="0.25">
      <c r="A2675" t="s">
        <v>623</v>
      </c>
      <c r="B2675" t="s">
        <v>103</v>
      </c>
      <c r="C2675" s="4">
        <f>(0.0900940072589024/(0.0900940072589024+0.00396421732885982+0.0572052587068733+0.752028927432513)) * 0.00346840879913736%</f>
        <v>3.4593764302168139E-6</v>
      </c>
      <c r="D2675" t="s">
        <v>242</v>
      </c>
      <c r="E2675" t="s">
        <v>366</v>
      </c>
      <c r="F2675" t="s">
        <v>434</v>
      </c>
      <c r="G2675" s="4" t="s">
        <v>245</v>
      </c>
    </row>
    <row r="2676" spans="1:7" x14ac:dyDescent="0.25">
      <c r="A2676" t="s">
        <v>623</v>
      </c>
      <c r="B2676" t="s">
        <v>103</v>
      </c>
      <c r="C2676" s="4">
        <f>(0.00396421732885982/(0.0900940072589024+0.00396421732885982+0.0572052587068733+0.752028927432513))  * 0.00346840879913736%</f>
        <v>1.5221567348320646E-7</v>
      </c>
      <c r="D2676" t="s">
        <v>256</v>
      </c>
      <c r="E2676" t="s">
        <v>361</v>
      </c>
      <c r="F2676" t="s">
        <v>434</v>
      </c>
      <c r="G2676" s="4" t="s">
        <v>245</v>
      </c>
    </row>
    <row r="2677" spans="1:7" x14ac:dyDescent="0.25">
      <c r="A2677" t="s">
        <v>623</v>
      </c>
      <c r="B2677" t="s">
        <v>103</v>
      </c>
      <c r="C2677" s="4">
        <f>(0.0572052587068733/(0.0900940072589024+0.00396421732885982+0.0572052587068733+0.752028927432513)) * 0.00346840879913736%</f>
        <v>2.1965337060246945E-6</v>
      </c>
      <c r="D2677" t="s">
        <v>256</v>
      </c>
      <c r="E2677" t="s">
        <v>280</v>
      </c>
      <c r="F2677" t="s">
        <v>434</v>
      </c>
      <c r="G2677" s="4" t="s">
        <v>245</v>
      </c>
    </row>
    <row r="2678" spans="1:7" x14ac:dyDescent="0.25">
      <c r="A2678" t="s">
        <v>623</v>
      </c>
      <c r="B2678" t="s">
        <v>103</v>
      </c>
      <c r="C2678" s="4">
        <f>(0.752028927432513/(0.0900940072589024+0.00396421732885982+0.0572052587068733+0.752028927432513)) * 0.00346840879913736%</f>
        <v>2.8875962181648887E-5</v>
      </c>
      <c r="D2678" t="s">
        <v>256</v>
      </c>
      <c r="E2678" t="s">
        <v>362</v>
      </c>
      <c r="F2678" t="s">
        <v>434</v>
      </c>
      <c r="G2678" s="4" t="s">
        <v>245</v>
      </c>
    </row>
    <row r="2679" spans="1:7" x14ac:dyDescent="0.25">
      <c r="A2679" t="s">
        <v>623</v>
      </c>
      <c r="B2679" t="s">
        <v>200</v>
      </c>
      <c r="C2679" s="4">
        <f>(0.0900940072589024/(0.0900940072589024+0.00396421732885982+0.0572052587068733+0.752028927432513)) * 0.00968747273563544%</f>
        <v>9.6622447902797043E-6</v>
      </c>
      <c r="D2679" t="s">
        <v>242</v>
      </c>
      <c r="E2679" t="s">
        <v>366</v>
      </c>
      <c r="F2679" t="s">
        <v>434</v>
      </c>
      <c r="G2679" s="4" t="s">
        <v>245</v>
      </c>
    </row>
    <row r="2680" spans="1:7" x14ac:dyDescent="0.25">
      <c r="A2680" t="s">
        <v>623</v>
      </c>
      <c r="B2680" t="s">
        <v>200</v>
      </c>
      <c r="C2680" s="4">
        <f>(0.00396421732885982/(0.0900940072589024+0.00396421732885982+0.0572052587068733+0.752028927432513))  * 0.00968747273563544%</f>
        <v>4.2514745873430436E-7</v>
      </c>
      <c r="D2680" t="s">
        <v>256</v>
      </c>
      <c r="E2680" t="s">
        <v>361</v>
      </c>
      <c r="F2680" t="s">
        <v>434</v>
      </c>
      <c r="G2680" s="4" t="s">
        <v>245</v>
      </c>
    </row>
    <row r="2681" spans="1:7" x14ac:dyDescent="0.25">
      <c r="A2681" t="s">
        <v>623</v>
      </c>
      <c r="B2681" t="s">
        <v>200</v>
      </c>
      <c r="C2681" s="4">
        <f>(0.0572052587068733/(0.0900940072589024+0.00396421732885982+0.0572052587068733+0.752028927432513)) * 0.00968747273563544%</f>
        <v>6.1350497078979961E-6</v>
      </c>
      <c r="D2681" t="s">
        <v>256</v>
      </c>
      <c r="E2681" t="s">
        <v>280</v>
      </c>
      <c r="F2681" t="s">
        <v>434</v>
      </c>
      <c r="G2681" s="4" t="s">
        <v>245</v>
      </c>
    </row>
    <row r="2682" spans="1:7" x14ac:dyDescent="0.25">
      <c r="A2682" t="s">
        <v>623</v>
      </c>
      <c r="B2682" t="s">
        <v>200</v>
      </c>
      <c r="C2682" s="4">
        <f>(0.752028927432513/(0.0900940072589024+0.00396421732885982+0.0572052587068733+0.752028927432513)) * 0.00968747273563544%</f>
        <v>8.0652285399442414E-5</v>
      </c>
      <c r="D2682" t="s">
        <v>256</v>
      </c>
      <c r="E2682" t="s">
        <v>362</v>
      </c>
      <c r="F2682" t="s">
        <v>434</v>
      </c>
      <c r="G2682" s="4" t="s">
        <v>245</v>
      </c>
    </row>
    <row r="2683" spans="1:7" x14ac:dyDescent="0.25">
      <c r="A2683" t="s">
        <v>623</v>
      </c>
      <c r="B2683" t="s">
        <v>150</v>
      </c>
      <c r="C2683" s="4">
        <f>(0.0900940072589024/(0.0900940072589024+0.00396421732885982+0.0572052587068733+0.752028927432513)) * 25.0009709489719%</f>
        <v>2.4935863862102805E-2</v>
      </c>
      <c r="D2683" t="s">
        <v>242</v>
      </c>
      <c r="E2683" t="s">
        <v>366</v>
      </c>
      <c r="F2683" t="s">
        <v>434</v>
      </c>
      <c r="G2683" s="4" t="s">
        <v>245</v>
      </c>
    </row>
    <row r="2684" spans="1:7" x14ac:dyDescent="0.25">
      <c r="A2684" t="s">
        <v>623</v>
      </c>
      <c r="B2684" t="s">
        <v>150</v>
      </c>
      <c r="C2684" s="4">
        <f>(0.00396421732885982/(0.0900940072589024+0.00396421732885982+0.0572052587068733+0.752028927432513))  * 25.0009709489719%</f>
        <v>1.0972004314134844E-3</v>
      </c>
      <c r="D2684" t="s">
        <v>256</v>
      </c>
      <c r="E2684" t="s">
        <v>361</v>
      </c>
      <c r="F2684" t="s">
        <v>434</v>
      </c>
      <c r="G2684" s="4" t="s">
        <v>245</v>
      </c>
    </row>
    <row r="2685" spans="1:7" x14ac:dyDescent="0.25">
      <c r="A2685" t="s">
        <v>623</v>
      </c>
      <c r="B2685" t="s">
        <v>150</v>
      </c>
      <c r="C2685" s="4">
        <f>(0.0572052587068733/(0.0900940072589024+0.00396421732885982+0.0572052587068733+0.752028927432513)) * 25.0009709489719%</f>
        <v>1.583304580083501E-2</v>
      </c>
      <c r="D2685" t="s">
        <v>256</v>
      </c>
      <c r="E2685" t="s">
        <v>280</v>
      </c>
      <c r="F2685" t="s">
        <v>434</v>
      </c>
      <c r="G2685" s="4" t="s">
        <v>245</v>
      </c>
    </row>
    <row r="2686" spans="1:7" x14ac:dyDescent="0.25">
      <c r="A2686" t="s">
        <v>623</v>
      </c>
      <c r="B2686" t="s">
        <v>150</v>
      </c>
      <c r="C2686" s="4">
        <f>(0.752028927432513/(0.0900940072589024+0.00396421732885982+0.0572052587068733+0.752028927432513)) * 25.0009709489719%</f>
        <v>0.20814359939536772</v>
      </c>
      <c r="D2686" t="s">
        <v>256</v>
      </c>
      <c r="E2686" t="s">
        <v>362</v>
      </c>
      <c r="F2686" t="s">
        <v>434</v>
      </c>
      <c r="G2686" s="4" t="s">
        <v>245</v>
      </c>
    </row>
    <row r="2687" spans="1:7" x14ac:dyDescent="0.25">
      <c r="A2687" t="s">
        <v>623</v>
      </c>
      <c r="B2687" t="s">
        <v>173</v>
      </c>
      <c r="C2687" s="4">
        <f>(0.0900940072589024/(0.0900940072589024+0.00396421732885982+0.0572052587068733+0.752028927432513)) * 0.265465375034948%</f>
        <v>2.6477405479508954E-4</v>
      </c>
      <c r="D2687" t="s">
        <v>242</v>
      </c>
      <c r="E2687" t="s">
        <v>366</v>
      </c>
      <c r="F2687" t="s">
        <v>434</v>
      </c>
      <c r="G2687" s="4" t="s">
        <v>245</v>
      </c>
    </row>
    <row r="2688" spans="1:7" x14ac:dyDescent="0.25">
      <c r="A2688" t="s">
        <v>623</v>
      </c>
      <c r="B2688" t="s">
        <v>173</v>
      </c>
      <c r="C2688" s="4">
        <f>(0.00396421732885982/(0.0900940072589024+0.00396421732885982+0.0572052587068733+0.752028927432513))  * 0.265465375034948%</f>
        <v>1.1650296486811646E-5</v>
      </c>
      <c r="D2688" t="s">
        <v>256</v>
      </c>
      <c r="E2688" t="s">
        <v>361</v>
      </c>
      <c r="F2688" t="s">
        <v>434</v>
      </c>
      <c r="G2688" s="4" t="s">
        <v>245</v>
      </c>
    </row>
    <row r="2689" spans="1:7" x14ac:dyDescent="0.25">
      <c r="A2689" t="s">
        <v>623</v>
      </c>
      <c r="B2689" t="s">
        <v>173</v>
      </c>
      <c r="C2689" s="4">
        <f>(0.0572052587068733/(0.0900940072589024+0.00396421732885982+0.0572052587068733+0.752028927432513)) * 0.265465375034948%</f>
        <v>1.6811848827963285E-4</v>
      </c>
      <c r="D2689" t="s">
        <v>256</v>
      </c>
      <c r="E2689" t="s">
        <v>280</v>
      </c>
      <c r="F2689" t="s">
        <v>434</v>
      </c>
      <c r="G2689" s="4" t="s">
        <v>245</v>
      </c>
    </row>
    <row r="2690" spans="1:7" x14ac:dyDescent="0.25">
      <c r="A2690" t="s">
        <v>623</v>
      </c>
      <c r="B2690" t="s">
        <v>173</v>
      </c>
      <c r="C2690" s="4">
        <f>(0.752028927432513/(0.0900940072589024+0.00396421732885982+0.0572052587068733+0.752028927432513)) * 0.265465375034948%</f>
        <v>2.2101109107879459E-3</v>
      </c>
      <c r="D2690" t="s">
        <v>256</v>
      </c>
      <c r="E2690" t="s">
        <v>362</v>
      </c>
      <c r="F2690" t="s">
        <v>434</v>
      </c>
      <c r="G2690" s="4" t="s">
        <v>245</v>
      </c>
    </row>
    <row r="2691" spans="1:7" x14ac:dyDescent="0.25">
      <c r="A2691" t="s">
        <v>623</v>
      </c>
      <c r="B2691" t="s">
        <v>161</v>
      </c>
      <c r="C2691" s="4">
        <f>(0.0900940072589024/(0.0900940072589024+0.00396421732885982+0.0572052587068733+0.752028927432513)) * 0.766129377901031%</f>
        <v>7.6413423730982042E-4</v>
      </c>
      <c r="D2691" t="s">
        <v>242</v>
      </c>
      <c r="E2691" t="s">
        <v>366</v>
      </c>
      <c r="F2691" t="s">
        <v>434</v>
      </c>
      <c r="G2691" s="4" t="s">
        <v>245</v>
      </c>
    </row>
    <row r="2692" spans="1:7" x14ac:dyDescent="0.25">
      <c r="A2692" t="s">
        <v>623</v>
      </c>
      <c r="B2692" t="s">
        <v>161</v>
      </c>
      <c r="C2692" s="4">
        <f>(0.00396421732885982/(0.0900940072589024+0.00396421732885982+0.0572052587068733+0.752028927432513))  * 0.766129377901031%</f>
        <v>3.3622593525157588E-5</v>
      </c>
      <c r="D2692" t="s">
        <v>256</v>
      </c>
      <c r="E2692" t="s">
        <v>361</v>
      </c>
      <c r="F2692" t="s">
        <v>434</v>
      </c>
      <c r="G2692" s="4" t="s">
        <v>245</v>
      </c>
    </row>
    <row r="2693" spans="1:7" x14ac:dyDescent="0.25">
      <c r="A2693" t="s">
        <v>623</v>
      </c>
      <c r="B2693" t="s">
        <v>161</v>
      </c>
      <c r="C2693" s="4">
        <f>(0.0572052587068733/(0.0900940072589024+0.00396421732885982+0.0572052587068733+0.752028927432513)) * 0.766129377901031%</f>
        <v>4.8518761749015502E-4</v>
      </c>
      <c r="D2693" t="s">
        <v>256</v>
      </c>
      <c r="E2693" t="s">
        <v>280</v>
      </c>
      <c r="F2693" t="s">
        <v>434</v>
      </c>
      <c r="G2693" s="4" t="s">
        <v>245</v>
      </c>
    </row>
    <row r="2694" spans="1:7" x14ac:dyDescent="0.25">
      <c r="A2694" t="s">
        <v>623</v>
      </c>
      <c r="B2694" t="s">
        <v>161</v>
      </c>
      <c r="C2694" s="4">
        <f>(0.752028927432513/(0.0900940072589024+0.00396421732885982+0.0572052587068733+0.752028927432513)) * 0.766129377901031%</f>
        <v>6.3783493306851773E-3</v>
      </c>
      <c r="D2694" t="s">
        <v>256</v>
      </c>
      <c r="E2694" t="s">
        <v>362</v>
      </c>
      <c r="F2694" t="s">
        <v>434</v>
      </c>
      <c r="G2694" s="4" t="s">
        <v>245</v>
      </c>
    </row>
    <row r="2695" spans="1:7" x14ac:dyDescent="0.25">
      <c r="A2695" t="s">
        <v>623</v>
      </c>
      <c r="B2695" t="s">
        <v>175</v>
      </c>
      <c r="C2695" s="4">
        <f>(0.0900940072589024/(0.0900940072589024+0.00396421732885982+0.0572052587068733+0.752028927432513)) * 0.0217131491179174%</f>
        <v>2.165660411857688E-5</v>
      </c>
      <c r="D2695" t="s">
        <v>242</v>
      </c>
      <c r="E2695" t="s">
        <v>366</v>
      </c>
      <c r="F2695" t="s">
        <v>434</v>
      </c>
      <c r="G2695" s="4" t="s">
        <v>245</v>
      </c>
    </row>
    <row r="2696" spans="1:7" x14ac:dyDescent="0.25">
      <c r="A2696" t="s">
        <v>623</v>
      </c>
      <c r="B2696" t="s">
        <v>175</v>
      </c>
      <c r="C2696" s="4">
        <f>(0.00396421732885982/(0.0900940072589024+0.00396421732885982+0.0572052587068733+0.752028927432513))  * 0.0217131491179174%</f>
        <v>9.5291005409947784E-7</v>
      </c>
      <c r="D2696" t="s">
        <v>256</v>
      </c>
      <c r="E2696" t="s">
        <v>361</v>
      </c>
      <c r="F2696" t="s">
        <v>434</v>
      </c>
      <c r="G2696" s="4" t="s">
        <v>245</v>
      </c>
    </row>
    <row r="2697" spans="1:7" x14ac:dyDescent="0.25">
      <c r="A2697" t="s">
        <v>623</v>
      </c>
      <c r="B2697" t="s">
        <v>175</v>
      </c>
      <c r="C2697" s="4">
        <f>(0.0572052587068733/(0.0900940072589024+0.00396421732885982+0.0572052587068733+0.752028927432513)) * 0.0217131491179174%</f>
        <v>1.3750877322565896E-5</v>
      </c>
      <c r="D2697" t="s">
        <v>256</v>
      </c>
      <c r="E2697" t="s">
        <v>280</v>
      </c>
      <c r="F2697" t="s">
        <v>434</v>
      </c>
      <c r="G2697" s="4" t="s">
        <v>245</v>
      </c>
    </row>
    <row r="2698" spans="1:7" x14ac:dyDescent="0.25">
      <c r="A2698" t="s">
        <v>623</v>
      </c>
      <c r="B2698" t="s">
        <v>175</v>
      </c>
      <c r="C2698" s="4">
        <f>(0.752028927432513/(0.0900940072589024+0.00396421732885982+0.0572052587068733+0.752028927432513)) * 0.0217131491179174%</f>
        <v>1.8077109968393174E-4</v>
      </c>
      <c r="D2698" t="s">
        <v>256</v>
      </c>
      <c r="E2698" t="s">
        <v>362</v>
      </c>
      <c r="F2698" t="s">
        <v>434</v>
      </c>
      <c r="G2698" s="4" t="s">
        <v>245</v>
      </c>
    </row>
    <row r="2699" spans="1:7" x14ac:dyDescent="0.25">
      <c r="A2699" t="s">
        <v>623</v>
      </c>
      <c r="B2699" t="s">
        <v>131</v>
      </c>
      <c r="C2699" s="4">
        <f>(0.0900940072589024/(0.0900940072589024+0.00396421732885982+0.0572052587068733+0.752028927432513)) * 0.0167784092183407%</f>
        <v>1.6734715181467758E-5</v>
      </c>
      <c r="D2699" t="s">
        <v>242</v>
      </c>
      <c r="E2699" t="s">
        <v>366</v>
      </c>
      <c r="F2699" t="s">
        <v>434</v>
      </c>
      <c r="G2699" s="4" t="s">
        <v>245</v>
      </c>
    </row>
    <row r="2700" spans="1:7" x14ac:dyDescent="0.25">
      <c r="A2700" t="s">
        <v>623</v>
      </c>
      <c r="B2700" t="s">
        <v>131</v>
      </c>
      <c r="C2700" s="4">
        <f>(0.00396421732885982/(0.0900940072589024+0.00396421732885982+0.0572052587068733+0.752028927432513))  * 0.0167784092183407%</f>
        <v>7.3634251527148931E-7</v>
      </c>
      <c r="D2700" t="s">
        <v>256</v>
      </c>
      <c r="E2700" t="s">
        <v>361</v>
      </c>
      <c r="F2700" t="s">
        <v>434</v>
      </c>
      <c r="G2700" s="4" t="s">
        <v>245</v>
      </c>
    </row>
    <row r="2701" spans="1:7" x14ac:dyDescent="0.25">
      <c r="A2701" t="s">
        <v>623</v>
      </c>
      <c r="B2701" t="s">
        <v>131</v>
      </c>
      <c r="C2701" s="4">
        <f>(0.0572052587068733/(0.0900940072589024+0.00396421732885982+0.0572052587068733+0.752028927432513)) * 0.0167784092183407%</f>
        <v>1.0625720183482112E-5</v>
      </c>
      <c r="D2701" t="s">
        <v>256</v>
      </c>
      <c r="E2701" t="s">
        <v>280</v>
      </c>
      <c r="F2701" t="s">
        <v>434</v>
      </c>
      <c r="G2701" s="4" t="s">
        <v>245</v>
      </c>
    </row>
    <row r="2702" spans="1:7" x14ac:dyDescent="0.25">
      <c r="A2702" t="s">
        <v>623</v>
      </c>
      <c r="B2702" t="s">
        <v>131</v>
      </c>
      <c r="C2702" s="4">
        <f>(0.752028927432513/(0.0900940072589024+0.00396421732885982+0.0572052587068733+0.752028927432513)) * 0.0167784092183407%</f>
        <v>1.3968731430318566E-4</v>
      </c>
      <c r="D2702" t="s">
        <v>256</v>
      </c>
      <c r="E2702" t="s">
        <v>362</v>
      </c>
      <c r="F2702" t="s">
        <v>434</v>
      </c>
      <c r="G2702" s="4" t="s">
        <v>245</v>
      </c>
    </row>
    <row r="2703" spans="1:7" x14ac:dyDescent="0.25">
      <c r="A2703" t="s">
        <v>623</v>
      </c>
      <c r="B2703" t="s">
        <v>201</v>
      </c>
      <c r="C2703" s="4">
        <f>(0.0900940072589024/(0.0900940072589024+0.00396421732885982+0.0572052587068733+0.752028927432513)) * 0.0640752931517318%</f>
        <v>6.3908429405283411E-5</v>
      </c>
      <c r="D2703" t="s">
        <v>242</v>
      </c>
      <c r="E2703" t="s">
        <v>366</v>
      </c>
      <c r="F2703" t="s">
        <v>434</v>
      </c>
      <c r="G2703" s="4" t="s">
        <v>245</v>
      </c>
    </row>
    <row r="2704" spans="1:7" x14ac:dyDescent="0.25">
      <c r="A2704" t="s">
        <v>623</v>
      </c>
      <c r="B2704" t="s">
        <v>201</v>
      </c>
      <c r="C2704" s="4">
        <f>(0.00396421732885982/(0.0900940072589024+0.00396421732885982+0.0572052587068733+0.752028927432513))  * 0.0640752931517318%</f>
        <v>2.8120283581192937E-6</v>
      </c>
      <c r="D2704" t="s">
        <v>256</v>
      </c>
      <c r="E2704" t="s">
        <v>361</v>
      </c>
      <c r="F2704" t="s">
        <v>434</v>
      </c>
      <c r="G2704" s="4" t="s">
        <v>245</v>
      </c>
    </row>
    <row r="2705" spans="1:7" x14ac:dyDescent="0.25">
      <c r="A2705" t="s">
        <v>623</v>
      </c>
      <c r="B2705" t="s">
        <v>201</v>
      </c>
      <c r="C2705" s="4">
        <f>(0.0572052587068733/(0.0900940072589024+0.00396421732885982+0.0572052587068733+0.752028927432513)) * 0.0640752931517318%</f>
        <v>4.0578706052815054E-5</v>
      </c>
      <c r="D2705" t="s">
        <v>256</v>
      </c>
      <c r="E2705" t="s">
        <v>280</v>
      </c>
      <c r="F2705" t="s">
        <v>434</v>
      </c>
      <c r="G2705" s="4" t="s">
        <v>245</v>
      </c>
    </row>
    <row r="2706" spans="1:7" x14ac:dyDescent="0.25">
      <c r="A2706" t="s">
        <v>623</v>
      </c>
      <c r="B2706" t="s">
        <v>201</v>
      </c>
      <c r="C2706" s="4">
        <f>(0.752028927432513/(0.0900940072589024+0.00396421732885982+0.0572052587068733+0.752028927432513)) * 0.0640752931517318%</f>
        <v>5.3345376770110031E-4</v>
      </c>
      <c r="D2706" t="s">
        <v>256</v>
      </c>
      <c r="E2706" t="s">
        <v>362</v>
      </c>
      <c r="F2706" t="s">
        <v>434</v>
      </c>
      <c r="G2706" s="4" t="s">
        <v>245</v>
      </c>
    </row>
    <row r="2707" spans="1:7" x14ac:dyDescent="0.25">
      <c r="A2707" t="s">
        <v>623</v>
      </c>
      <c r="B2707" t="s">
        <v>202</v>
      </c>
      <c r="C2707" s="4">
        <f>(0.0900940072589024/(0.0900940072589024+0.00396421732885982+0.0572052587068733+0.752028927432513)) * 0.000215766438202789%</f>
        <v>2.1520454305622937E-7</v>
      </c>
      <c r="D2707" t="s">
        <v>242</v>
      </c>
      <c r="E2707" t="s">
        <v>366</v>
      </c>
      <c r="F2707" t="s">
        <v>434</v>
      </c>
      <c r="G2707" s="4" t="s">
        <v>245</v>
      </c>
    </row>
    <row r="2708" spans="1:7" x14ac:dyDescent="0.25">
      <c r="A2708" t="s">
        <v>623</v>
      </c>
      <c r="B2708" t="s">
        <v>202</v>
      </c>
      <c r="C2708" s="4">
        <f>(0.00396421732885982/(0.0900940072589024+0.00396421732885982+0.0572052587068733+0.752028927432513))  * 0.000215766438202789%</f>
        <v>9.4691933990822157E-9</v>
      </c>
      <c r="D2708" t="s">
        <v>256</v>
      </c>
      <c r="E2708" t="s">
        <v>361</v>
      </c>
      <c r="F2708" t="s">
        <v>434</v>
      </c>
      <c r="G2708" s="4" t="s">
        <v>245</v>
      </c>
    </row>
    <row r="2709" spans="1:7" x14ac:dyDescent="0.25">
      <c r="A2709" t="s">
        <v>623</v>
      </c>
      <c r="B2709" t="s">
        <v>202</v>
      </c>
      <c r="C2709" s="4">
        <f>(0.0572052587068733/(0.0900940072589024+0.00396421732885982+0.0572052587068733+0.752028927432513)) * 0.000215766438202789%</f>
        <v>1.3664428894863693E-7</v>
      </c>
      <c r="D2709" t="s">
        <v>256</v>
      </c>
      <c r="E2709" t="s">
        <v>280</v>
      </c>
      <c r="F2709" t="s">
        <v>434</v>
      </c>
      <c r="G2709" s="4" t="s">
        <v>245</v>
      </c>
    </row>
    <row r="2710" spans="1:7" x14ac:dyDescent="0.25">
      <c r="A2710" t="s">
        <v>623</v>
      </c>
      <c r="B2710" t="s">
        <v>202</v>
      </c>
      <c r="C2710" s="4">
        <f>(0.752028927432513/(0.0900940072589024+0.00396421732885982+0.0572052587068733+0.752028927432513)) * 0.000215766438202789%</f>
        <v>1.7963463566239413E-6</v>
      </c>
      <c r="D2710" t="s">
        <v>256</v>
      </c>
      <c r="E2710" t="s">
        <v>362</v>
      </c>
      <c r="F2710" t="s">
        <v>434</v>
      </c>
      <c r="G2710" s="4" t="s">
        <v>245</v>
      </c>
    </row>
    <row r="2711" spans="1:7" x14ac:dyDescent="0.25">
      <c r="A2711" t="s">
        <v>623</v>
      </c>
      <c r="B2711" t="s">
        <v>176</v>
      </c>
      <c r="C2711" s="4">
        <f>(0.0900940072589024/(0.0900940072589024+0.00396421732885982+0.0572052587068733+0.752028927432513)) * 0.0467229745637496%</f>
        <v>4.6601299418815693E-5</v>
      </c>
      <c r="D2711" t="s">
        <v>242</v>
      </c>
      <c r="E2711" t="s">
        <v>366</v>
      </c>
      <c r="F2711" t="s">
        <v>434</v>
      </c>
      <c r="G2711" s="4" t="s">
        <v>245</v>
      </c>
    </row>
    <row r="2712" spans="1:7" x14ac:dyDescent="0.25">
      <c r="A2712" t="s">
        <v>623</v>
      </c>
      <c r="B2712" t="s">
        <v>176</v>
      </c>
      <c r="C2712" s="4">
        <f>(0.00396421732885982/(0.0900940072589024+0.00396421732885982+0.0572052587068733+0.752028927432513))  * 0.0467229745637496%</f>
        <v>2.0504990767318756E-6</v>
      </c>
      <c r="D2712" t="s">
        <v>256</v>
      </c>
      <c r="E2712" t="s">
        <v>361</v>
      </c>
      <c r="F2712" t="s">
        <v>434</v>
      </c>
      <c r="G2712" s="4" t="s">
        <v>245</v>
      </c>
    </row>
    <row r="2713" spans="1:7" x14ac:dyDescent="0.25">
      <c r="A2713" t="s">
        <v>623</v>
      </c>
      <c r="B2713" t="s">
        <v>176</v>
      </c>
      <c r="C2713" s="4">
        <f>(0.0572052587068733/(0.0900940072589024+0.00396421732885982+0.0572052587068733+0.752028927432513)) * 0.0467229745637496%</f>
        <v>2.9589530651789248E-5</v>
      </c>
      <c r="D2713" t="s">
        <v>256</v>
      </c>
      <c r="E2713" t="s">
        <v>280</v>
      </c>
      <c r="F2713" t="s">
        <v>434</v>
      </c>
      <c r="G2713" s="4" t="s">
        <v>245</v>
      </c>
    </row>
    <row r="2714" spans="1:7" x14ac:dyDescent="0.25">
      <c r="A2714" t="s">
        <v>623</v>
      </c>
      <c r="B2714" t="s">
        <v>176</v>
      </c>
      <c r="C2714" s="4">
        <f>(0.752028927432513/(0.0900940072589024+0.00396421732885982+0.0572052587068733+0.752028927432513)) * 0.0467229745637496%</f>
        <v>3.8898841649015925E-4</v>
      </c>
      <c r="D2714" t="s">
        <v>256</v>
      </c>
      <c r="E2714" t="s">
        <v>362</v>
      </c>
      <c r="F2714" t="s">
        <v>434</v>
      </c>
      <c r="G2714" s="4" t="s">
        <v>245</v>
      </c>
    </row>
    <row r="2715" spans="1:7" x14ac:dyDescent="0.25">
      <c r="A2715" t="s">
        <v>623</v>
      </c>
      <c r="B2715" t="s">
        <v>177</v>
      </c>
      <c r="C2715" s="4">
        <f>(0.0900940072589024/(0.0900940072589024+0.00396421732885982+0.0572052587068733+0.752028927432513)) * 0.119818625851367%</f>
        <v>1.1950659630268416E-4</v>
      </c>
      <c r="D2715" t="s">
        <v>242</v>
      </c>
      <c r="E2715" t="s">
        <v>366</v>
      </c>
      <c r="F2715" t="s">
        <v>434</v>
      </c>
      <c r="G2715" s="4" t="s">
        <v>245</v>
      </c>
    </row>
    <row r="2716" spans="1:7" x14ac:dyDescent="0.25">
      <c r="A2716" t="s">
        <v>623</v>
      </c>
      <c r="B2716" t="s">
        <v>177</v>
      </c>
      <c r="C2716" s="4">
        <f>(0.00396421732885982/(0.0900940072589024+0.00396421732885982+0.0572052587068733+0.752028927432513))  * 0.119818625851367%</f>
        <v>5.258397693586253E-6</v>
      </c>
      <c r="D2716" t="s">
        <v>256</v>
      </c>
      <c r="E2716" t="s">
        <v>361</v>
      </c>
      <c r="F2716" t="s">
        <v>434</v>
      </c>
      <c r="G2716" s="4" t="s">
        <v>245</v>
      </c>
    </row>
    <row r="2717" spans="1:7" x14ac:dyDescent="0.25">
      <c r="A2717" t="s">
        <v>623</v>
      </c>
      <c r="B2717" t="s">
        <v>177</v>
      </c>
      <c r="C2717" s="4">
        <f>(0.0572052587068733/(0.0900940072589024+0.00396421732885982+0.0572052587068733+0.752028927432513)) * 0.119818625851367%</f>
        <v>7.5880804580344527E-5</v>
      </c>
      <c r="D2717" t="s">
        <v>256</v>
      </c>
      <c r="E2717" t="s">
        <v>280</v>
      </c>
      <c r="F2717" t="s">
        <v>434</v>
      </c>
      <c r="G2717" s="4" t="s">
        <v>245</v>
      </c>
    </row>
    <row r="2718" spans="1:7" x14ac:dyDescent="0.25">
      <c r="A2718" t="s">
        <v>623</v>
      </c>
      <c r="B2718" t="s">
        <v>177</v>
      </c>
      <c r="C2718" s="4">
        <f>(0.752028927432513/(0.0900940072589024+0.00396421732885982+0.0572052587068733+0.752028927432513)) * 0.119818625851367%</f>
        <v>9.9754045993705512E-4</v>
      </c>
      <c r="D2718" t="s">
        <v>256</v>
      </c>
      <c r="E2718" t="s">
        <v>362</v>
      </c>
      <c r="F2718" t="s">
        <v>434</v>
      </c>
      <c r="G2718" s="4" t="s">
        <v>245</v>
      </c>
    </row>
    <row r="2719" spans="1:7" x14ac:dyDescent="0.25">
      <c r="A2719" t="s">
        <v>623</v>
      </c>
      <c r="B2719" t="s">
        <v>155</v>
      </c>
      <c r="C2719" s="4">
        <v>4.0471692441411047E-3</v>
      </c>
      <c r="D2719" t="s">
        <v>363</v>
      </c>
      <c r="E2719" t="s">
        <v>361</v>
      </c>
      <c r="F2719" t="s">
        <v>434</v>
      </c>
      <c r="G2719" s="4" t="s">
        <v>245</v>
      </c>
    </row>
    <row r="2720" spans="1:7" x14ac:dyDescent="0.25">
      <c r="A2720" t="s">
        <v>623</v>
      </c>
      <c r="B2720" t="s">
        <v>146</v>
      </c>
      <c r="C2720" s="4">
        <f>(0.0900940072589024/(0.0900940072589024+0.00396421732885982+0.0572052587068733+0.752028927432513)) * 13.5565766902027%</f>
        <v>1.3521272892681473E-2</v>
      </c>
      <c r="D2720" t="s">
        <v>242</v>
      </c>
      <c r="E2720" t="s">
        <v>366</v>
      </c>
      <c r="F2720" t="s">
        <v>434</v>
      </c>
      <c r="G2720" s="4" t="s">
        <v>245</v>
      </c>
    </row>
    <row r="2721" spans="1:7" x14ac:dyDescent="0.25">
      <c r="A2721" t="s">
        <v>623</v>
      </c>
      <c r="B2721" t="s">
        <v>146</v>
      </c>
      <c r="C2721" s="4">
        <f>(0.00396421732885982/(0.0900940072589024+0.00396421732885982+0.0572052587068733+0.752028927432513))  * 13.5565766902027%</f>
        <v>5.9494816514684421E-4</v>
      </c>
      <c r="D2721" t="s">
        <v>256</v>
      </c>
      <c r="E2721" t="s">
        <v>361</v>
      </c>
      <c r="F2721" t="s">
        <v>434</v>
      </c>
      <c r="G2721" s="4" t="s">
        <v>245</v>
      </c>
    </row>
    <row r="2722" spans="1:7" x14ac:dyDescent="0.25">
      <c r="A2722" t="s">
        <v>623</v>
      </c>
      <c r="B2722" t="s">
        <v>146</v>
      </c>
      <c r="C2722" s="4">
        <f>(0.0572052587068733/(0.0900940072589024+0.00396421732885982+0.0572052587068733+0.752028927432513)) * 13.5565766902027%</f>
        <v>8.5853425483596365E-3</v>
      </c>
      <c r="D2722" t="s">
        <v>256</v>
      </c>
      <c r="E2722" t="s">
        <v>280</v>
      </c>
      <c r="F2722" t="s">
        <v>434</v>
      </c>
      <c r="G2722" s="4" t="s">
        <v>245</v>
      </c>
    </row>
    <row r="2723" spans="1:7" x14ac:dyDescent="0.25">
      <c r="A2723" t="s">
        <v>623</v>
      </c>
      <c r="B2723" t="s">
        <v>146</v>
      </c>
      <c r="C2723" s="4">
        <f>(0.752028927432513/(0.0900940072589024+0.00396421732885982+0.0572052587068733+0.752028927432513)) * 13.5565766902027%</f>
        <v>0.11286420329583907</v>
      </c>
      <c r="D2723" t="s">
        <v>256</v>
      </c>
      <c r="E2723" t="s">
        <v>362</v>
      </c>
      <c r="F2723" t="s">
        <v>434</v>
      </c>
      <c r="G2723" s="4" t="s">
        <v>245</v>
      </c>
    </row>
    <row r="2724" spans="1:7" x14ac:dyDescent="0.25">
      <c r="A2724" t="s">
        <v>623</v>
      </c>
      <c r="B2724" t="s">
        <v>156</v>
      </c>
      <c r="C2724" s="4">
        <f>(0.0900940072589024/(0.0900940072589024+0.00396421732885982+0.0572052587068733+0.752028927432513)) * 0.108380069028821%</f>
        <v>1.0809782756773773E-4</v>
      </c>
      <c r="D2724" t="s">
        <v>242</v>
      </c>
      <c r="E2724" t="s">
        <v>366</v>
      </c>
      <c r="F2724" t="s">
        <v>434</v>
      </c>
      <c r="G2724" s="4" t="s">
        <v>245</v>
      </c>
    </row>
    <row r="2725" spans="1:7" x14ac:dyDescent="0.25">
      <c r="A2725" t="s">
        <v>623</v>
      </c>
      <c r="B2725" t="s">
        <v>156</v>
      </c>
      <c r="C2725" s="4">
        <f>(0.00396421732885982/(0.0900940072589024+0.00396421732885982+0.0572052587068733+0.752028927432513))  * 0.108380069028821%</f>
        <v>4.7564016108716643E-6</v>
      </c>
      <c r="D2725" t="s">
        <v>256</v>
      </c>
      <c r="E2725" t="s">
        <v>361</v>
      </c>
      <c r="F2725" t="s">
        <v>434</v>
      </c>
      <c r="G2725" s="4" t="s">
        <v>245</v>
      </c>
    </row>
    <row r="2726" spans="1:7" x14ac:dyDescent="0.25">
      <c r="A2726" t="s">
        <v>623</v>
      </c>
      <c r="B2726" t="s">
        <v>156</v>
      </c>
      <c r="C2726" s="4">
        <f>(0.0572052587068733/(0.0900940072589024+0.00396421732885982+0.0572052587068733+0.752028927432513)) * 0.108380069028821%</f>
        <v>6.8636798160094995E-5</v>
      </c>
      <c r="D2726" t="s">
        <v>256</v>
      </c>
      <c r="E2726" t="s">
        <v>280</v>
      </c>
      <c r="F2726" t="s">
        <v>434</v>
      </c>
      <c r="G2726" s="4" t="s">
        <v>245</v>
      </c>
    </row>
    <row r="2727" spans="1:7" x14ac:dyDescent="0.25">
      <c r="A2727" t="s">
        <v>623</v>
      </c>
      <c r="B2727" t="s">
        <v>156</v>
      </c>
      <c r="C2727" s="4">
        <f>(0.752028927432513/(0.0900940072589024+0.00396421732885982+0.0572052587068733+0.752028927432513)) * 0.108380069028821%</f>
        <v>9.0230966294950574E-4</v>
      </c>
      <c r="D2727" t="s">
        <v>256</v>
      </c>
      <c r="E2727" t="s">
        <v>362</v>
      </c>
      <c r="F2727" t="s">
        <v>434</v>
      </c>
      <c r="G2727" s="4" t="s">
        <v>245</v>
      </c>
    </row>
    <row r="2728" spans="1:7" x14ac:dyDescent="0.25">
      <c r="A2728" t="s">
        <v>623</v>
      </c>
      <c r="B2728" t="s">
        <v>151</v>
      </c>
      <c r="C2728" s="4">
        <f>(0.0900940072589024/(0.0900940072589024+0.00396421732885982+0.0572052587068733+0.752028927432513)) * 5.4022338490161%</f>
        <v>5.3881654470643138E-3</v>
      </c>
      <c r="D2728" t="s">
        <v>242</v>
      </c>
      <c r="E2728" t="s">
        <v>366</v>
      </c>
      <c r="F2728" t="s">
        <v>434</v>
      </c>
      <c r="G2728" s="4" t="s">
        <v>245</v>
      </c>
    </row>
    <row r="2729" spans="1:7" x14ac:dyDescent="0.25">
      <c r="A2729" t="s">
        <v>623</v>
      </c>
      <c r="B2729" t="s">
        <v>151</v>
      </c>
      <c r="C2729" s="4">
        <f>(0.00396421732885982/(0.0900940072589024+0.00396421732885982+0.0572052587068733+0.752028927432513))  * 5.4022338490161%</f>
        <v>2.3708412452600123E-4</v>
      </c>
      <c r="D2729" t="s">
        <v>256</v>
      </c>
      <c r="E2729" t="s">
        <v>361</v>
      </c>
      <c r="F2729" t="s">
        <v>434</v>
      </c>
      <c r="G2729" s="4" t="s">
        <v>245</v>
      </c>
    </row>
    <row r="2730" spans="1:7" x14ac:dyDescent="0.25">
      <c r="A2730" t="s">
        <v>623</v>
      </c>
      <c r="B2730" t="s">
        <v>151</v>
      </c>
      <c r="C2730" s="4">
        <f>(0.0572052587068733/(0.0900940072589024+0.00396421732885982+0.0572052587068733+0.752028927432513)) * 5.4022338490161%</f>
        <v>3.42121976513918E-3</v>
      </c>
      <c r="D2730" t="s">
        <v>256</v>
      </c>
      <c r="E2730" t="s">
        <v>280</v>
      </c>
      <c r="F2730" t="s">
        <v>434</v>
      </c>
      <c r="G2730" s="4" t="s">
        <v>245</v>
      </c>
    </row>
    <row r="2731" spans="1:7" x14ac:dyDescent="0.25">
      <c r="A2731" t="s">
        <v>623</v>
      </c>
      <c r="B2731" t="s">
        <v>151</v>
      </c>
      <c r="C2731" s="4">
        <f>(0.752028927432513/(0.0900940072589024+0.00396421732885982+0.0572052587068733+0.752028927432513)) * 5.4022338490161%</f>
        <v>4.4975869153431505E-2</v>
      </c>
      <c r="D2731" t="s">
        <v>256</v>
      </c>
      <c r="E2731" t="s">
        <v>362</v>
      </c>
      <c r="F2731" t="s">
        <v>434</v>
      </c>
      <c r="G2731" s="4" t="s">
        <v>245</v>
      </c>
    </row>
    <row r="2732" spans="1:7" x14ac:dyDescent="0.25">
      <c r="A2732" t="s">
        <v>623</v>
      </c>
      <c r="B2732" t="s">
        <v>178</v>
      </c>
      <c r="C2732" s="4">
        <f>(0.0900940072589024/(0.0900940072589024+0.00396421732885982+0.0572052587068733+0.752028927432513)) * 0.308374274158766%</f>
        <v>3.0757121132185349E-4</v>
      </c>
      <c r="D2732" t="s">
        <v>242</v>
      </c>
      <c r="E2732" t="s">
        <v>366</v>
      </c>
      <c r="F2732" t="s">
        <v>434</v>
      </c>
      <c r="G2732" s="4" t="s">
        <v>245</v>
      </c>
    </row>
    <row r="2733" spans="1:7" x14ac:dyDescent="0.25">
      <c r="A2733" t="s">
        <v>623</v>
      </c>
      <c r="B2733" t="s">
        <v>178</v>
      </c>
      <c r="C2733" s="4">
        <f>(0.00396421732885982/(0.0900940072589024+0.00396421732885982+0.0572052587068733+0.752028927432513))  * 0.308374274158766%</f>
        <v>1.3533409855737298E-5</v>
      </c>
      <c r="D2733" t="s">
        <v>256</v>
      </c>
      <c r="E2733" t="s">
        <v>361</v>
      </c>
      <c r="F2733" t="s">
        <v>434</v>
      </c>
      <c r="G2733" s="4" t="s">
        <v>245</v>
      </c>
    </row>
    <row r="2734" spans="1:7" x14ac:dyDescent="0.25">
      <c r="A2734" t="s">
        <v>623</v>
      </c>
      <c r="B2734" t="s">
        <v>178</v>
      </c>
      <c r="C2734" s="4">
        <f>(0.0572052587068733/(0.0900940072589024+0.00396421732885982+0.0572052587068733+0.752028927432513)) * 0.308374274158766%</f>
        <v>1.952925754971838E-4</v>
      </c>
      <c r="D2734" t="s">
        <v>256</v>
      </c>
      <c r="E2734" t="s">
        <v>280</v>
      </c>
      <c r="F2734" t="s">
        <v>434</v>
      </c>
      <c r="G2734" s="4" t="s">
        <v>245</v>
      </c>
    </row>
    <row r="2735" spans="1:7" x14ac:dyDescent="0.25">
      <c r="A2735" t="s">
        <v>623</v>
      </c>
      <c r="B2735" t="s">
        <v>178</v>
      </c>
      <c r="C2735" s="4">
        <f>(0.752028927432513/(0.0900940072589024+0.00396421732885982+0.0572052587068733+0.752028927432513)) * 0.308374274158766%</f>
        <v>2.5673455449128856E-3</v>
      </c>
      <c r="D2735" t="s">
        <v>256</v>
      </c>
      <c r="E2735" t="s">
        <v>362</v>
      </c>
      <c r="F2735" t="s">
        <v>434</v>
      </c>
      <c r="G2735" s="4" t="s">
        <v>245</v>
      </c>
    </row>
    <row r="2736" spans="1:7" x14ac:dyDescent="0.25">
      <c r="A2736" t="s">
        <v>623</v>
      </c>
      <c r="B2736" t="s">
        <v>120</v>
      </c>
      <c r="C2736" s="4">
        <f>(0.0900940072589024/(0.0900940072589024+0.00396421732885982+0.0572052587068733+0.752028927432513)) * 0.0660509504702417%</f>
        <v>6.5878941751907125E-5</v>
      </c>
      <c r="D2736" t="s">
        <v>242</v>
      </c>
      <c r="E2736" t="s">
        <v>366</v>
      </c>
      <c r="F2736" t="s">
        <v>434</v>
      </c>
      <c r="G2736" s="4" t="s">
        <v>245</v>
      </c>
    </row>
    <row r="2737" spans="1:7" x14ac:dyDescent="0.25">
      <c r="A2737" t="s">
        <v>623</v>
      </c>
      <c r="B2737" t="s">
        <v>120</v>
      </c>
      <c r="C2737" s="4">
        <f>(0.00396421732885982/(0.0900940072589024+0.00396421732885982+0.0572052587068733+0.752028927432513))  * 0.0660509504702417%</f>
        <v>2.8987326731884412E-6</v>
      </c>
      <c r="D2737" t="s">
        <v>256</v>
      </c>
      <c r="E2737" t="s">
        <v>361</v>
      </c>
      <c r="F2737" t="s">
        <v>434</v>
      </c>
      <c r="G2737" s="4" t="s">
        <v>245</v>
      </c>
    </row>
    <row r="2738" spans="1:7" x14ac:dyDescent="0.25">
      <c r="A2738" t="s">
        <v>623</v>
      </c>
      <c r="B2738" t="s">
        <v>120</v>
      </c>
      <c r="C2738" s="4">
        <f>(0.0572052587068733/(0.0900940072589024+0.00396421732885982+0.0572052587068733+0.752028927432513)) * 0.0660509504702417%</f>
        <v>4.1829884372031833E-5</v>
      </c>
      <c r="D2738" t="s">
        <v>256</v>
      </c>
      <c r="E2738" t="s">
        <v>280</v>
      </c>
      <c r="F2738" t="s">
        <v>434</v>
      </c>
      <c r="G2738" s="4" t="s">
        <v>245</v>
      </c>
    </row>
    <row r="2739" spans="1:7" x14ac:dyDescent="0.25">
      <c r="A2739" t="s">
        <v>623</v>
      </c>
      <c r="B2739" t="s">
        <v>120</v>
      </c>
      <c r="C2739" s="4">
        <f>(0.752028927432513/(0.0900940072589024+0.00396421732885982+0.0572052587068733+0.752028927432513)) * 0.0660509504702417%</f>
        <v>5.4990194590528963E-4</v>
      </c>
      <c r="D2739" t="s">
        <v>256</v>
      </c>
      <c r="E2739" t="s">
        <v>362</v>
      </c>
      <c r="F2739" t="s">
        <v>434</v>
      </c>
      <c r="G2739" s="4" t="s">
        <v>245</v>
      </c>
    </row>
    <row r="2740" spans="1:7" x14ac:dyDescent="0.25">
      <c r="A2740" t="s">
        <v>623</v>
      </c>
      <c r="B2740" t="s">
        <v>107</v>
      </c>
      <c r="C2740" s="4">
        <f>(0.0900940072589024/(0.0900940072589024+0.00396421732885982+0.0572052587068733+0.752028927432513)) * 4.97077436255549%</f>
        <v>4.9578295597760245E-3</v>
      </c>
      <c r="D2740" t="s">
        <v>242</v>
      </c>
      <c r="E2740" t="s">
        <v>366</v>
      </c>
      <c r="F2740" t="s">
        <v>434</v>
      </c>
      <c r="G2740" s="4" t="s">
        <v>245</v>
      </c>
    </row>
    <row r="2741" spans="1:7" x14ac:dyDescent="0.25">
      <c r="A2741" t="s">
        <v>623</v>
      </c>
      <c r="B2741" t="s">
        <v>107</v>
      </c>
      <c r="C2741" s="4">
        <f>(0.00396421732885982/(0.0900940072589024+0.00396421732885982+0.0572052587068733+0.752028927432513))  * 4.97077436255549%</f>
        <v>2.1814895854191816E-4</v>
      </c>
      <c r="D2741" t="s">
        <v>256</v>
      </c>
      <c r="E2741" t="s">
        <v>361</v>
      </c>
      <c r="F2741" t="s">
        <v>434</v>
      </c>
      <c r="G2741" s="4" t="s">
        <v>245</v>
      </c>
    </row>
    <row r="2742" spans="1:7" x14ac:dyDescent="0.25">
      <c r="A2742" t="s">
        <v>623</v>
      </c>
      <c r="B2742" t="s">
        <v>107</v>
      </c>
      <c r="C2742" s="4">
        <f>(0.0572052587068733/(0.0900940072589024+0.00396421732885982+0.0572052587068733+0.752028927432513)) * 4.97077436255549%</f>
        <v>3.1479776648912091E-3</v>
      </c>
      <c r="D2742" t="s">
        <v>256</v>
      </c>
      <c r="E2742" t="s">
        <v>280</v>
      </c>
      <c r="F2742" t="s">
        <v>434</v>
      </c>
      <c r="G2742" s="4" t="s">
        <v>245</v>
      </c>
    </row>
    <row r="2743" spans="1:7" x14ac:dyDescent="0.25">
      <c r="A2743" t="s">
        <v>623</v>
      </c>
      <c r="B2743" t="s">
        <v>107</v>
      </c>
      <c r="C2743" s="4">
        <f>(0.752028927432513/(0.0900940072589024+0.00396421732885982+0.0572052587068733+0.752028927432513)) * 4.97077436255549%</f>
        <v>4.1383787442345749E-2</v>
      </c>
      <c r="D2743" t="s">
        <v>256</v>
      </c>
      <c r="E2743" t="s">
        <v>362</v>
      </c>
      <c r="F2743" t="s">
        <v>434</v>
      </c>
      <c r="G2743" s="4" t="s">
        <v>245</v>
      </c>
    </row>
    <row r="2744" spans="1:7" x14ac:dyDescent="0.25">
      <c r="A2744" t="s">
        <v>623</v>
      </c>
      <c r="B2744" t="s">
        <v>108</v>
      </c>
      <c r="C2744" s="4">
        <f>(0.0900940072589024/(0.0900940072589024+0.00396421732885982+0.0572052587068733+0.752028927432513)) * 0.0214959148808153%</f>
        <v>2.1439935599037306E-5</v>
      </c>
      <c r="D2744" t="s">
        <v>242</v>
      </c>
      <c r="E2744" t="s">
        <v>366</v>
      </c>
      <c r="F2744" t="s">
        <v>434</v>
      </c>
      <c r="G2744" s="4" t="s">
        <v>245</v>
      </c>
    </row>
    <row r="2745" spans="1:7" x14ac:dyDescent="0.25">
      <c r="A2745" t="s">
        <v>623</v>
      </c>
      <c r="B2745" t="s">
        <v>108</v>
      </c>
      <c r="C2745" s="4">
        <f>(0.00396421732885982/(0.0900940072589024+0.00396421732885982+0.0572052587068733+0.752028927432513))  * 0.119818625851367%</f>
        <v>5.258397693586253E-6</v>
      </c>
      <c r="D2745" t="s">
        <v>256</v>
      </c>
      <c r="E2745" t="s">
        <v>361</v>
      </c>
      <c r="F2745" t="s">
        <v>434</v>
      </c>
      <c r="G2745" s="4" t="s">
        <v>245</v>
      </c>
    </row>
    <row r="2746" spans="1:7" x14ac:dyDescent="0.25">
      <c r="A2746" t="s">
        <v>623</v>
      </c>
      <c r="B2746" t="s">
        <v>108</v>
      </c>
      <c r="C2746" s="4">
        <f>(0.0572052587068733/(0.0900940072589024+0.00396421732885982+0.0572052587068733+0.752028927432513)) * 0.0214959148808153%</f>
        <v>1.3613303480631231E-5</v>
      </c>
      <c r="D2746" t="s">
        <v>256</v>
      </c>
      <c r="E2746" t="s">
        <v>280</v>
      </c>
      <c r="F2746" t="s">
        <v>434</v>
      </c>
      <c r="G2746" s="4" t="s">
        <v>245</v>
      </c>
    </row>
    <row r="2747" spans="1:7" x14ac:dyDescent="0.25">
      <c r="A2747" t="s">
        <v>623</v>
      </c>
      <c r="B2747" t="s">
        <v>108</v>
      </c>
      <c r="C2747" s="4">
        <f>(0.752028927432513/(0.0900940072589024+0.00396421732885982+0.0572052587068733+0.752028927432513)) * 0.0214959148808153%</f>
        <v>1.7896253328406571E-4</v>
      </c>
      <c r="D2747" t="s">
        <v>256</v>
      </c>
      <c r="E2747" t="s">
        <v>362</v>
      </c>
      <c r="F2747" t="s">
        <v>434</v>
      </c>
      <c r="G2747" s="4" t="s">
        <v>245</v>
      </c>
    </row>
    <row r="2748" spans="1:7" x14ac:dyDescent="0.25">
      <c r="A2748" t="s">
        <v>623</v>
      </c>
      <c r="B2748" t="s">
        <v>205</v>
      </c>
      <c r="C2748" s="4">
        <f>(0.0900940072589024/(0.0900940072589024+0.00396421732885982+0.0572052587068733+0.752028927432513)) * 0.00766191025454803%</f>
        <v>7.6419572432212211E-6</v>
      </c>
      <c r="D2748" t="s">
        <v>242</v>
      </c>
      <c r="E2748" t="s">
        <v>366</v>
      </c>
      <c r="F2748" t="s">
        <v>434</v>
      </c>
      <c r="G2748" s="4" t="s">
        <v>245</v>
      </c>
    </row>
    <row r="2749" spans="1:7" x14ac:dyDescent="0.25">
      <c r="A2749" t="s">
        <v>623</v>
      </c>
      <c r="B2749" t="s">
        <v>205</v>
      </c>
      <c r="C2749" s="4">
        <f>(0.00396421732885982/(0.0900940072589024+0.00396421732885982+0.0572052587068733+0.752028927432513))  * 0.00766191025454803%</f>
        <v>3.3625299008985892E-7</v>
      </c>
      <c r="D2749" t="s">
        <v>256</v>
      </c>
      <c r="E2749" t="s">
        <v>361</v>
      </c>
      <c r="F2749" t="s">
        <v>434</v>
      </c>
      <c r="G2749" s="4" t="s">
        <v>245</v>
      </c>
    </row>
    <row r="2750" spans="1:7" x14ac:dyDescent="0.25">
      <c r="A2750" t="s">
        <v>623</v>
      </c>
      <c r="B2750" t="s">
        <v>205</v>
      </c>
      <c r="C2750" s="4">
        <f>(0.0572052587068733/(0.0900940072589024+0.00396421732885982+0.0572052587068733+0.752028927432513)) * 0.00766191025454803%</f>
        <v>4.8522665871556882E-6</v>
      </c>
      <c r="D2750" t="s">
        <v>256</v>
      </c>
      <c r="E2750" t="s">
        <v>280</v>
      </c>
      <c r="F2750" t="s">
        <v>434</v>
      </c>
      <c r="G2750" s="4" t="s">
        <v>245</v>
      </c>
    </row>
    <row r="2751" spans="1:7" x14ac:dyDescent="0.25">
      <c r="A2751" t="s">
        <v>623</v>
      </c>
      <c r="B2751" t="s">
        <v>205</v>
      </c>
      <c r="C2751" s="4">
        <f>(0.752028927432513/(0.0900940072589024+0.00396421732885982+0.0572052587068733+0.752028927432513)) * 0.00766191025454803%</f>
        <v>6.3788625725013544E-5</v>
      </c>
      <c r="D2751" t="s">
        <v>256</v>
      </c>
      <c r="E2751" t="s">
        <v>362</v>
      </c>
      <c r="F2751" t="s">
        <v>434</v>
      </c>
      <c r="G2751" s="4" t="s">
        <v>245</v>
      </c>
    </row>
    <row r="2752" spans="1:7" x14ac:dyDescent="0.25">
      <c r="A2752" t="s">
        <v>623</v>
      </c>
      <c r="B2752" t="s">
        <v>179</v>
      </c>
      <c r="C2752" s="4">
        <f>(0.0900940072589024/(0.0900940072589024+0.00396421732885982+0.0572052587068733+0.752028927432513)) * 0.0438871870902272%</f>
        <v>4.377289685293379E-5</v>
      </c>
      <c r="D2752" t="s">
        <v>242</v>
      </c>
      <c r="E2752" t="s">
        <v>366</v>
      </c>
      <c r="F2752" t="s">
        <v>434</v>
      </c>
      <c r="G2752" s="4" t="s">
        <v>245</v>
      </c>
    </row>
    <row r="2753" spans="1:7" x14ac:dyDescent="0.25">
      <c r="A2753" t="s">
        <v>623</v>
      </c>
      <c r="B2753" t="s">
        <v>179</v>
      </c>
      <c r="C2753" s="4">
        <f>(0.00396421732885982/(0.0900940072589024+0.00396421732885982+0.0572052587068733+0.752028927432513))  * 0.0438871870902272%</f>
        <v>1.9260468206296507E-6</v>
      </c>
      <c r="D2753" t="s">
        <v>256</v>
      </c>
      <c r="E2753" t="s">
        <v>361</v>
      </c>
      <c r="F2753" t="s">
        <v>434</v>
      </c>
      <c r="G2753" s="4" t="s">
        <v>245</v>
      </c>
    </row>
    <row r="2754" spans="1:7" x14ac:dyDescent="0.25">
      <c r="A2754" t="s">
        <v>623</v>
      </c>
      <c r="B2754" t="s">
        <v>179</v>
      </c>
      <c r="C2754" s="4">
        <f>(0.0572052587068733/(0.0900940072589024+0.00396421732885982+0.0572052587068733+0.752028927432513)) * 0.0438871870902272%</f>
        <v>2.779363428275E-5</v>
      </c>
      <c r="D2754" t="s">
        <v>256</v>
      </c>
      <c r="E2754" t="s">
        <v>280</v>
      </c>
      <c r="F2754" t="s">
        <v>434</v>
      </c>
      <c r="G2754" s="4" t="s">
        <v>245</v>
      </c>
    </row>
    <row r="2755" spans="1:7" x14ac:dyDescent="0.25">
      <c r="A2755" t="s">
        <v>623</v>
      </c>
      <c r="B2755" t="s">
        <v>179</v>
      </c>
      <c r="C2755" s="4">
        <f>(0.752028927432513/(0.0900940072589024+0.00396421732885982+0.0572052587068733+0.752028927432513)) * 0.0438871870902272%</f>
        <v>3.653792929459586E-4</v>
      </c>
      <c r="D2755" t="s">
        <v>256</v>
      </c>
      <c r="E2755" t="s">
        <v>362</v>
      </c>
      <c r="F2755" t="s">
        <v>434</v>
      </c>
      <c r="G2755" s="4" t="s">
        <v>245</v>
      </c>
    </row>
    <row r="2756" spans="1:7" x14ac:dyDescent="0.25">
      <c r="A2756" t="s">
        <v>623</v>
      </c>
      <c r="B2756" t="s">
        <v>135</v>
      </c>
      <c r="C2756" s="4">
        <f>(0.0900940072589024/(0.0900940072589024+0.00396421732885982+0.0572052587068733+0.752028927432513)) * 0.00120873239360542%</f>
        <v>1.2055846340598974E-6</v>
      </c>
      <c r="D2756" t="s">
        <v>242</v>
      </c>
      <c r="E2756" t="s">
        <v>366</v>
      </c>
      <c r="F2756" t="s">
        <v>434</v>
      </c>
      <c r="G2756" s="4" t="s">
        <v>245</v>
      </c>
    </row>
    <row r="2757" spans="1:7" x14ac:dyDescent="0.25">
      <c r="A2757" t="s">
        <v>623</v>
      </c>
      <c r="B2757" t="s">
        <v>135</v>
      </c>
      <c r="C2757" s="4">
        <f>(0.00396421732885982/(0.0900940072589024+0.00396421732885982+0.0572052587068733+0.752028927432513))  * 0.00120873239360542%</f>
        <v>5.3046807919348345E-8</v>
      </c>
      <c r="D2757" t="s">
        <v>256</v>
      </c>
      <c r="E2757" t="s">
        <v>361</v>
      </c>
      <c r="F2757" t="s">
        <v>434</v>
      </c>
      <c r="G2757" s="4" t="s">
        <v>245</v>
      </c>
    </row>
    <row r="2758" spans="1:7" x14ac:dyDescent="0.25">
      <c r="A2758" t="s">
        <v>623</v>
      </c>
      <c r="B2758" t="s">
        <v>135</v>
      </c>
      <c r="C2758" s="4">
        <f>(0.0572052587068733/(0.0900940072589024+0.00396421732885982+0.0572052587068733+0.752028927432513)) * 0.00120873239360542%</f>
        <v>7.6548688400818062E-7</v>
      </c>
      <c r="D2758" t="s">
        <v>256</v>
      </c>
      <c r="E2758" t="s">
        <v>280</v>
      </c>
      <c r="F2758" t="s">
        <v>434</v>
      </c>
      <c r="G2758" s="4" t="s">
        <v>245</v>
      </c>
    </row>
    <row r="2759" spans="1:7" x14ac:dyDescent="0.25">
      <c r="A2759" t="s">
        <v>623</v>
      </c>
      <c r="B2759" t="s">
        <v>135</v>
      </c>
      <c r="C2759" s="4">
        <f>(0.752028927432513/(0.0900940072589024+0.00396421732885982+0.0572052587068733+0.752028927432513)) * 0.00120873239360542%</f>
        <v>1.0063205610066775E-5</v>
      </c>
      <c r="D2759" t="s">
        <v>256</v>
      </c>
      <c r="E2759" t="s">
        <v>362</v>
      </c>
      <c r="F2759" t="s">
        <v>434</v>
      </c>
      <c r="G2759" s="4" t="s">
        <v>245</v>
      </c>
    </row>
    <row r="2760" spans="1:7" x14ac:dyDescent="0.25">
      <c r="A2760" t="s">
        <v>623</v>
      </c>
      <c r="B2760" t="s">
        <v>137</v>
      </c>
      <c r="C2760" s="4">
        <f>(0.0900940072589024/(0.0900940072589024+0.00396421732885982+0.0572052587068733+0.752028927432513)) * 0.176261364726538%</f>
        <v>1.7580234799441431E-4</v>
      </c>
      <c r="D2760" t="s">
        <v>242</v>
      </c>
      <c r="E2760" t="s">
        <v>366</v>
      </c>
      <c r="F2760" t="s">
        <v>434</v>
      </c>
      <c r="G2760" s="4" t="s">
        <v>245</v>
      </c>
    </row>
    <row r="2761" spans="1:7" x14ac:dyDescent="0.25">
      <c r="A2761" t="s">
        <v>623</v>
      </c>
      <c r="B2761" t="s">
        <v>137</v>
      </c>
      <c r="C2761" s="4">
        <f>(0.00396421732885982/(0.0900940072589024+0.00396421732885982+0.0572052587068733+0.752028927432513))  * 0.176261364726538%</f>
        <v>7.7354613872482362E-6</v>
      </c>
      <c r="D2761" t="s">
        <v>256</v>
      </c>
      <c r="E2761" t="s">
        <v>361</v>
      </c>
      <c r="F2761" t="s">
        <v>434</v>
      </c>
      <c r="G2761" s="4" t="s">
        <v>245</v>
      </c>
    </row>
    <row r="2762" spans="1:7" x14ac:dyDescent="0.25">
      <c r="A2762" t="s">
        <v>623</v>
      </c>
      <c r="B2762" t="s">
        <v>137</v>
      </c>
      <c r="C2762" s="4">
        <f>(0.0572052587068733/(0.0900940072589024+0.00396421732885982+0.0572052587068733+0.752028927432513)) * 0.176261364726538%</f>
        <v>1.1162583510572508E-4</v>
      </c>
      <c r="D2762" t="s">
        <v>256</v>
      </c>
      <c r="E2762" t="s">
        <v>280</v>
      </c>
      <c r="F2762" t="s">
        <v>434</v>
      </c>
      <c r="G2762" s="4" t="s">
        <v>245</v>
      </c>
    </row>
    <row r="2763" spans="1:7" x14ac:dyDescent="0.25">
      <c r="A2763" t="s">
        <v>623</v>
      </c>
      <c r="B2763" t="s">
        <v>137</v>
      </c>
      <c r="C2763" s="4">
        <f>(0.752028927432513/(0.0900940072589024+0.00396421732885982+0.0572052587068733+0.752028927432513)) * 0.176261364726538%</f>
        <v>1.4674500027779926E-3</v>
      </c>
      <c r="D2763" t="s">
        <v>256</v>
      </c>
      <c r="E2763" t="s">
        <v>362</v>
      </c>
      <c r="F2763" t="s">
        <v>434</v>
      </c>
      <c r="G2763" s="4" t="s">
        <v>245</v>
      </c>
    </row>
    <row r="2764" spans="1:7" x14ac:dyDescent="0.25">
      <c r="A2764" t="s">
        <v>623</v>
      </c>
      <c r="B2764" t="s">
        <v>121</v>
      </c>
      <c r="C2764" s="4">
        <f>(0.0900940072589024/(0.0900940072589024+0.00396421732885982+0.0572052587068733+0.752028927432513)) * 0.321330535043229%</f>
        <v>3.2049373174061112E-4</v>
      </c>
      <c r="D2764" t="s">
        <v>242</v>
      </c>
      <c r="E2764" t="s">
        <v>366</v>
      </c>
      <c r="F2764" t="s">
        <v>434</v>
      </c>
      <c r="G2764" s="4" t="s">
        <v>245</v>
      </c>
    </row>
    <row r="2765" spans="1:7" x14ac:dyDescent="0.25">
      <c r="A2765" t="s">
        <v>623</v>
      </c>
      <c r="B2765" t="s">
        <v>121</v>
      </c>
      <c r="C2765" s="4">
        <f>(0.00396421732885982/(0.0900940072589024+0.00396421732885982+0.0572052587068733+0.752028927432513))  * 0.321330535043229%</f>
        <v>1.4102012373653627E-5</v>
      </c>
      <c r="D2765" t="s">
        <v>256</v>
      </c>
      <c r="E2765" t="s">
        <v>361</v>
      </c>
      <c r="F2765" t="s">
        <v>434</v>
      </c>
      <c r="G2765" s="4" t="s">
        <v>245</v>
      </c>
    </row>
    <row r="2766" spans="1:7" x14ac:dyDescent="0.25">
      <c r="A2766" t="s">
        <v>623</v>
      </c>
      <c r="B2766" t="s">
        <v>121</v>
      </c>
      <c r="C2766" s="4">
        <f>(0.0572052587068733/(0.0900940072589024+0.00396421732885982+0.0572052587068733+0.752028927432513)) * 0.321330535043229%</f>
        <v>2.0349773970500452E-4</v>
      </c>
      <c r="D2766" t="s">
        <v>256</v>
      </c>
      <c r="E2766" t="s">
        <v>280</v>
      </c>
      <c r="F2766" t="s">
        <v>434</v>
      </c>
      <c r="G2766" s="4" t="s">
        <v>245</v>
      </c>
    </row>
    <row r="2767" spans="1:7" x14ac:dyDescent="0.25">
      <c r="A2767" t="s">
        <v>623</v>
      </c>
      <c r="B2767" t="s">
        <v>121</v>
      </c>
      <c r="C2767" s="4">
        <f>(0.752028927432513/(0.0900940072589024+0.00396421732885982+0.0572052587068733+0.752028927432513)) * 0.321330535043229%</f>
        <v>2.6752118666130207E-3</v>
      </c>
      <c r="D2767" t="s">
        <v>256</v>
      </c>
      <c r="E2767" t="s">
        <v>362</v>
      </c>
      <c r="F2767" t="s">
        <v>434</v>
      </c>
      <c r="G2767" s="4" t="s">
        <v>245</v>
      </c>
    </row>
    <row r="2768" spans="1:7" x14ac:dyDescent="0.25">
      <c r="A2768" t="s">
        <v>623</v>
      </c>
      <c r="B2768" t="s">
        <v>157</v>
      </c>
      <c r="C2768" s="4">
        <f>(0.0900940072589024/(0.0900940072589024+0.00396421732885982+0.0572052587068733+0.752028927432513)) * 0.00587119559735481%</f>
        <v>5.8559059335028483E-6</v>
      </c>
      <c r="D2768" t="s">
        <v>242</v>
      </c>
      <c r="E2768" t="s">
        <v>366</v>
      </c>
      <c r="F2768" t="s">
        <v>434</v>
      </c>
      <c r="G2768" s="4" t="s">
        <v>245</v>
      </c>
    </row>
    <row r="2769" spans="1:7" x14ac:dyDescent="0.25">
      <c r="A2769" t="s">
        <v>623</v>
      </c>
      <c r="B2769" t="s">
        <v>157</v>
      </c>
      <c r="C2769" s="4">
        <f>(0.00396421732885982/(0.0900940072589024+0.00396421732885982+0.0572052587068733+0.752028927432513))  * 0.00587119559735481%</f>
        <v>2.5766512650563886E-7</v>
      </c>
      <c r="D2769" t="s">
        <v>256</v>
      </c>
      <c r="E2769" t="s">
        <v>361</v>
      </c>
      <c r="F2769" t="s">
        <v>434</v>
      </c>
      <c r="G2769" s="4" t="s">
        <v>245</v>
      </c>
    </row>
    <row r="2770" spans="1:7" x14ac:dyDescent="0.25">
      <c r="A2770" t="s">
        <v>623</v>
      </c>
      <c r="B2770" t="s">
        <v>157</v>
      </c>
      <c r="C2770" s="4">
        <f>(0.0572052587068733/(0.0900940072589024+0.00396421732885982+0.0572052587068733+0.752028927432513)) * 0.00587119559735481%</f>
        <v>3.7182119441806022E-6</v>
      </c>
      <c r="D2770" t="s">
        <v>256</v>
      </c>
      <c r="E2770" t="s">
        <v>280</v>
      </c>
      <c r="F2770" t="s">
        <v>434</v>
      </c>
      <c r="G2770" s="4" t="s">
        <v>245</v>
      </c>
    </row>
    <row r="2771" spans="1:7" x14ac:dyDescent="0.25">
      <c r="A2771" t="s">
        <v>623</v>
      </c>
      <c r="B2771" t="s">
        <v>157</v>
      </c>
      <c r="C2771" s="4">
        <f>(0.752028927432513/(0.0900940072589024+0.00396421732885982+0.0572052587068733+0.752028927432513)) * 0.00587119559735481%</f>
        <v>4.888017296935901E-5</v>
      </c>
      <c r="D2771" t="s">
        <v>256</v>
      </c>
      <c r="E2771" t="s">
        <v>362</v>
      </c>
      <c r="F2771" t="s">
        <v>434</v>
      </c>
      <c r="G2771" s="4" t="s">
        <v>245</v>
      </c>
    </row>
    <row r="2772" spans="1:7" x14ac:dyDescent="0.25">
      <c r="A2772" t="s">
        <v>623</v>
      </c>
      <c r="B2772" t="s">
        <v>138</v>
      </c>
      <c r="C2772" s="4">
        <v>1.5856440695699098E-2</v>
      </c>
      <c r="D2772" t="s">
        <v>313</v>
      </c>
      <c r="E2772" t="s">
        <v>336</v>
      </c>
      <c r="F2772" t="s">
        <v>434</v>
      </c>
      <c r="G2772" s="4" t="s">
        <v>245</v>
      </c>
    </row>
    <row r="2773" spans="1:7" x14ac:dyDescent="0.25">
      <c r="A2773" t="s">
        <v>623</v>
      </c>
      <c r="B2773" t="s">
        <v>139</v>
      </c>
      <c r="C2773" s="4">
        <f>(0.0900940072589024/(0.0900940072589024+0.00396421732885982+0.0572052587068733+0.752028927432513)) * 0.0302366573263773%</f>
        <v>3.0157915557539701E-5</v>
      </c>
      <c r="D2773" t="s">
        <v>242</v>
      </c>
      <c r="E2773" t="s">
        <v>366</v>
      </c>
      <c r="F2773" t="s">
        <v>434</v>
      </c>
      <c r="G2773" s="4" t="s">
        <v>245</v>
      </c>
    </row>
    <row r="2774" spans="1:7" x14ac:dyDescent="0.25">
      <c r="A2774" t="s">
        <v>623</v>
      </c>
      <c r="B2774" t="s">
        <v>139</v>
      </c>
      <c r="C2774" s="4">
        <f>(0.00396421732885982/(0.0900940072589024+0.00396421732885982+0.0572052587068733+0.752028927432513))  * 0.0302366573263773%</f>
        <v>1.3269754015040418E-6</v>
      </c>
      <c r="D2774" t="s">
        <v>256</v>
      </c>
      <c r="E2774" t="s">
        <v>361</v>
      </c>
      <c r="F2774" t="s">
        <v>434</v>
      </c>
      <c r="G2774" s="4" t="s">
        <v>245</v>
      </c>
    </row>
    <row r="2775" spans="1:7" x14ac:dyDescent="0.25">
      <c r="A2775" t="s">
        <v>623</v>
      </c>
      <c r="B2775" t="s">
        <v>139</v>
      </c>
      <c r="C2775" s="4">
        <f>(0.0572052587068733/(0.0900940072589024+0.00396421732885982+0.0572052587068733+0.752028927432513)) * 0.0302366573263773%</f>
        <v>1.914879151253012E-5</v>
      </c>
      <c r="D2775" t="s">
        <v>256</v>
      </c>
      <c r="E2775" t="s">
        <v>280</v>
      </c>
      <c r="F2775" t="s">
        <v>434</v>
      </c>
      <c r="G2775" s="4" t="s">
        <v>245</v>
      </c>
    </row>
    <row r="2776" spans="1:7" x14ac:dyDescent="0.25">
      <c r="A2776" t="s">
        <v>623</v>
      </c>
      <c r="B2776" t="s">
        <v>139</v>
      </c>
      <c r="C2776" s="4">
        <f>(0.752028927432513/(0.0900940072589024+0.00396421732885982+0.0572052587068733+0.752028927432513)) * 0.0302366573263773%</f>
        <v>2.5173289079219918E-4</v>
      </c>
      <c r="D2776" t="s">
        <v>256</v>
      </c>
      <c r="E2776" t="s">
        <v>362</v>
      </c>
      <c r="F2776" t="s">
        <v>434</v>
      </c>
      <c r="G2776" s="4" t="s">
        <v>245</v>
      </c>
    </row>
    <row r="2777" spans="1:7" x14ac:dyDescent="0.25">
      <c r="A2777" t="s">
        <v>623</v>
      </c>
      <c r="B2777" t="s">
        <v>111</v>
      </c>
      <c r="C2777" s="4">
        <f>(0.0900940072589024/(0.0900940072589024+0.00396421732885982+0.0572052587068733+0.752028927432513)) * 0.0426175410422993%</f>
        <v>4.2506557194813871E-5</v>
      </c>
      <c r="D2777" t="s">
        <v>242</v>
      </c>
      <c r="E2777" t="s">
        <v>366</v>
      </c>
      <c r="F2777" t="s">
        <v>434</v>
      </c>
      <c r="G2777" s="4" t="s">
        <v>245</v>
      </c>
    </row>
    <row r="2778" spans="1:7" x14ac:dyDescent="0.25">
      <c r="A2778" t="s">
        <v>623</v>
      </c>
      <c r="B2778" t="s">
        <v>111</v>
      </c>
      <c r="C2778" s="4">
        <f>(0.00396421732885982/(0.0900940072589024+0.00396421732885982+0.0572052587068733+0.752028927432513))  * 0.0426175410422993%</f>
        <v>1.8703267370228096E-6</v>
      </c>
      <c r="D2778" t="s">
        <v>256</v>
      </c>
      <c r="E2778" t="s">
        <v>361</v>
      </c>
      <c r="F2778" t="s">
        <v>434</v>
      </c>
      <c r="G2778" s="4" t="s">
        <v>245</v>
      </c>
    </row>
    <row r="2779" spans="1:7" x14ac:dyDescent="0.25">
      <c r="A2779" t="s">
        <v>623</v>
      </c>
      <c r="B2779" t="s">
        <v>111</v>
      </c>
      <c r="C2779" s="4">
        <f>(0.0572052587068733/(0.0900940072589024+0.00396421732885982+0.0572052587068733+0.752028927432513)) * 0.0426175410422993%</f>
        <v>2.6989570949820993E-5</v>
      </c>
      <c r="D2779" t="s">
        <v>256</v>
      </c>
      <c r="E2779" t="s">
        <v>280</v>
      </c>
      <c r="F2779" t="s">
        <v>434</v>
      </c>
      <c r="G2779" s="4" t="s">
        <v>245</v>
      </c>
    </row>
    <row r="2780" spans="1:7" x14ac:dyDescent="0.25">
      <c r="A2780" t="s">
        <v>623</v>
      </c>
      <c r="B2780" t="s">
        <v>111</v>
      </c>
      <c r="C2780" s="4">
        <f>(0.752028927432513/(0.0900940072589024+0.00396421732885982+0.0572052587068733+0.752028927432513)) * 0.0426175410422993%</f>
        <v>3.5480895554133537E-4</v>
      </c>
      <c r="D2780" t="s">
        <v>256</v>
      </c>
      <c r="E2780" t="s">
        <v>362</v>
      </c>
      <c r="F2780" t="s">
        <v>434</v>
      </c>
      <c r="G2780" s="4" t="s">
        <v>245</v>
      </c>
    </row>
    <row r="2781" spans="1:7" x14ac:dyDescent="0.25">
      <c r="A2781" t="s">
        <v>623</v>
      </c>
      <c r="B2781" t="s">
        <v>112</v>
      </c>
      <c r="C2781" s="4">
        <f>(0.0900940072589024/(0.0900940072589024+0.00396421732885982+0.0572052587068733+0.752028927432513)) * 0.62509885625587%</f>
        <v>6.2347098485763142E-4</v>
      </c>
      <c r="D2781" t="s">
        <v>242</v>
      </c>
      <c r="E2781" t="s">
        <v>366</v>
      </c>
      <c r="F2781" t="s">
        <v>434</v>
      </c>
      <c r="G2781" s="4" t="s">
        <v>245</v>
      </c>
    </row>
    <row r="2782" spans="1:7" x14ac:dyDescent="0.25">
      <c r="A2782" t="s">
        <v>623</v>
      </c>
      <c r="B2782" t="s">
        <v>112</v>
      </c>
      <c r="C2782" s="4">
        <f>(0.00396421732885982/(0.0900940072589024+0.00396421732885982+0.0572052587068733+0.752028927432513))  * 0.62509885625587%</f>
        <v>2.7433283937647245E-5</v>
      </c>
      <c r="D2782" t="s">
        <v>256</v>
      </c>
      <c r="E2782" t="s">
        <v>361</v>
      </c>
      <c r="F2782" t="s">
        <v>434</v>
      </c>
      <c r="G2782" s="4" t="s">
        <v>245</v>
      </c>
    </row>
    <row r="2783" spans="1:7" x14ac:dyDescent="0.25">
      <c r="A2783" t="s">
        <v>623</v>
      </c>
      <c r="B2783" t="s">
        <v>112</v>
      </c>
      <c r="C2783" s="4">
        <f>(0.0572052587068733/(0.0900940072589024+0.00396421732885982+0.0572052587068733+0.752028927432513)) * 0.62509885625587%</f>
        <v>3.9587337793197855E-4</v>
      </c>
      <c r="D2783" t="s">
        <v>256</v>
      </c>
      <c r="E2783" t="s">
        <v>280</v>
      </c>
      <c r="F2783" t="s">
        <v>434</v>
      </c>
      <c r="G2783" s="4" t="s">
        <v>245</v>
      </c>
    </row>
    <row r="2784" spans="1:7" x14ac:dyDescent="0.25">
      <c r="A2784" t="s">
        <v>623</v>
      </c>
      <c r="B2784" t="s">
        <v>112</v>
      </c>
      <c r="C2784" s="4">
        <f>(0.752028927432513/(0.0900940072589024+0.00396421732885982+0.0572052587068733+0.752028927432513)) * 0.62509885625587%</f>
        <v>5.2042109158314427E-3</v>
      </c>
      <c r="D2784" t="s">
        <v>256</v>
      </c>
      <c r="E2784" t="s">
        <v>362</v>
      </c>
      <c r="F2784" t="s">
        <v>434</v>
      </c>
      <c r="G2784" s="4" t="s">
        <v>245</v>
      </c>
    </row>
    <row r="2785" spans="1:7" x14ac:dyDescent="0.25">
      <c r="A2785" t="s">
        <v>623</v>
      </c>
      <c r="B2785" t="s">
        <v>113</v>
      </c>
      <c r="C2785" s="4">
        <f>(0.0900940072589024/(0.0900940072589024+0.00396421732885982+0.0572052587068733+0.752028927432513)) * 3.65114976210503%</f>
        <v>3.6416415023970911E-3</v>
      </c>
      <c r="D2785" t="s">
        <v>242</v>
      </c>
      <c r="E2785" t="s">
        <v>366</v>
      </c>
      <c r="F2785" t="s">
        <v>434</v>
      </c>
      <c r="G2785" s="4" t="s">
        <v>245</v>
      </c>
    </row>
    <row r="2786" spans="1:7" x14ac:dyDescent="0.25">
      <c r="A2786" t="s">
        <v>623</v>
      </c>
      <c r="B2786" t="s">
        <v>113</v>
      </c>
      <c r="C2786" s="4">
        <f>(0.00396421732885982/(0.0900940072589024+0.00396421732885982+0.0572052587068733+0.752028927432513))  * 3.65114976210503%</f>
        <v>1.6023550054569452E-4</v>
      </c>
      <c r="D2786" t="s">
        <v>256</v>
      </c>
      <c r="E2786" t="s">
        <v>361</v>
      </c>
      <c r="F2786" t="s">
        <v>434</v>
      </c>
      <c r="G2786" s="4" t="s">
        <v>245</v>
      </c>
    </row>
    <row r="2787" spans="1:7" x14ac:dyDescent="0.25">
      <c r="A2787" t="s">
        <v>623</v>
      </c>
      <c r="B2787" t="s">
        <v>113</v>
      </c>
      <c r="C2787" s="4">
        <f>(0.0572052587068733/(0.0900940072589024+0.00396421732885982+0.0572052587068733+0.752028927432513)) * 3.65114976210503%</f>
        <v>2.3122630527873168E-3</v>
      </c>
      <c r="D2787" t="s">
        <v>256</v>
      </c>
      <c r="E2787" t="s">
        <v>280</v>
      </c>
      <c r="F2787" t="s">
        <v>434</v>
      </c>
      <c r="G2787" s="4" t="s">
        <v>245</v>
      </c>
    </row>
    <row r="2788" spans="1:7" x14ac:dyDescent="0.25">
      <c r="A2788" t="s">
        <v>623</v>
      </c>
      <c r="B2788" t="s">
        <v>113</v>
      </c>
      <c r="C2788" s="4">
        <f>(0.752028927432513/(0.0900940072589024+0.00396421732885982+0.0572052587068733+0.752028927432513)) * 3.65114976210503%</f>
        <v>3.0397357565320197E-2</v>
      </c>
      <c r="D2788" t="s">
        <v>256</v>
      </c>
      <c r="E2788" t="s">
        <v>362</v>
      </c>
      <c r="F2788" t="s">
        <v>434</v>
      </c>
      <c r="G2788" s="4" t="s">
        <v>245</v>
      </c>
    </row>
    <row r="2789" spans="1:7" x14ac:dyDescent="0.25">
      <c r="A2789" t="s">
        <v>623</v>
      </c>
      <c r="B2789" t="s">
        <v>140</v>
      </c>
      <c r="C2789" s="4">
        <f>(0.0900940072589024/(0.0900940072589024+0.00396421732885982+0.0572052587068733+0.752028927432513)) * 0.000462356653291692%</f>
        <v>4.6115259226335001E-7</v>
      </c>
      <c r="D2789" t="s">
        <v>242</v>
      </c>
      <c r="E2789" t="s">
        <v>366</v>
      </c>
      <c r="F2789" t="s">
        <v>434</v>
      </c>
      <c r="G2789" s="4" t="s">
        <v>245</v>
      </c>
    </row>
    <row r="2790" spans="1:7" x14ac:dyDescent="0.25">
      <c r="A2790" t="s">
        <v>623</v>
      </c>
      <c r="B2790" t="s">
        <v>140</v>
      </c>
      <c r="C2790" s="4">
        <f>(0.00396421732885982/(0.0900940072589024+0.00396421732885982+0.0572052587068733+0.752028927432513))  * 0.000462356653291692%</f>
        <v>2.0291128712319094E-8</v>
      </c>
      <c r="D2790" t="s">
        <v>256</v>
      </c>
      <c r="E2790" t="s">
        <v>361</v>
      </c>
      <c r="F2790" t="s">
        <v>434</v>
      </c>
      <c r="G2790" s="4" t="s">
        <v>245</v>
      </c>
    </row>
    <row r="2791" spans="1:7" x14ac:dyDescent="0.25">
      <c r="A2791" t="s">
        <v>623</v>
      </c>
      <c r="B2791" t="s">
        <v>140</v>
      </c>
      <c r="C2791" s="4">
        <f>(0.0572052587068733/(0.0900940072589024+0.00396421732885982+0.0572052587068733+0.752028927432513)) * 0.000462356653291692%</f>
        <v>2.9280919060422287E-7</v>
      </c>
      <c r="D2791" t="s">
        <v>256</v>
      </c>
      <c r="E2791" t="s">
        <v>280</v>
      </c>
      <c r="F2791" t="s">
        <v>434</v>
      </c>
      <c r="G2791" s="4" t="s">
        <v>245</v>
      </c>
    </row>
    <row r="2792" spans="1:7" x14ac:dyDescent="0.25">
      <c r="A2792" t="s">
        <v>623</v>
      </c>
      <c r="B2792" t="s">
        <v>140</v>
      </c>
      <c r="C2792" s="4">
        <f>(0.752028927432513/(0.0900940072589024+0.00396421732885982+0.0572052587068733+0.752028927432513)) * 0.000462356653291692%</f>
        <v>3.8493136213370284E-6</v>
      </c>
      <c r="D2792" t="s">
        <v>256</v>
      </c>
      <c r="E2792" t="s">
        <v>362</v>
      </c>
      <c r="F2792" t="s">
        <v>434</v>
      </c>
      <c r="G2792" s="4" t="s">
        <v>245</v>
      </c>
    </row>
    <row r="2793" spans="1:7" x14ac:dyDescent="0.25">
      <c r="A2793" t="s">
        <v>623</v>
      </c>
      <c r="B2793" t="s">
        <v>180</v>
      </c>
      <c r="C2793" s="4">
        <f>(0.0900940072589024/(0.0900940072589024+0.00396421732885982+0.0572052587068733+0.752028927432513)) * 0.707625849371189%</f>
        <v>7.0578306263543132E-4</v>
      </c>
      <c r="D2793" t="s">
        <v>242</v>
      </c>
      <c r="E2793" t="s">
        <v>366</v>
      </c>
      <c r="F2793" t="s">
        <v>434</v>
      </c>
      <c r="G2793" s="4" t="s">
        <v>245</v>
      </c>
    </row>
    <row r="2794" spans="1:7" x14ac:dyDescent="0.25">
      <c r="A2794" t="s">
        <v>623</v>
      </c>
      <c r="B2794" t="s">
        <v>180</v>
      </c>
      <c r="C2794" s="4">
        <f>(0.00396421732885982/(0.0900940072589024+0.00396421732885982+0.0572052587068733+0.752028927432513))  * 0.707625849371189%</f>
        <v>3.1055089372092151E-5</v>
      </c>
      <c r="D2794" t="s">
        <v>256</v>
      </c>
      <c r="E2794" t="s">
        <v>361</v>
      </c>
      <c r="F2794" t="s">
        <v>434</v>
      </c>
      <c r="G2794" s="4" t="s">
        <v>245</v>
      </c>
    </row>
    <row r="2795" spans="1:7" x14ac:dyDescent="0.25">
      <c r="A2795" t="s">
        <v>623</v>
      </c>
      <c r="B2795" t="s">
        <v>180</v>
      </c>
      <c r="C2795" s="4">
        <f>(0.0572052587068733/(0.0900940072589024+0.00396421732885982+0.0572052587068733+0.752028927432513)) * 0.707625849371189%</f>
        <v>4.4813749457236742E-4</v>
      </c>
      <c r="D2795" t="s">
        <v>256</v>
      </c>
      <c r="E2795" t="s">
        <v>280</v>
      </c>
      <c r="F2795" t="s">
        <v>434</v>
      </c>
      <c r="G2795" s="4" t="s">
        <v>245</v>
      </c>
    </row>
    <row r="2796" spans="1:7" x14ac:dyDescent="0.25">
      <c r="A2796" t="s">
        <v>623</v>
      </c>
      <c r="B2796" t="s">
        <v>180</v>
      </c>
      <c r="C2796" s="4">
        <f>(0.752028927432513/(0.0900940072589024+0.00396421732885982+0.0572052587068733+0.752028927432513)) * 0.707625849371189%</f>
        <v>5.8912828471319994E-3</v>
      </c>
      <c r="D2796" t="s">
        <v>256</v>
      </c>
      <c r="E2796" t="s">
        <v>362</v>
      </c>
      <c r="F2796" t="s">
        <v>434</v>
      </c>
      <c r="G2796" s="4" t="s">
        <v>245</v>
      </c>
    </row>
    <row r="2797" spans="1:7" x14ac:dyDescent="0.25">
      <c r="A2797" t="s">
        <v>623</v>
      </c>
      <c r="B2797" t="s">
        <v>143</v>
      </c>
      <c r="C2797" s="4">
        <f>(0.0900940072589024/(0.0900940072589024+0.00396421732885982+0.0572052587068733+0.752028927432513)) * 0.018571325573883%</f>
        <v>1.8522962455911264E-5</v>
      </c>
      <c r="D2797" t="s">
        <v>242</v>
      </c>
      <c r="E2797" t="s">
        <v>366</v>
      </c>
      <c r="F2797" t="s">
        <v>434</v>
      </c>
      <c r="G2797" s="4" t="s">
        <v>245</v>
      </c>
    </row>
    <row r="2798" spans="1:7" x14ac:dyDescent="0.25">
      <c r="A2798" t="s">
        <v>623</v>
      </c>
      <c r="B2798" t="s">
        <v>143</v>
      </c>
      <c r="C2798" s="4">
        <f>(0.00396421732885982/(0.0900940072589024+0.00396421732885982+0.0572052587068733+0.752028927432513))  * 0.018571325573883%</f>
        <v>8.150270032781519E-7</v>
      </c>
      <c r="D2798" t="s">
        <v>256</v>
      </c>
      <c r="E2798" t="s">
        <v>361</v>
      </c>
      <c r="F2798" t="s">
        <v>434</v>
      </c>
      <c r="G2798" s="4" t="s">
        <v>245</v>
      </c>
    </row>
    <row r="2799" spans="1:7" x14ac:dyDescent="0.25">
      <c r="A2799" t="s">
        <v>623</v>
      </c>
      <c r="B2799" t="s">
        <v>143</v>
      </c>
      <c r="C2799" s="4">
        <f>(0.0572052587068733/(0.0900940072589024+0.00396421732885982+0.0572052587068733+0.752028927432513)) * 0.018571325573883%</f>
        <v>1.176116915593631E-5</v>
      </c>
      <c r="D2799" t="s">
        <v>256</v>
      </c>
      <c r="E2799" t="s">
        <v>280</v>
      </c>
      <c r="F2799" t="s">
        <v>434</v>
      </c>
      <c r="G2799" s="4" t="s">
        <v>245</v>
      </c>
    </row>
    <row r="2800" spans="1:7" x14ac:dyDescent="0.25">
      <c r="A2800" t="s">
        <v>623</v>
      </c>
      <c r="B2800" t="s">
        <v>143</v>
      </c>
      <c r="C2800" s="4">
        <f>(0.752028927432513/(0.0900940072589024+0.00396421732885982+0.0572052587068733+0.752028927432513)) * 0.018571325573883%</f>
        <v>1.5461409712370428E-4</v>
      </c>
      <c r="D2800" t="s">
        <v>256</v>
      </c>
      <c r="E2800" t="s">
        <v>362</v>
      </c>
      <c r="F2800" t="s">
        <v>434</v>
      </c>
      <c r="G2800" s="4" t="s">
        <v>245</v>
      </c>
    </row>
    <row r="2801" spans="1:8" x14ac:dyDescent="0.25">
      <c r="A2801" t="s">
        <v>623</v>
      </c>
      <c r="B2801" t="s">
        <v>158</v>
      </c>
      <c r="C2801" s="4">
        <f>(0.0900940072589024/(0.0900940072589024+0.00396421732885982+0.0572052587068733+0.752028927432513)) * 0.00552039166041287%</f>
        <v>5.5060155539760626E-6</v>
      </c>
      <c r="D2801" t="s">
        <v>242</v>
      </c>
      <c r="E2801" t="s">
        <v>366</v>
      </c>
      <c r="F2801" t="s">
        <v>434</v>
      </c>
      <c r="G2801" s="4" t="s">
        <v>245</v>
      </c>
    </row>
    <row r="2802" spans="1:8" x14ac:dyDescent="0.25">
      <c r="A2802" t="s">
        <v>623</v>
      </c>
      <c r="B2802" t="s">
        <v>158</v>
      </c>
      <c r="C2802" s="4">
        <f>(0.00396421732885982/(0.0900940072589024+0.00396421732885982+0.0572052587068733+0.752028927432513))  * 0.00552039166041287%</f>
        <v>2.4226963519692739E-7</v>
      </c>
      <c r="D2802" t="s">
        <v>256</v>
      </c>
      <c r="E2802" t="s">
        <v>361</v>
      </c>
      <c r="F2802" t="s">
        <v>434</v>
      </c>
      <c r="G2802" s="4" t="s">
        <v>245</v>
      </c>
    </row>
    <row r="2803" spans="1:8" x14ac:dyDescent="0.25">
      <c r="A2803" t="s">
        <v>623</v>
      </c>
      <c r="B2803" t="s">
        <v>158</v>
      </c>
      <c r="C2803" s="4">
        <f>(0.0572052587068733/(0.0900940072589024+0.00396421732885982+0.0572052587068733+0.752028927432513)) * 0.00552039166041287%</f>
        <v>3.4960487805158172E-6</v>
      </c>
      <c r="D2803" t="s">
        <v>256</v>
      </c>
      <c r="E2803" t="s">
        <v>280</v>
      </c>
      <c r="F2803" t="s">
        <v>434</v>
      </c>
      <c r="G2803" s="4" t="s">
        <v>245</v>
      </c>
    </row>
    <row r="2804" spans="1:8" x14ac:dyDescent="0.25">
      <c r="A2804" t="s">
        <v>623</v>
      </c>
      <c r="B2804" t="s">
        <v>158</v>
      </c>
      <c r="C2804" s="4">
        <f>(0.752028927432513/(0.0900940072589024+0.00396421732885982+0.0572052587068733+0.752028927432513)) * 0.00552039166041287%</f>
        <v>4.5959582634439892E-5</v>
      </c>
      <c r="D2804" t="s">
        <v>256</v>
      </c>
      <c r="E2804" t="s">
        <v>362</v>
      </c>
      <c r="F2804" t="s">
        <v>434</v>
      </c>
      <c r="G2804" s="4" t="s">
        <v>245</v>
      </c>
    </row>
    <row r="2805" spans="1:8" x14ac:dyDescent="0.25">
      <c r="A2805" t="s">
        <v>414</v>
      </c>
      <c r="B2805" t="s">
        <v>124</v>
      </c>
      <c r="C2805" s="4">
        <v>3.9611241060809347E-3</v>
      </c>
      <c r="D2805" t="s">
        <v>256</v>
      </c>
      <c r="E2805" t="s">
        <v>413</v>
      </c>
      <c r="F2805" t="s">
        <v>414</v>
      </c>
      <c r="G2805" t="s">
        <v>245</v>
      </c>
      <c r="H2805" t="s">
        <v>625</v>
      </c>
    </row>
    <row r="2806" spans="1:8" x14ac:dyDescent="0.25">
      <c r="A2806" t="s">
        <v>414</v>
      </c>
      <c r="B2806" t="s">
        <v>86</v>
      </c>
      <c r="C2806" s="4">
        <v>0.1593082861637935</v>
      </c>
      <c r="D2806" t="s">
        <v>254</v>
      </c>
      <c r="E2806" t="s">
        <v>413</v>
      </c>
      <c r="F2806" t="s">
        <v>414</v>
      </c>
      <c r="G2806" t="s">
        <v>245</v>
      </c>
    </row>
    <row r="2807" spans="1:8" x14ac:dyDescent="0.25">
      <c r="A2807" t="s">
        <v>414</v>
      </c>
      <c r="B2807" t="s">
        <v>99</v>
      </c>
      <c r="C2807" s="4">
        <v>0.3639303085918813</v>
      </c>
      <c r="D2807" t="s">
        <v>256</v>
      </c>
      <c r="E2807" t="s">
        <v>413</v>
      </c>
      <c r="F2807" t="s">
        <v>414</v>
      </c>
      <c r="G2807" t="s">
        <v>245</v>
      </c>
    </row>
    <row r="2808" spans="1:8" x14ac:dyDescent="0.25">
      <c r="A2808" t="s">
        <v>414</v>
      </c>
      <c r="B2808" t="s">
        <v>150</v>
      </c>
      <c r="C2808" s="4">
        <v>8.8900828687476452E-2</v>
      </c>
      <c r="D2808" t="s">
        <v>256</v>
      </c>
      <c r="E2808" t="s">
        <v>413</v>
      </c>
      <c r="F2808" t="s">
        <v>414</v>
      </c>
      <c r="G2808" t="s">
        <v>245</v>
      </c>
    </row>
    <row r="2809" spans="1:8" x14ac:dyDescent="0.25">
      <c r="A2809" t="s">
        <v>414</v>
      </c>
      <c r="B2809" t="s">
        <v>121</v>
      </c>
      <c r="C2809" s="4">
        <v>0.38389945245076779</v>
      </c>
      <c r="D2809" t="s">
        <v>415</v>
      </c>
      <c r="E2809" t="s">
        <v>413</v>
      </c>
      <c r="F2809" t="s">
        <v>414</v>
      </c>
      <c r="G2809" t="s">
        <v>245</v>
      </c>
    </row>
    <row r="2810" spans="1:8" ht="15.75" x14ac:dyDescent="0.25">
      <c r="A2810" t="s">
        <v>739</v>
      </c>
      <c r="B2810" s="29" t="s">
        <v>181</v>
      </c>
      <c r="C2810" s="2">
        <v>6.1849491472216014E-4</v>
      </c>
      <c r="D2810" t="s">
        <v>741</v>
      </c>
      <c r="E2810" s="29" t="s">
        <v>740</v>
      </c>
      <c r="F2810" t="s">
        <v>739</v>
      </c>
      <c r="G2810" t="s">
        <v>245</v>
      </c>
    </row>
    <row r="2811" spans="1:8" ht="15.75" x14ac:dyDescent="0.25">
      <c r="A2811" t="s">
        <v>739</v>
      </c>
      <c r="B2811" s="29" t="s">
        <v>220</v>
      </c>
      <c r="C2811" s="2">
        <v>9.2853235876977163E-4</v>
      </c>
      <c r="D2811" t="s">
        <v>256</v>
      </c>
      <c r="E2811" s="29" t="s">
        <v>740</v>
      </c>
      <c r="F2811" t="s">
        <v>739</v>
      </c>
      <c r="G2811" t="s">
        <v>245</v>
      </c>
    </row>
    <row r="2812" spans="1:8" ht="15.75" x14ac:dyDescent="0.25">
      <c r="A2812" t="s">
        <v>739</v>
      </c>
      <c r="B2812" s="29" t="s">
        <v>163</v>
      </c>
      <c r="C2812" s="2">
        <v>1.1747683051574402E-3</v>
      </c>
      <c r="D2812" t="s">
        <v>256</v>
      </c>
      <c r="E2812" t="s">
        <v>280</v>
      </c>
      <c r="F2812" t="s">
        <v>739</v>
      </c>
      <c r="G2812" t="s">
        <v>245</v>
      </c>
    </row>
    <row r="2813" spans="1:8" ht="15.75" x14ac:dyDescent="0.25">
      <c r="A2813" t="s">
        <v>739</v>
      </c>
      <c r="B2813" s="29" t="s">
        <v>163</v>
      </c>
      <c r="C2813" s="2">
        <v>4.4479127377712877E-3</v>
      </c>
      <c r="D2813" t="s">
        <v>741</v>
      </c>
      <c r="E2813" s="31" t="s">
        <v>740</v>
      </c>
      <c r="F2813" t="s">
        <v>739</v>
      </c>
      <c r="G2813" t="s">
        <v>245</v>
      </c>
    </row>
    <row r="2814" spans="1:8" ht="15.75" x14ac:dyDescent="0.25">
      <c r="A2814" t="s">
        <v>739</v>
      </c>
      <c r="B2814" s="29" t="s">
        <v>84</v>
      </c>
      <c r="C2814" s="2">
        <v>1.1565006580122418E-5</v>
      </c>
      <c r="D2814" t="s">
        <v>256</v>
      </c>
      <c r="E2814" t="s">
        <v>280</v>
      </c>
      <c r="F2814" t="s">
        <v>739</v>
      </c>
      <c r="G2814" t="s">
        <v>245</v>
      </c>
    </row>
    <row r="2815" spans="1:8" ht="15.75" x14ac:dyDescent="0.25">
      <c r="A2815" t="s">
        <v>739</v>
      </c>
      <c r="B2815" s="29" t="s">
        <v>84</v>
      </c>
      <c r="C2815" s="2">
        <v>4.378747694698945E-5</v>
      </c>
      <c r="D2815" t="s">
        <v>741</v>
      </c>
      <c r="E2815" s="31" t="s">
        <v>740</v>
      </c>
      <c r="F2815" t="s">
        <v>739</v>
      </c>
      <c r="G2815" t="s">
        <v>245</v>
      </c>
    </row>
    <row r="2816" spans="1:8" ht="15.75" x14ac:dyDescent="0.25">
      <c r="A2816" t="s">
        <v>739</v>
      </c>
      <c r="B2816" s="29" t="s">
        <v>147</v>
      </c>
      <c r="C2816" s="2">
        <v>6.2079121766009226E-3</v>
      </c>
      <c r="D2816" t="s">
        <v>256</v>
      </c>
      <c r="E2816" s="29" t="s">
        <v>280</v>
      </c>
      <c r="F2816" t="s">
        <v>739</v>
      </c>
      <c r="G2816" t="s">
        <v>245</v>
      </c>
    </row>
    <row r="2817" spans="1:7" ht="15.75" x14ac:dyDescent="0.25">
      <c r="A2817" t="s">
        <v>739</v>
      </c>
      <c r="B2817" s="29" t="s">
        <v>147</v>
      </c>
      <c r="C2817" s="2">
        <v>8.4340215643930925E-4</v>
      </c>
      <c r="D2817" t="s">
        <v>741</v>
      </c>
      <c r="E2817" s="29" t="s">
        <v>740</v>
      </c>
      <c r="F2817" t="s">
        <v>739</v>
      </c>
      <c r="G2817" t="s">
        <v>245</v>
      </c>
    </row>
    <row r="2818" spans="1:7" ht="15.75" x14ac:dyDescent="0.25">
      <c r="A2818" t="s">
        <v>739</v>
      </c>
      <c r="B2818" s="29" t="s">
        <v>88</v>
      </c>
      <c r="C2818" s="2">
        <v>2.1785358834879503E-4</v>
      </c>
      <c r="D2818" t="s">
        <v>741</v>
      </c>
      <c r="E2818" s="29" t="s">
        <v>740</v>
      </c>
      <c r="F2818" t="s">
        <v>739</v>
      </c>
      <c r="G2818" t="s">
        <v>245</v>
      </c>
    </row>
    <row r="2819" spans="1:7" ht="15.75" x14ac:dyDescent="0.25">
      <c r="A2819" t="s">
        <v>739</v>
      </c>
      <c r="B2819" s="29" t="s">
        <v>217</v>
      </c>
      <c r="C2819" s="2">
        <v>3.6266292726890297E-4</v>
      </c>
      <c r="D2819" t="s">
        <v>741</v>
      </c>
      <c r="E2819" s="32" t="s">
        <v>740</v>
      </c>
      <c r="F2819" t="s">
        <v>739</v>
      </c>
      <c r="G2819" t="s">
        <v>245</v>
      </c>
    </row>
    <row r="2820" spans="1:7" ht="15.75" x14ac:dyDescent="0.25">
      <c r="A2820" t="s">
        <v>739</v>
      </c>
      <c r="B2820" s="29" t="s">
        <v>735</v>
      </c>
      <c r="C2820" s="2">
        <v>5.6176206299900928E-5</v>
      </c>
      <c r="D2820" t="s">
        <v>741</v>
      </c>
      <c r="E2820" s="29" t="s">
        <v>740</v>
      </c>
      <c r="F2820" t="s">
        <v>739</v>
      </c>
      <c r="G2820" t="s">
        <v>245</v>
      </c>
    </row>
    <row r="2821" spans="1:7" ht="15.75" x14ac:dyDescent="0.25">
      <c r="A2821" t="s">
        <v>739</v>
      </c>
      <c r="B2821" s="29" t="s">
        <v>154</v>
      </c>
      <c r="C2821" s="2">
        <v>4.817341625809525E-3</v>
      </c>
      <c r="D2821" t="s">
        <v>256</v>
      </c>
      <c r="E2821" s="32" t="s">
        <v>280</v>
      </c>
      <c r="F2821" t="s">
        <v>739</v>
      </c>
      <c r="G2821" t="s">
        <v>245</v>
      </c>
    </row>
    <row r="2822" spans="1:7" ht="15.75" x14ac:dyDescent="0.25">
      <c r="A2822" t="s">
        <v>739</v>
      </c>
      <c r="B2822" s="29" t="s">
        <v>154</v>
      </c>
      <c r="C2822" s="2">
        <v>1.7711445285225494E-3</v>
      </c>
      <c r="D2822" t="s">
        <v>741</v>
      </c>
      <c r="E2822" s="29" t="s">
        <v>740</v>
      </c>
      <c r="F2822" t="s">
        <v>739</v>
      </c>
      <c r="G2822" t="s">
        <v>245</v>
      </c>
    </row>
    <row r="2823" spans="1:7" ht="15.75" x14ac:dyDescent="0.25">
      <c r="A2823" t="s">
        <v>739</v>
      </c>
      <c r="B2823" s="29" t="s">
        <v>91</v>
      </c>
      <c r="C2823" s="2">
        <v>5.2009799647090736E-3</v>
      </c>
      <c r="D2823" t="s">
        <v>741</v>
      </c>
      <c r="E2823" s="29" t="s">
        <v>740</v>
      </c>
      <c r="F2823" t="s">
        <v>739</v>
      </c>
      <c r="G2823" t="s">
        <v>245</v>
      </c>
    </row>
    <row r="2824" spans="1:7" ht="15.75" x14ac:dyDescent="0.25">
      <c r="A2824" t="s">
        <v>739</v>
      </c>
      <c r="B2824" s="29" t="s">
        <v>117</v>
      </c>
      <c r="C2824" s="2">
        <v>6.0523466488456917E-3</v>
      </c>
      <c r="D2824" t="s">
        <v>741</v>
      </c>
      <c r="E2824" s="29" t="s">
        <v>740</v>
      </c>
      <c r="F2824" t="s">
        <v>739</v>
      </c>
      <c r="G2824" t="s">
        <v>245</v>
      </c>
    </row>
    <row r="2825" spans="1:7" ht="15.75" x14ac:dyDescent="0.25">
      <c r="A2825" t="s">
        <v>739</v>
      </c>
      <c r="B2825" s="29" t="s">
        <v>93</v>
      </c>
      <c r="C2825" s="2">
        <v>6.6190201237356994E-3</v>
      </c>
      <c r="D2825" t="s">
        <v>741</v>
      </c>
      <c r="E2825" s="29" t="s">
        <v>740</v>
      </c>
      <c r="F2825" t="s">
        <v>739</v>
      </c>
      <c r="G2825" t="s">
        <v>245</v>
      </c>
    </row>
    <row r="2826" spans="1:7" ht="15.75" x14ac:dyDescent="0.25">
      <c r="A2826" t="s">
        <v>739</v>
      </c>
      <c r="B2826" s="29" t="s">
        <v>96</v>
      </c>
      <c r="C2826" s="2">
        <v>7.5906194079537834E-4</v>
      </c>
      <c r="D2826" t="s">
        <v>741</v>
      </c>
      <c r="E2826" s="29" t="s">
        <v>740</v>
      </c>
      <c r="F2826" t="s">
        <v>739</v>
      </c>
      <c r="G2826" t="s">
        <v>245</v>
      </c>
    </row>
    <row r="2827" spans="1:7" ht="15.75" x14ac:dyDescent="0.25">
      <c r="A2827" t="s">
        <v>739</v>
      </c>
      <c r="B2827" s="29" t="s">
        <v>736</v>
      </c>
      <c r="C2827" s="2">
        <v>1.1757110400979615E-3</v>
      </c>
      <c r="D2827" t="s">
        <v>741</v>
      </c>
      <c r="E2827" s="29" t="s">
        <v>740</v>
      </c>
      <c r="F2827" t="s">
        <v>739</v>
      </c>
      <c r="G2827" t="s">
        <v>245</v>
      </c>
    </row>
    <row r="2828" spans="1:7" ht="15.75" x14ac:dyDescent="0.25">
      <c r="A2828" t="s">
        <v>739</v>
      </c>
      <c r="B2828" s="29" t="s">
        <v>130</v>
      </c>
      <c r="C2828" s="2">
        <v>1.2594805536160351E-3</v>
      </c>
      <c r="D2828" t="s">
        <v>256</v>
      </c>
      <c r="E2828" s="29" t="s">
        <v>280</v>
      </c>
      <c r="F2828" t="s">
        <v>739</v>
      </c>
      <c r="G2828" t="s">
        <v>245</v>
      </c>
    </row>
    <row r="2829" spans="1:7" ht="15.75" x14ac:dyDescent="0.25">
      <c r="A2829" t="s">
        <v>739</v>
      </c>
      <c r="B2829" s="29" t="s">
        <v>130</v>
      </c>
      <c r="C2829" s="2">
        <v>7.1970317349487724E-3</v>
      </c>
      <c r="D2829" t="s">
        <v>741</v>
      </c>
      <c r="E2829" s="29" t="s">
        <v>740</v>
      </c>
      <c r="F2829" t="s">
        <v>739</v>
      </c>
      <c r="G2829" t="s">
        <v>245</v>
      </c>
    </row>
    <row r="2830" spans="1:7" ht="15.75" x14ac:dyDescent="0.25">
      <c r="A2830" t="s">
        <v>739</v>
      </c>
      <c r="B2830" s="29" t="s">
        <v>132</v>
      </c>
      <c r="C2830" s="2">
        <v>9.8680020241764203E-4</v>
      </c>
      <c r="D2830" t="s">
        <v>256</v>
      </c>
      <c r="E2830" s="30" t="s">
        <v>280</v>
      </c>
      <c r="F2830" t="s">
        <v>739</v>
      </c>
      <c r="G2830" t="s">
        <v>245</v>
      </c>
    </row>
    <row r="2831" spans="1:7" ht="15.75" x14ac:dyDescent="0.25">
      <c r="A2831" t="s">
        <v>739</v>
      </c>
      <c r="B2831" s="29" t="s">
        <v>132</v>
      </c>
      <c r="C2831" s="2">
        <v>3.0924745736108007E-4</v>
      </c>
      <c r="D2831" t="s">
        <v>741</v>
      </c>
      <c r="E2831" s="29" t="s">
        <v>740</v>
      </c>
      <c r="F2831" t="s">
        <v>739</v>
      </c>
      <c r="G2831" t="s">
        <v>245</v>
      </c>
    </row>
    <row r="2832" spans="1:7" ht="15.75" x14ac:dyDescent="0.25">
      <c r="A2832" t="s">
        <v>739</v>
      </c>
      <c r="B2832" s="29" t="s">
        <v>151</v>
      </c>
      <c r="C2832" s="2">
        <v>3.9358767300501103E-3</v>
      </c>
      <c r="D2832" t="s">
        <v>256</v>
      </c>
      <c r="E2832" s="32" t="s">
        <v>280</v>
      </c>
      <c r="F2832" t="s">
        <v>739</v>
      </c>
      <c r="G2832" t="s">
        <v>245</v>
      </c>
    </row>
    <row r="2833" spans="1:7" ht="15.75" x14ac:dyDescent="0.25">
      <c r="A2833" t="s">
        <v>739</v>
      </c>
      <c r="B2833" s="29" t="s">
        <v>151</v>
      </c>
      <c r="C2833" s="2">
        <v>3.4003163607111486E-4</v>
      </c>
      <c r="D2833" t="s">
        <v>741</v>
      </c>
      <c r="E2833" s="29" t="s">
        <v>740</v>
      </c>
      <c r="F2833" t="s">
        <v>739</v>
      </c>
      <c r="G2833" t="s">
        <v>245</v>
      </c>
    </row>
    <row r="2834" spans="1:7" ht="15.75" x14ac:dyDescent="0.25">
      <c r="A2834" t="s">
        <v>739</v>
      </c>
      <c r="B2834" s="29" t="s">
        <v>178</v>
      </c>
      <c r="C2834" s="2">
        <v>6.167533602076561E-5</v>
      </c>
      <c r="D2834" t="s">
        <v>256</v>
      </c>
      <c r="E2834" t="s">
        <v>280</v>
      </c>
      <c r="F2834" t="s">
        <v>739</v>
      </c>
      <c r="G2834" t="s">
        <v>245</v>
      </c>
    </row>
    <row r="2835" spans="1:7" ht="15.75" x14ac:dyDescent="0.25">
      <c r="A2835" t="s">
        <v>739</v>
      </c>
      <c r="B2835" s="29" t="s">
        <v>178</v>
      </c>
      <c r="C2835" s="2">
        <v>2.3351541873299262E-4</v>
      </c>
      <c r="D2835" t="s">
        <v>741</v>
      </c>
      <c r="E2835" s="31" t="s">
        <v>740</v>
      </c>
      <c r="F2835" t="s">
        <v>739</v>
      </c>
      <c r="G2835" t="s">
        <v>245</v>
      </c>
    </row>
    <row r="2836" spans="1:7" ht="15.75" x14ac:dyDescent="0.25">
      <c r="A2836" t="s">
        <v>739</v>
      </c>
      <c r="B2836" s="29" t="s">
        <v>120</v>
      </c>
      <c r="C2836" s="2">
        <v>1.2335067204153122E-4</v>
      </c>
      <c r="D2836" t="s">
        <v>256</v>
      </c>
      <c r="E2836" t="s">
        <v>280</v>
      </c>
      <c r="F2836" t="s">
        <v>739</v>
      </c>
      <c r="G2836" t="s">
        <v>245</v>
      </c>
    </row>
    <row r="2837" spans="1:7" ht="15.75" x14ac:dyDescent="0.25">
      <c r="A2837" t="s">
        <v>739</v>
      </c>
      <c r="B2837" s="29" t="s">
        <v>120</v>
      </c>
      <c r="C2837" s="2">
        <v>4.6703083746598524E-4</v>
      </c>
      <c r="D2837" t="s">
        <v>741</v>
      </c>
      <c r="E2837" s="31" t="s">
        <v>740</v>
      </c>
      <c r="F2837" t="s">
        <v>739</v>
      </c>
      <c r="G2837" t="s">
        <v>245</v>
      </c>
    </row>
    <row r="2838" spans="1:7" ht="15.75" x14ac:dyDescent="0.25">
      <c r="A2838" t="s">
        <v>739</v>
      </c>
      <c r="B2838" s="29" t="s">
        <v>107</v>
      </c>
      <c r="C2838" s="2">
        <v>9.1368566947591837E-2</v>
      </c>
      <c r="D2838" t="s">
        <v>256</v>
      </c>
      <c r="E2838" s="29" t="s">
        <v>740</v>
      </c>
      <c r="F2838" t="s">
        <v>739</v>
      </c>
      <c r="G2838" t="s">
        <v>245</v>
      </c>
    </row>
    <row r="2839" spans="1:7" ht="15.75" x14ac:dyDescent="0.25">
      <c r="A2839" t="s">
        <v>739</v>
      </c>
      <c r="B2839" s="29" t="s">
        <v>179</v>
      </c>
      <c r="C2839" s="2">
        <v>4.1326705665526152E-4</v>
      </c>
      <c r="D2839" t="s">
        <v>256</v>
      </c>
      <c r="E2839" s="29" t="s">
        <v>280</v>
      </c>
      <c r="F2839" t="s">
        <v>739</v>
      </c>
      <c r="G2839" t="s">
        <v>245</v>
      </c>
    </row>
    <row r="2840" spans="1:7" ht="15.75" x14ac:dyDescent="0.25">
      <c r="A2840" t="s">
        <v>739</v>
      </c>
      <c r="B2840" s="29" t="s">
        <v>135</v>
      </c>
      <c r="C2840" s="2">
        <v>6.8877842775876929E-5</v>
      </c>
      <c r="D2840" t="s">
        <v>256</v>
      </c>
      <c r="E2840" s="29" t="s">
        <v>280</v>
      </c>
      <c r="F2840" t="s">
        <v>739</v>
      </c>
      <c r="G2840" t="s">
        <v>245</v>
      </c>
    </row>
    <row r="2841" spans="1:7" ht="15.75" x14ac:dyDescent="0.25">
      <c r="A2841" t="s">
        <v>739</v>
      </c>
      <c r="B2841" s="29" t="s">
        <v>135</v>
      </c>
      <c r="C2841" s="2">
        <v>1.1990367324045514E-3</v>
      </c>
      <c r="D2841" t="s">
        <v>741</v>
      </c>
      <c r="E2841" s="29" t="s">
        <v>740</v>
      </c>
      <c r="F2841" t="s">
        <v>739</v>
      </c>
      <c r="G2841" t="s">
        <v>245</v>
      </c>
    </row>
    <row r="2842" spans="1:7" ht="15.75" x14ac:dyDescent="0.25">
      <c r="A2842" t="s">
        <v>739</v>
      </c>
      <c r="B2842" s="29" t="s">
        <v>138</v>
      </c>
      <c r="C2842" s="2">
        <v>2.549146470411033E-3</v>
      </c>
      <c r="D2842" t="s">
        <v>256</v>
      </c>
      <c r="E2842" s="29" t="s">
        <v>280</v>
      </c>
      <c r="F2842" t="s">
        <v>739</v>
      </c>
      <c r="G2842" t="s">
        <v>245</v>
      </c>
    </row>
    <row r="2843" spans="1:7" ht="15.75" x14ac:dyDescent="0.25">
      <c r="A2843" t="s">
        <v>739</v>
      </c>
      <c r="B2843" s="29" t="s">
        <v>138</v>
      </c>
      <c r="C2843" s="2">
        <v>8.5841190348340745E-4</v>
      </c>
      <c r="D2843" t="s">
        <v>741</v>
      </c>
      <c r="E2843" s="29" t="s">
        <v>740</v>
      </c>
      <c r="F2843" t="s">
        <v>739</v>
      </c>
      <c r="G2843" t="s">
        <v>245</v>
      </c>
    </row>
    <row r="2844" spans="1:7" ht="15.75" x14ac:dyDescent="0.25">
      <c r="A2844" t="s">
        <v>739</v>
      </c>
      <c r="B2844" s="29" t="s">
        <v>112</v>
      </c>
      <c r="C2844" s="2">
        <v>1.1703610590856148E-3</v>
      </c>
      <c r="D2844" t="s">
        <v>256</v>
      </c>
      <c r="E2844" s="33" t="s">
        <v>740</v>
      </c>
      <c r="F2844" t="s">
        <v>739</v>
      </c>
      <c r="G2844" t="s">
        <v>245</v>
      </c>
    </row>
    <row r="2845" spans="1:7" ht="15.75" x14ac:dyDescent="0.25">
      <c r="A2845" t="s">
        <v>739</v>
      </c>
      <c r="B2845" s="29" t="s">
        <v>140</v>
      </c>
      <c r="C2845" s="2">
        <v>1.7008610154859403E-3</v>
      </c>
      <c r="D2845" t="s">
        <v>741</v>
      </c>
      <c r="E2845" s="29" t="s">
        <v>740</v>
      </c>
      <c r="F2845" t="s">
        <v>739</v>
      </c>
      <c r="G2845" t="s">
        <v>245</v>
      </c>
    </row>
    <row r="2846" spans="1:7" x14ac:dyDescent="0.25">
      <c r="A2846" t="s">
        <v>739</v>
      </c>
      <c r="B2846" s="30" t="s">
        <v>183</v>
      </c>
      <c r="C2846" s="2">
        <v>1.4056702607321821E-4</v>
      </c>
      <c r="D2846" t="s">
        <v>256</v>
      </c>
      <c r="E2846" s="30" t="s">
        <v>740</v>
      </c>
      <c r="F2846" t="s">
        <v>739</v>
      </c>
      <c r="G2846" t="s">
        <v>245</v>
      </c>
    </row>
    <row r="2847" spans="1:7" x14ac:dyDescent="0.25">
      <c r="A2847" t="s">
        <v>739</v>
      </c>
      <c r="B2847" s="30" t="s">
        <v>128</v>
      </c>
      <c r="C2847" s="2">
        <v>1.1160881303187453E-3</v>
      </c>
      <c r="D2847" t="s">
        <v>256</v>
      </c>
      <c r="E2847" s="30" t="s">
        <v>740</v>
      </c>
      <c r="F2847" t="s">
        <v>739</v>
      </c>
      <c r="G2847" t="s">
        <v>245</v>
      </c>
    </row>
    <row r="2848" spans="1:7" x14ac:dyDescent="0.25">
      <c r="A2848" t="s">
        <v>739</v>
      </c>
      <c r="B2848" s="30" t="s">
        <v>218</v>
      </c>
      <c r="C2848" s="2">
        <v>3.7475169151119975E-4</v>
      </c>
      <c r="D2848" t="s">
        <v>256</v>
      </c>
      <c r="E2848" s="33" t="s">
        <v>740</v>
      </c>
      <c r="F2848" t="s">
        <v>739</v>
      </c>
      <c r="G2848" t="s">
        <v>245</v>
      </c>
    </row>
    <row r="2849" spans="1:7" x14ac:dyDescent="0.25">
      <c r="A2849" t="s">
        <v>739</v>
      </c>
      <c r="B2849" s="30" t="s">
        <v>161</v>
      </c>
      <c r="C2849" s="2">
        <v>1.7621524577361605E-4</v>
      </c>
      <c r="D2849" t="s">
        <v>256</v>
      </c>
      <c r="E2849" t="s">
        <v>280</v>
      </c>
      <c r="F2849" t="s">
        <v>739</v>
      </c>
      <c r="G2849" t="s">
        <v>245</v>
      </c>
    </row>
    <row r="2850" spans="1:7" ht="15.75" x14ac:dyDescent="0.25">
      <c r="A2850" t="s">
        <v>739</v>
      </c>
      <c r="B2850" s="30" t="s">
        <v>161</v>
      </c>
      <c r="C2850" s="2">
        <v>6.671869106656932E-4</v>
      </c>
      <c r="D2850" t="s">
        <v>256</v>
      </c>
      <c r="E2850" s="31" t="s">
        <v>740</v>
      </c>
      <c r="F2850" t="s">
        <v>739</v>
      </c>
      <c r="G2850" t="s">
        <v>245</v>
      </c>
    </row>
    <row r="2851" spans="1:7" x14ac:dyDescent="0.25">
      <c r="A2851" t="s">
        <v>739</v>
      </c>
      <c r="B2851" s="30" t="s">
        <v>175</v>
      </c>
      <c r="C2851" s="2">
        <v>2.1228944350423814E-4</v>
      </c>
      <c r="D2851" t="s">
        <v>256</v>
      </c>
      <c r="E2851" t="s">
        <v>280</v>
      </c>
      <c r="F2851" t="s">
        <v>739</v>
      </c>
      <c r="G2851" t="s">
        <v>245</v>
      </c>
    </row>
    <row r="2852" spans="1:7" ht="15.75" x14ac:dyDescent="0.25">
      <c r="A2852" t="s">
        <v>739</v>
      </c>
      <c r="B2852" s="30" t="s">
        <v>175</v>
      </c>
      <c r="C2852" s="2">
        <v>8.0377119106080509E-4</v>
      </c>
      <c r="D2852" t="s">
        <v>256</v>
      </c>
      <c r="E2852" s="31" t="s">
        <v>740</v>
      </c>
      <c r="F2852" t="s">
        <v>739</v>
      </c>
      <c r="G2852" t="s">
        <v>245</v>
      </c>
    </row>
    <row r="2853" spans="1:7" x14ac:dyDescent="0.25">
      <c r="A2853" t="s">
        <v>739</v>
      </c>
      <c r="B2853" s="30" t="s">
        <v>137</v>
      </c>
      <c r="C2853" s="2">
        <v>8.2477545784340981E-4</v>
      </c>
      <c r="D2853" t="s">
        <v>256</v>
      </c>
      <c r="E2853" t="s">
        <v>280</v>
      </c>
      <c r="F2853" t="s">
        <v>739</v>
      </c>
      <c r="G2853" t="s">
        <v>245</v>
      </c>
    </row>
    <row r="2854" spans="1:7" ht="15.75" x14ac:dyDescent="0.25">
      <c r="A2854" t="s">
        <v>739</v>
      </c>
      <c r="B2854" s="30" t="s">
        <v>137</v>
      </c>
      <c r="C2854" s="2">
        <v>3.1227683353707769E-3</v>
      </c>
      <c r="D2854" t="s">
        <v>320</v>
      </c>
      <c r="E2854" s="31" t="s">
        <v>740</v>
      </c>
      <c r="F2854" t="s">
        <v>739</v>
      </c>
      <c r="G2854" t="s">
        <v>245</v>
      </c>
    </row>
    <row r="2855" spans="1:7" x14ac:dyDescent="0.25">
      <c r="A2855" t="s">
        <v>739</v>
      </c>
      <c r="B2855" s="30" t="s">
        <v>143</v>
      </c>
      <c r="C2855" s="2">
        <v>1.2664526781092669E-2</v>
      </c>
      <c r="D2855" t="s">
        <v>256</v>
      </c>
      <c r="E2855" s="30" t="s">
        <v>280</v>
      </c>
      <c r="F2855" t="s">
        <v>739</v>
      </c>
      <c r="G2855" t="s">
        <v>245</v>
      </c>
    </row>
    <row r="2856" spans="1:7" x14ac:dyDescent="0.25">
      <c r="A2856" t="s">
        <v>739</v>
      </c>
      <c r="B2856" s="30" t="s">
        <v>116</v>
      </c>
      <c r="C2856" s="2">
        <v>7.4746403660812923E-3</v>
      </c>
      <c r="D2856" t="s">
        <v>256</v>
      </c>
      <c r="E2856" s="30" t="s">
        <v>280</v>
      </c>
      <c r="F2856" t="s">
        <v>739</v>
      </c>
      <c r="G2856" t="s">
        <v>245</v>
      </c>
    </row>
    <row r="2857" spans="1:7" x14ac:dyDescent="0.25">
      <c r="A2857" t="s">
        <v>739</v>
      </c>
      <c r="B2857" s="30" t="s">
        <v>116</v>
      </c>
      <c r="C2857" s="2">
        <v>6.9516787381552217E-2</v>
      </c>
      <c r="D2857" t="s">
        <v>256</v>
      </c>
      <c r="E2857" s="30" t="s">
        <v>740</v>
      </c>
      <c r="F2857" t="s">
        <v>739</v>
      </c>
      <c r="G2857" t="s">
        <v>245</v>
      </c>
    </row>
    <row r="2858" spans="1:7" x14ac:dyDescent="0.25">
      <c r="A2858" t="s">
        <v>739</v>
      </c>
      <c r="B2858" s="30" t="s">
        <v>160</v>
      </c>
      <c r="C2858" s="2">
        <v>8.9487975645368002E-6</v>
      </c>
      <c r="D2858" t="s">
        <v>256</v>
      </c>
      <c r="E2858" t="s">
        <v>280</v>
      </c>
      <c r="F2858" t="s">
        <v>739</v>
      </c>
      <c r="G2858" t="s">
        <v>245</v>
      </c>
    </row>
    <row r="2859" spans="1:7" ht="15.75" x14ac:dyDescent="0.25">
      <c r="A2859" t="s">
        <v>739</v>
      </c>
      <c r="B2859" s="30" t="s">
        <v>160</v>
      </c>
      <c r="C2859" s="2">
        <v>3.3881975279972785E-5</v>
      </c>
      <c r="D2859" t="s">
        <v>256</v>
      </c>
      <c r="E2859" s="31" t="s">
        <v>740</v>
      </c>
      <c r="F2859" t="s">
        <v>739</v>
      </c>
      <c r="G2859" t="s">
        <v>245</v>
      </c>
    </row>
    <row r="2860" spans="1:7" x14ac:dyDescent="0.25">
      <c r="A2860" t="s">
        <v>739</v>
      </c>
      <c r="B2860" s="30" t="s">
        <v>160</v>
      </c>
      <c r="C2860" s="2">
        <v>2.8113405214643642E-4</v>
      </c>
      <c r="D2860" t="s">
        <v>256</v>
      </c>
      <c r="E2860" s="30" t="s">
        <v>740</v>
      </c>
      <c r="F2860" t="s">
        <v>739</v>
      </c>
      <c r="G2860" t="s">
        <v>245</v>
      </c>
    </row>
    <row r="2861" spans="1:7" x14ac:dyDescent="0.25">
      <c r="A2861" t="s">
        <v>739</v>
      </c>
      <c r="B2861" s="30" t="s">
        <v>150</v>
      </c>
      <c r="C2861" s="2">
        <v>7.8155266496709331E-3</v>
      </c>
      <c r="D2861" t="s">
        <v>256</v>
      </c>
      <c r="E2861" s="30" t="s">
        <v>280</v>
      </c>
      <c r="F2861" t="s">
        <v>739</v>
      </c>
      <c r="G2861" t="s">
        <v>245</v>
      </c>
    </row>
    <row r="2862" spans="1:7" x14ac:dyDescent="0.25">
      <c r="A2862" t="s">
        <v>739</v>
      </c>
      <c r="B2862" s="30" t="s">
        <v>150</v>
      </c>
      <c r="C2862" s="2">
        <v>5.2040668166016416E-3</v>
      </c>
      <c r="D2862" t="s">
        <v>256</v>
      </c>
      <c r="E2862" s="30" t="s">
        <v>740</v>
      </c>
      <c r="F2862" t="s">
        <v>739</v>
      </c>
      <c r="G2862" t="s">
        <v>245</v>
      </c>
    </row>
    <row r="2863" spans="1:7" x14ac:dyDescent="0.25">
      <c r="A2863" t="s">
        <v>739</v>
      </c>
      <c r="B2863" s="30" t="s">
        <v>737</v>
      </c>
      <c r="C2863" s="2">
        <v>1.4056702607321821E-4</v>
      </c>
      <c r="D2863" t="s">
        <v>256</v>
      </c>
      <c r="E2863" s="30" t="s">
        <v>740</v>
      </c>
      <c r="F2863" t="s">
        <v>739</v>
      </c>
      <c r="G2863" t="s">
        <v>245</v>
      </c>
    </row>
    <row r="2864" spans="1:7" x14ac:dyDescent="0.25">
      <c r="A2864" t="s">
        <v>739</v>
      </c>
      <c r="B2864" s="30" t="s">
        <v>113</v>
      </c>
      <c r="C2864" s="2">
        <v>8.4593236290862722E-3</v>
      </c>
      <c r="D2864" t="s">
        <v>256</v>
      </c>
      <c r="E2864" s="30" t="s">
        <v>280</v>
      </c>
      <c r="F2864" t="s">
        <v>739</v>
      </c>
      <c r="G2864" t="s">
        <v>245</v>
      </c>
    </row>
    <row r="2865" spans="1:7" x14ac:dyDescent="0.25">
      <c r="A2865" t="s">
        <v>739</v>
      </c>
      <c r="B2865" s="30" t="s">
        <v>113</v>
      </c>
      <c r="C2865" s="2">
        <v>0.11523684797482429</v>
      </c>
      <c r="D2865" t="s">
        <v>256</v>
      </c>
      <c r="E2865" s="30" t="s">
        <v>740</v>
      </c>
      <c r="F2865" t="s">
        <v>739</v>
      </c>
      <c r="G2865" t="s">
        <v>245</v>
      </c>
    </row>
    <row r="2866" spans="1:7" x14ac:dyDescent="0.25">
      <c r="A2866" t="s">
        <v>739</v>
      </c>
      <c r="B2866" s="30" t="s">
        <v>124</v>
      </c>
      <c r="C2866" s="2">
        <v>2.8113405214643642E-4</v>
      </c>
      <c r="D2866" t="s">
        <v>256</v>
      </c>
      <c r="E2866" s="30" t="s">
        <v>280</v>
      </c>
      <c r="F2866" t="s">
        <v>739</v>
      </c>
      <c r="G2866" t="s">
        <v>245</v>
      </c>
    </row>
    <row r="2867" spans="1:7" x14ac:dyDescent="0.25">
      <c r="A2867" t="s">
        <v>739</v>
      </c>
      <c r="B2867" s="30" t="s">
        <v>85</v>
      </c>
      <c r="C2867" s="2">
        <v>4.1045571613379716E-3</v>
      </c>
      <c r="D2867" t="s">
        <v>256</v>
      </c>
      <c r="E2867" s="30" t="s">
        <v>280</v>
      </c>
      <c r="F2867" t="s">
        <v>739</v>
      </c>
      <c r="G2867" t="s">
        <v>245</v>
      </c>
    </row>
    <row r="2868" spans="1:7" x14ac:dyDescent="0.25">
      <c r="A2868" t="s">
        <v>739</v>
      </c>
      <c r="B2868" s="30" t="s">
        <v>85</v>
      </c>
      <c r="C2868" s="2">
        <v>3.3595519231499151E-3</v>
      </c>
      <c r="D2868" t="s">
        <v>446</v>
      </c>
      <c r="E2868" s="30" t="s">
        <v>740</v>
      </c>
      <c r="F2868" t="s">
        <v>739</v>
      </c>
      <c r="G2868" t="s">
        <v>245</v>
      </c>
    </row>
    <row r="2869" spans="1:7" x14ac:dyDescent="0.25">
      <c r="A2869" t="s">
        <v>739</v>
      </c>
      <c r="B2869" s="30" t="s">
        <v>145</v>
      </c>
      <c r="C2869" s="2">
        <v>2.0074528805904452E-2</v>
      </c>
      <c r="D2869" t="s">
        <v>256</v>
      </c>
      <c r="E2869" s="30" t="s">
        <v>280</v>
      </c>
      <c r="F2869" t="s">
        <v>739</v>
      </c>
      <c r="G2869" t="s">
        <v>245</v>
      </c>
    </row>
    <row r="2870" spans="1:7" x14ac:dyDescent="0.25">
      <c r="A2870" t="s">
        <v>739</v>
      </c>
      <c r="B2870" s="30" t="s">
        <v>87</v>
      </c>
      <c r="C2870" s="2">
        <v>9.8340691440823458E-5</v>
      </c>
      <c r="D2870" t="s">
        <v>564</v>
      </c>
      <c r="E2870" s="30" t="s">
        <v>740</v>
      </c>
      <c r="F2870" t="s">
        <v>739</v>
      </c>
      <c r="G2870" t="s">
        <v>245</v>
      </c>
    </row>
    <row r="2871" spans="1:7" x14ac:dyDescent="0.25">
      <c r="A2871" t="s">
        <v>739</v>
      </c>
      <c r="B2871" s="30" t="s">
        <v>167</v>
      </c>
      <c r="C2871" s="2">
        <v>7.0283513036609104E-5</v>
      </c>
      <c r="D2871" t="s">
        <v>256</v>
      </c>
      <c r="E2871" s="33" t="s">
        <v>740</v>
      </c>
      <c r="F2871" t="s">
        <v>739</v>
      </c>
      <c r="G2871" t="s">
        <v>245</v>
      </c>
    </row>
    <row r="2872" spans="1:7" x14ac:dyDescent="0.25">
      <c r="A2872" t="s">
        <v>739</v>
      </c>
      <c r="B2872" s="30" t="s">
        <v>114</v>
      </c>
      <c r="C2872" s="2">
        <v>2.7129436032131116E-3</v>
      </c>
      <c r="D2872" t="s">
        <v>256</v>
      </c>
      <c r="E2872" s="30" t="s">
        <v>740</v>
      </c>
      <c r="F2872" t="s">
        <v>739</v>
      </c>
      <c r="G2872" t="s">
        <v>245</v>
      </c>
    </row>
    <row r="2873" spans="1:7" x14ac:dyDescent="0.25">
      <c r="A2873" t="s">
        <v>739</v>
      </c>
      <c r="B2873" s="30" t="s">
        <v>126</v>
      </c>
      <c r="C2873" s="2">
        <v>1.6024640972346876E-3</v>
      </c>
      <c r="D2873" t="s">
        <v>256</v>
      </c>
      <c r="E2873" s="33" t="s">
        <v>740</v>
      </c>
      <c r="F2873" t="s">
        <v>739</v>
      </c>
      <c r="G2873" t="s">
        <v>245</v>
      </c>
    </row>
    <row r="2874" spans="1:7" x14ac:dyDescent="0.25">
      <c r="A2874" t="s">
        <v>739</v>
      </c>
      <c r="B2874" s="30" t="s">
        <v>86</v>
      </c>
      <c r="C2874" s="2">
        <v>3.4038911641936835E-2</v>
      </c>
      <c r="D2874" t="s">
        <v>256</v>
      </c>
      <c r="E2874" t="s">
        <v>280</v>
      </c>
      <c r="F2874" t="s">
        <v>739</v>
      </c>
      <c r="G2874" t="s">
        <v>245</v>
      </c>
    </row>
    <row r="2875" spans="1:7" ht="15.75" x14ac:dyDescent="0.25">
      <c r="A2875" t="s">
        <v>739</v>
      </c>
      <c r="B2875" s="30" t="s">
        <v>86</v>
      </c>
      <c r="C2875" s="2">
        <v>0.12887827157692305</v>
      </c>
      <c r="D2875" t="s">
        <v>256</v>
      </c>
      <c r="E2875" s="31" t="s">
        <v>740</v>
      </c>
      <c r="F2875" t="s">
        <v>739</v>
      </c>
      <c r="G2875" t="s">
        <v>245</v>
      </c>
    </row>
    <row r="2876" spans="1:7" x14ac:dyDescent="0.25">
      <c r="A2876" t="s">
        <v>739</v>
      </c>
      <c r="B2876" s="30" t="s">
        <v>97</v>
      </c>
      <c r="C2876" s="2">
        <v>1.6868043128786186E-2</v>
      </c>
      <c r="D2876" t="s">
        <v>256</v>
      </c>
      <c r="E2876" s="30" t="s">
        <v>280</v>
      </c>
      <c r="F2876" t="s">
        <v>739</v>
      </c>
      <c r="G2876" t="s">
        <v>245</v>
      </c>
    </row>
    <row r="2877" spans="1:7" x14ac:dyDescent="0.25">
      <c r="A2877" t="s">
        <v>739</v>
      </c>
      <c r="B2877" s="30" t="s">
        <v>97</v>
      </c>
      <c r="C2877" s="2">
        <v>1.1462403196795548E-2</v>
      </c>
      <c r="D2877" t="s">
        <v>308</v>
      </c>
      <c r="E2877" s="30" t="s">
        <v>740</v>
      </c>
      <c r="F2877" t="s">
        <v>739</v>
      </c>
      <c r="G2877" t="s">
        <v>245</v>
      </c>
    </row>
    <row r="2878" spans="1:7" x14ac:dyDescent="0.25">
      <c r="A2878" t="s">
        <v>739</v>
      </c>
      <c r="B2878" s="30" t="s">
        <v>98</v>
      </c>
      <c r="C2878" s="2">
        <v>2.2490724171714913E-3</v>
      </c>
      <c r="D2878" t="s">
        <v>256</v>
      </c>
      <c r="E2878" s="30" t="s">
        <v>280</v>
      </c>
      <c r="F2878" t="s">
        <v>739</v>
      </c>
      <c r="G2878" t="s">
        <v>245</v>
      </c>
    </row>
    <row r="2879" spans="1:7" x14ac:dyDescent="0.25">
      <c r="A2879" t="s">
        <v>739</v>
      </c>
      <c r="B2879" s="30" t="s">
        <v>98</v>
      </c>
      <c r="C2879" s="2">
        <v>1.6868043128786185E-3</v>
      </c>
      <c r="D2879" t="s">
        <v>256</v>
      </c>
      <c r="E2879" s="30" t="s">
        <v>740</v>
      </c>
      <c r="F2879" t="s">
        <v>739</v>
      </c>
      <c r="G2879" t="s">
        <v>245</v>
      </c>
    </row>
    <row r="2880" spans="1:7" x14ac:dyDescent="0.25">
      <c r="A2880" t="s">
        <v>739</v>
      </c>
      <c r="B2880" s="30" t="s">
        <v>234</v>
      </c>
      <c r="C2880" s="2">
        <v>8.8574094469256265E-2</v>
      </c>
      <c r="D2880" t="s">
        <v>256</v>
      </c>
      <c r="E2880" s="30" t="s">
        <v>740</v>
      </c>
      <c r="F2880" t="s">
        <v>739</v>
      </c>
      <c r="G2880" t="s">
        <v>245</v>
      </c>
    </row>
    <row r="2881" spans="1:7" x14ac:dyDescent="0.25">
      <c r="A2881" t="s">
        <v>739</v>
      </c>
      <c r="B2881" s="30" t="s">
        <v>222</v>
      </c>
      <c r="C2881" s="2">
        <v>8.6239276166180103E-4</v>
      </c>
      <c r="D2881" t="s">
        <v>256</v>
      </c>
      <c r="E2881" s="33" t="s">
        <v>740</v>
      </c>
      <c r="F2881" t="s">
        <v>739</v>
      </c>
      <c r="G2881" t="s">
        <v>245</v>
      </c>
    </row>
    <row r="2882" spans="1:7" x14ac:dyDescent="0.25">
      <c r="A2882" t="s">
        <v>739</v>
      </c>
      <c r="B2882" s="30" t="s">
        <v>119</v>
      </c>
      <c r="C2882" s="2">
        <v>2.3132187738497439E-2</v>
      </c>
      <c r="D2882" t="s">
        <v>256</v>
      </c>
      <c r="E2882" s="30" t="s">
        <v>280</v>
      </c>
      <c r="F2882" t="s">
        <v>739</v>
      </c>
      <c r="G2882" t="s">
        <v>245</v>
      </c>
    </row>
    <row r="2883" spans="1:7" x14ac:dyDescent="0.25">
      <c r="A2883" t="s">
        <v>739</v>
      </c>
      <c r="B2883" s="30" t="s">
        <v>119</v>
      </c>
      <c r="C2883" s="2">
        <v>2.2342549658190613E-2</v>
      </c>
      <c r="D2883" t="s">
        <v>256</v>
      </c>
      <c r="E2883" s="33" t="s">
        <v>740</v>
      </c>
      <c r="F2883" t="s">
        <v>739</v>
      </c>
      <c r="G2883" t="s">
        <v>245</v>
      </c>
    </row>
    <row r="2884" spans="1:7" x14ac:dyDescent="0.25">
      <c r="A2884" t="s">
        <v>739</v>
      </c>
      <c r="B2884" s="30" t="s">
        <v>223</v>
      </c>
      <c r="C2884" s="2">
        <v>6.8877842775876925E-3</v>
      </c>
      <c r="D2884" t="s">
        <v>256</v>
      </c>
      <c r="E2884" s="30" t="s">
        <v>740</v>
      </c>
      <c r="F2884" t="s">
        <v>739</v>
      </c>
      <c r="G2884" t="s">
        <v>245</v>
      </c>
    </row>
    <row r="2885" spans="1:7" x14ac:dyDescent="0.25">
      <c r="A2885" t="s">
        <v>739</v>
      </c>
      <c r="B2885" s="30" t="s">
        <v>102</v>
      </c>
      <c r="C2885" s="2">
        <v>8.4902483748223803E-3</v>
      </c>
      <c r="D2885" t="s">
        <v>256</v>
      </c>
      <c r="E2885" s="33" t="s">
        <v>280</v>
      </c>
      <c r="F2885" t="s">
        <v>739</v>
      </c>
      <c r="G2885" t="s">
        <v>245</v>
      </c>
    </row>
    <row r="2886" spans="1:7" x14ac:dyDescent="0.25">
      <c r="A2886" t="s">
        <v>739</v>
      </c>
      <c r="B2886" s="30" t="s">
        <v>102</v>
      </c>
      <c r="C2886" s="2">
        <v>3.701495270775626E-2</v>
      </c>
      <c r="D2886" t="s">
        <v>256</v>
      </c>
      <c r="E2886" s="30" t="s">
        <v>740</v>
      </c>
      <c r="F2886" t="s">
        <v>739</v>
      </c>
      <c r="G2886" t="s">
        <v>245</v>
      </c>
    </row>
    <row r="2887" spans="1:7" x14ac:dyDescent="0.25">
      <c r="A2887" t="s">
        <v>739</v>
      </c>
      <c r="B2887" s="30" t="s">
        <v>148</v>
      </c>
      <c r="C2887" s="2">
        <v>1.5153125410692922E-2</v>
      </c>
      <c r="D2887" t="s">
        <v>256</v>
      </c>
      <c r="E2887" s="30" t="s">
        <v>280</v>
      </c>
      <c r="F2887" t="s">
        <v>739</v>
      </c>
      <c r="G2887" t="s">
        <v>245</v>
      </c>
    </row>
    <row r="2888" spans="1:7" x14ac:dyDescent="0.25">
      <c r="A2888" t="s">
        <v>739</v>
      </c>
      <c r="B2888" s="30" t="s">
        <v>148</v>
      </c>
      <c r="C2888" s="2">
        <v>2.8110593874122177E-2</v>
      </c>
      <c r="D2888" t="s">
        <v>256</v>
      </c>
      <c r="E2888" s="30" t="s">
        <v>740</v>
      </c>
      <c r="F2888" t="s">
        <v>739</v>
      </c>
      <c r="G2888" t="s">
        <v>245</v>
      </c>
    </row>
    <row r="2889" spans="1:7" x14ac:dyDescent="0.25">
      <c r="A2889" t="s">
        <v>739</v>
      </c>
      <c r="B2889" s="30" t="s">
        <v>224</v>
      </c>
      <c r="C2889" s="2">
        <v>1.173734667711372E-2</v>
      </c>
      <c r="D2889" t="s">
        <v>256</v>
      </c>
      <c r="E2889" s="30" t="s">
        <v>740</v>
      </c>
      <c r="F2889" t="s">
        <v>739</v>
      </c>
      <c r="G2889" t="s">
        <v>245</v>
      </c>
    </row>
    <row r="2890" spans="1:7" x14ac:dyDescent="0.25">
      <c r="A2890" t="s">
        <v>739</v>
      </c>
      <c r="B2890" s="30" t="s">
        <v>133</v>
      </c>
      <c r="C2890" s="2">
        <v>6.7753306567291179E-4</v>
      </c>
      <c r="D2890" t="s">
        <v>256</v>
      </c>
      <c r="E2890" s="30" t="s">
        <v>740</v>
      </c>
      <c r="F2890" t="s">
        <v>739</v>
      </c>
      <c r="G2890" t="s">
        <v>245</v>
      </c>
    </row>
    <row r="2891" spans="1:7" x14ac:dyDescent="0.25">
      <c r="A2891" t="s">
        <v>739</v>
      </c>
      <c r="B2891" s="30" t="s">
        <v>156</v>
      </c>
      <c r="C2891" s="2">
        <v>2.3755827406373876E-3</v>
      </c>
      <c r="D2891" t="s">
        <v>256</v>
      </c>
      <c r="E2891" s="30" t="s">
        <v>280</v>
      </c>
      <c r="F2891" t="s">
        <v>739</v>
      </c>
      <c r="G2891" t="s">
        <v>245</v>
      </c>
    </row>
    <row r="2892" spans="1:7" x14ac:dyDescent="0.25">
      <c r="A2892" t="s">
        <v>739</v>
      </c>
      <c r="B2892" s="30" t="s">
        <v>156</v>
      </c>
      <c r="C2892" s="2">
        <v>1.5040671789834348E-4</v>
      </c>
      <c r="D2892" t="s">
        <v>256</v>
      </c>
      <c r="E2892" s="30" t="s">
        <v>740</v>
      </c>
      <c r="F2892" t="s">
        <v>739</v>
      </c>
      <c r="G2892" t="s">
        <v>245</v>
      </c>
    </row>
    <row r="2893" spans="1:7" x14ac:dyDescent="0.25">
      <c r="A2893" t="s">
        <v>739</v>
      </c>
      <c r="B2893" s="30" t="s">
        <v>134</v>
      </c>
      <c r="C2893" s="2">
        <v>2.1588283864324851E-2</v>
      </c>
      <c r="D2893" t="s">
        <v>256</v>
      </c>
      <c r="E2893" s="30" t="s">
        <v>740</v>
      </c>
      <c r="F2893" t="s">
        <v>739</v>
      </c>
      <c r="G2893" t="s">
        <v>245</v>
      </c>
    </row>
    <row r="2894" spans="1:7" x14ac:dyDescent="0.25">
      <c r="A2894" t="s">
        <v>739</v>
      </c>
      <c r="B2894" s="30" t="s">
        <v>108</v>
      </c>
      <c r="C2894" s="2">
        <v>5.1166397490651432E-2</v>
      </c>
      <c r="D2894" t="s">
        <v>256</v>
      </c>
      <c r="E2894" s="30" t="s">
        <v>740</v>
      </c>
      <c r="F2894" t="s">
        <v>739</v>
      </c>
      <c r="G2894" t="s">
        <v>245</v>
      </c>
    </row>
    <row r="2895" spans="1:7" x14ac:dyDescent="0.25">
      <c r="A2895" t="s">
        <v>739</v>
      </c>
      <c r="B2895" s="30" t="s">
        <v>227</v>
      </c>
      <c r="C2895" s="2">
        <v>4.2170107821965465E-3</v>
      </c>
      <c r="D2895" t="s">
        <v>256</v>
      </c>
      <c r="E2895" s="30" t="s">
        <v>740</v>
      </c>
      <c r="F2895" t="s">
        <v>739</v>
      </c>
      <c r="G2895" t="s">
        <v>245</v>
      </c>
    </row>
    <row r="2896" spans="1:7" x14ac:dyDescent="0.25">
      <c r="A2896" t="s">
        <v>739</v>
      </c>
      <c r="B2896" s="30" t="s">
        <v>229</v>
      </c>
      <c r="C2896" s="2">
        <v>2.1085053910982733E-5</v>
      </c>
      <c r="D2896" t="s">
        <v>256</v>
      </c>
      <c r="E2896" s="30" t="s">
        <v>740</v>
      </c>
      <c r="F2896" t="s">
        <v>739</v>
      </c>
      <c r="G2896" t="s">
        <v>245</v>
      </c>
    </row>
    <row r="2897" spans="1:8" x14ac:dyDescent="0.25">
      <c r="A2897" t="s">
        <v>739</v>
      </c>
      <c r="B2897" s="30" t="s">
        <v>208</v>
      </c>
      <c r="C2897" s="2">
        <v>5.1091554667525934E-4</v>
      </c>
      <c r="D2897" t="s">
        <v>256</v>
      </c>
      <c r="E2897" t="s">
        <v>280</v>
      </c>
      <c r="F2897" t="s">
        <v>739</v>
      </c>
      <c r="G2897" t="s">
        <v>245</v>
      </c>
    </row>
    <row r="2898" spans="1:8" ht="15.75" x14ac:dyDescent="0.25">
      <c r="A2898" t="s">
        <v>739</v>
      </c>
      <c r="B2898" s="30" t="s">
        <v>208</v>
      </c>
      <c r="C2898" s="2">
        <v>1.9344306090022662E-3</v>
      </c>
      <c r="D2898" t="s">
        <v>256</v>
      </c>
      <c r="E2898" s="31" t="s">
        <v>740</v>
      </c>
      <c r="F2898" t="s">
        <v>739</v>
      </c>
      <c r="G2898" t="s">
        <v>245</v>
      </c>
    </row>
    <row r="2899" spans="1:8" x14ac:dyDescent="0.25">
      <c r="A2899" t="s">
        <v>739</v>
      </c>
      <c r="B2899" s="30" t="s">
        <v>215</v>
      </c>
      <c r="C2899" s="2">
        <v>5.3415469907822922E-5</v>
      </c>
      <c r="D2899" t="s">
        <v>256</v>
      </c>
      <c r="E2899" s="30" t="s">
        <v>280</v>
      </c>
      <c r="F2899" t="s">
        <v>739</v>
      </c>
      <c r="G2899" t="s">
        <v>245</v>
      </c>
    </row>
    <row r="2900" spans="1:8" x14ac:dyDescent="0.25">
      <c r="A2900" t="s">
        <v>739</v>
      </c>
      <c r="B2900" s="30" t="s">
        <v>215</v>
      </c>
      <c r="C2900" s="2">
        <v>2.6460196420996524E-3</v>
      </c>
      <c r="D2900" t="s">
        <v>256</v>
      </c>
      <c r="E2900" s="30" t="s">
        <v>740</v>
      </c>
      <c r="F2900" t="s">
        <v>739</v>
      </c>
      <c r="G2900" t="s">
        <v>245</v>
      </c>
    </row>
    <row r="2901" spans="1:8" x14ac:dyDescent="0.25">
      <c r="A2901" t="s">
        <v>739</v>
      </c>
      <c r="B2901" s="30" t="s">
        <v>738</v>
      </c>
      <c r="C2901" s="2">
        <v>4.9339026151699588E-3</v>
      </c>
      <c r="D2901" t="s">
        <v>256</v>
      </c>
      <c r="E2901" s="30" t="s">
        <v>740</v>
      </c>
      <c r="F2901" t="s">
        <v>739</v>
      </c>
      <c r="G2901" t="s">
        <v>245</v>
      </c>
    </row>
    <row r="2902" spans="1:8" x14ac:dyDescent="0.25">
      <c r="A2902" t="s">
        <v>739</v>
      </c>
      <c r="B2902" s="30" t="s">
        <v>123</v>
      </c>
      <c r="C2902" s="2">
        <v>3.3966616180332448E-2</v>
      </c>
      <c r="D2902" t="s">
        <v>256</v>
      </c>
      <c r="E2902" s="30" t="s">
        <v>740</v>
      </c>
      <c r="F2902" t="s">
        <v>739</v>
      </c>
      <c r="G2902" t="s">
        <v>245</v>
      </c>
    </row>
    <row r="2903" spans="1:8" x14ac:dyDescent="0.25">
      <c r="A2903" t="s">
        <v>739</v>
      </c>
      <c r="B2903" s="30" t="s">
        <v>180</v>
      </c>
      <c r="C2903" s="2">
        <v>1.8414280415591584E-3</v>
      </c>
      <c r="D2903" t="s">
        <v>256</v>
      </c>
      <c r="E2903" s="30" t="s">
        <v>280</v>
      </c>
      <c r="F2903" t="s">
        <v>739</v>
      </c>
      <c r="G2903" t="s">
        <v>245</v>
      </c>
    </row>
    <row r="2904" spans="1:8" x14ac:dyDescent="0.25">
      <c r="A2904" t="s">
        <v>739</v>
      </c>
      <c r="B2904" s="30" t="s">
        <v>180</v>
      </c>
      <c r="C2904" s="2">
        <v>1.1554609543218536E-3</v>
      </c>
      <c r="D2904" t="s">
        <v>256</v>
      </c>
      <c r="E2904" s="30" t="s">
        <v>740</v>
      </c>
      <c r="F2904" t="s">
        <v>739</v>
      </c>
      <c r="G2904" t="s">
        <v>245</v>
      </c>
    </row>
    <row r="2905" spans="1:8" x14ac:dyDescent="0.25">
      <c r="A2905" t="s">
        <v>739</v>
      </c>
      <c r="B2905" s="30" t="s">
        <v>83</v>
      </c>
      <c r="C2905" s="2">
        <v>1.1385929111930674E-2</v>
      </c>
      <c r="D2905" t="s">
        <v>256</v>
      </c>
      <c r="E2905" s="30" t="s">
        <v>280</v>
      </c>
      <c r="F2905" t="s">
        <v>739</v>
      </c>
      <c r="G2905" t="s">
        <v>245</v>
      </c>
    </row>
    <row r="2906" spans="1:8" x14ac:dyDescent="0.25">
      <c r="A2906" t="s">
        <v>739</v>
      </c>
      <c r="B2906" s="30" t="s">
        <v>83</v>
      </c>
      <c r="C2906" s="2">
        <v>1.265103234658964E-3</v>
      </c>
      <c r="D2906" t="s">
        <v>256</v>
      </c>
      <c r="E2906" s="33" t="s">
        <v>740</v>
      </c>
      <c r="F2906" t="s">
        <v>739</v>
      </c>
      <c r="G2906" t="s">
        <v>245</v>
      </c>
    </row>
    <row r="2907" spans="1:8" x14ac:dyDescent="0.25">
      <c r="A2907" t="s">
        <v>739</v>
      </c>
      <c r="B2907" s="30" t="s">
        <v>131</v>
      </c>
      <c r="C2907" s="2">
        <v>4.9198459125626378E-4</v>
      </c>
      <c r="D2907" t="s">
        <v>256</v>
      </c>
      <c r="E2907" s="30" t="s">
        <v>740</v>
      </c>
      <c r="F2907" t="s">
        <v>739</v>
      </c>
      <c r="G2907" t="s">
        <v>245</v>
      </c>
    </row>
    <row r="2908" spans="1:8" x14ac:dyDescent="0.25">
      <c r="A2908" t="s">
        <v>449</v>
      </c>
      <c r="B2908" t="s">
        <v>85</v>
      </c>
      <c r="D2908" t="s">
        <v>446</v>
      </c>
      <c r="E2908" t="s">
        <v>448</v>
      </c>
      <c r="F2908" t="s">
        <v>447</v>
      </c>
      <c r="G2908" t="s">
        <v>245</v>
      </c>
      <c r="H2908" t="s">
        <v>450</v>
      </c>
    </row>
    <row r="2909" spans="1:8" x14ac:dyDescent="0.25">
      <c r="A2909" t="s">
        <v>445</v>
      </c>
      <c r="B2909" t="s">
        <v>85</v>
      </c>
      <c r="C2909" s="4">
        <v>0.92368725388297634</v>
      </c>
      <c r="D2909" t="s">
        <v>446</v>
      </c>
      <c r="E2909" t="s">
        <v>443</v>
      </c>
      <c r="F2909" t="s">
        <v>445</v>
      </c>
      <c r="G2909" t="s">
        <v>245</v>
      </c>
      <c r="H2909" t="s">
        <v>444</v>
      </c>
    </row>
    <row r="2910" spans="1:8" x14ac:dyDescent="0.25">
      <c r="A2910" t="s">
        <v>449</v>
      </c>
      <c r="B2910" t="s">
        <v>187</v>
      </c>
      <c r="D2910" t="s">
        <v>256</v>
      </c>
      <c r="E2910" t="s">
        <v>448</v>
      </c>
      <c r="F2910" t="s">
        <v>447</v>
      </c>
      <c r="G2910" t="s">
        <v>245</v>
      </c>
      <c r="H2910" t="s">
        <v>626</v>
      </c>
    </row>
    <row r="2911" spans="1:8" x14ac:dyDescent="0.25">
      <c r="A2911" t="s">
        <v>445</v>
      </c>
      <c r="B2911" t="s">
        <v>187</v>
      </c>
      <c r="C2911" s="4">
        <v>1.253219295071187E-4</v>
      </c>
      <c r="D2911" t="s">
        <v>256</v>
      </c>
      <c r="E2911" t="s">
        <v>443</v>
      </c>
      <c r="F2911" t="s">
        <v>445</v>
      </c>
      <c r="G2911" t="s">
        <v>245</v>
      </c>
    </row>
    <row r="2912" spans="1:8" x14ac:dyDescent="0.25">
      <c r="A2912" t="s">
        <v>449</v>
      </c>
      <c r="B2912" t="s">
        <v>116</v>
      </c>
      <c r="D2912" t="s">
        <v>256</v>
      </c>
      <c r="E2912" t="s">
        <v>448</v>
      </c>
      <c r="F2912" t="s">
        <v>447</v>
      </c>
      <c r="G2912" t="s">
        <v>245</v>
      </c>
    </row>
    <row r="2913" spans="1:7" x14ac:dyDescent="0.25">
      <c r="A2913" t="s">
        <v>445</v>
      </c>
      <c r="B2913" t="s">
        <v>116</v>
      </c>
      <c r="C2913" s="4">
        <v>5.1647611658444469E-2</v>
      </c>
      <c r="D2913" t="s">
        <v>256</v>
      </c>
      <c r="E2913" t="s">
        <v>443</v>
      </c>
      <c r="F2913" t="s">
        <v>445</v>
      </c>
      <c r="G2913" t="s">
        <v>245</v>
      </c>
    </row>
    <row r="2914" spans="1:7" x14ac:dyDescent="0.25">
      <c r="A2914" t="s">
        <v>449</v>
      </c>
      <c r="B2914" t="s">
        <v>86</v>
      </c>
      <c r="D2914" t="s">
        <v>452</v>
      </c>
      <c r="E2914" t="s">
        <v>451</v>
      </c>
      <c r="F2914" t="s">
        <v>447</v>
      </c>
      <c r="G2914" t="s">
        <v>245</v>
      </c>
    </row>
    <row r="2915" spans="1:7" x14ac:dyDescent="0.25">
      <c r="A2915" t="s">
        <v>445</v>
      </c>
      <c r="B2915" t="s">
        <v>86</v>
      </c>
      <c r="C2915" s="4">
        <v>1.2750508702844344E-3</v>
      </c>
      <c r="D2915" t="s">
        <v>256</v>
      </c>
      <c r="E2915" t="s">
        <v>443</v>
      </c>
      <c r="F2915" t="s">
        <v>445</v>
      </c>
      <c r="G2915" t="s">
        <v>245</v>
      </c>
    </row>
    <row r="2916" spans="1:7" x14ac:dyDescent="0.25">
      <c r="A2916" t="s">
        <v>449</v>
      </c>
      <c r="B2916" t="s">
        <v>159</v>
      </c>
      <c r="D2916" t="s">
        <v>256</v>
      </c>
      <c r="E2916" t="s">
        <v>448</v>
      </c>
      <c r="F2916" t="s">
        <v>447</v>
      </c>
      <c r="G2916" t="s">
        <v>245</v>
      </c>
    </row>
    <row r="2917" spans="1:7" x14ac:dyDescent="0.25">
      <c r="A2917" t="s">
        <v>445</v>
      </c>
      <c r="B2917" t="s">
        <v>159</v>
      </c>
      <c r="C2917" s="4">
        <v>5.9346225351700312E-3</v>
      </c>
      <c r="D2917" t="s">
        <v>256</v>
      </c>
      <c r="E2917" t="s">
        <v>443</v>
      </c>
      <c r="F2917" t="s">
        <v>445</v>
      </c>
      <c r="G2917" t="s">
        <v>245</v>
      </c>
    </row>
    <row r="2918" spans="1:7" x14ac:dyDescent="0.25">
      <c r="A2918" t="s">
        <v>449</v>
      </c>
      <c r="B2918" t="s">
        <v>193</v>
      </c>
      <c r="D2918" t="s">
        <v>256</v>
      </c>
      <c r="E2918" t="s">
        <v>448</v>
      </c>
      <c r="F2918" t="s">
        <v>447</v>
      </c>
      <c r="G2918" t="s">
        <v>245</v>
      </c>
    </row>
    <row r="2919" spans="1:7" x14ac:dyDescent="0.25">
      <c r="A2919" t="s">
        <v>445</v>
      </c>
      <c r="B2919" t="s">
        <v>193</v>
      </c>
      <c r="C2919" s="4">
        <v>1.0832808771647319E-4</v>
      </c>
      <c r="D2919" t="s">
        <v>256</v>
      </c>
      <c r="E2919" t="s">
        <v>443</v>
      </c>
      <c r="F2919" t="s">
        <v>445</v>
      </c>
      <c r="G2919" t="s">
        <v>245</v>
      </c>
    </row>
    <row r="2920" spans="1:7" x14ac:dyDescent="0.25">
      <c r="A2920" t="s">
        <v>449</v>
      </c>
      <c r="B2920" t="s">
        <v>203</v>
      </c>
      <c r="D2920" t="s">
        <v>256</v>
      </c>
      <c r="E2920" t="s">
        <v>448</v>
      </c>
      <c r="F2920" t="s">
        <v>447</v>
      </c>
      <c r="G2920" t="s">
        <v>245</v>
      </c>
    </row>
    <row r="2921" spans="1:7" x14ac:dyDescent="0.25">
      <c r="A2921" t="s">
        <v>445</v>
      </c>
      <c r="B2921" t="s">
        <v>203</v>
      </c>
      <c r="C2921" s="4">
        <v>6.3898932821946685E-3</v>
      </c>
      <c r="D2921" t="s">
        <v>256</v>
      </c>
      <c r="E2921" t="s">
        <v>443</v>
      </c>
      <c r="F2921" t="s">
        <v>445</v>
      </c>
      <c r="G2921" t="s">
        <v>245</v>
      </c>
    </row>
    <row r="2922" spans="1:7" x14ac:dyDescent="0.25">
      <c r="A2922" t="s">
        <v>449</v>
      </c>
      <c r="B2922" t="s">
        <v>107</v>
      </c>
      <c r="D2922" t="s">
        <v>256</v>
      </c>
      <c r="E2922" t="s">
        <v>448</v>
      </c>
      <c r="F2922" t="s">
        <v>447</v>
      </c>
      <c r="G2922" t="s">
        <v>245</v>
      </c>
    </row>
    <row r="2923" spans="1:7" x14ac:dyDescent="0.25">
      <c r="A2923" t="s">
        <v>445</v>
      </c>
      <c r="B2923" t="s">
        <v>107</v>
      </c>
      <c r="C2923" s="4">
        <v>4.7474052495205749E-3</v>
      </c>
      <c r="D2923" t="s">
        <v>256</v>
      </c>
      <c r="E2923" t="s">
        <v>443</v>
      </c>
      <c r="F2923" t="s">
        <v>445</v>
      </c>
      <c r="G2923" t="s">
        <v>245</v>
      </c>
    </row>
    <row r="2924" spans="1:7" x14ac:dyDescent="0.25">
      <c r="A2924" t="s">
        <v>449</v>
      </c>
      <c r="B2924" t="s">
        <v>204</v>
      </c>
      <c r="D2924" t="s">
        <v>256</v>
      </c>
      <c r="E2924" t="s">
        <v>448</v>
      </c>
      <c r="F2924" t="s">
        <v>447</v>
      </c>
      <c r="G2924" t="s">
        <v>245</v>
      </c>
    </row>
    <row r="2925" spans="1:7" x14ac:dyDescent="0.25">
      <c r="A2925" t="s">
        <v>445</v>
      </c>
      <c r="B2925" t="s">
        <v>204</v>
      </c>
      <c r="C2925" s="4">
        <v>5.7296775043550819E-3</v>
      </c>
      <c r="D2925" t="s">
        <v>256</v>
      </c>
      <c r="E2925" t="s">
        <v>443</v>
      </c>
      <c r="F2925" t="s">
        <v>445</v>
      </c>
      <c r="G2925" t="s">
        <v>245</v>
      </c>
    </row>
    <row r="2926" spans="1:7" x14ac:dyDescent="0.25">
      <c r="A2926" t="s">
        <v>449</v>
      </c>
      <c r="B2926" t="s">
        <v>142</v>
      </c>
      <c r="D2926" t="s">
        <v>256</v>
      </c>
      <c r="E2926" t="s">
        <v>448</v>
      </c>
      <c r="F2926" t="s">
        <v>447</v>
      </c>
      <c r="G2926" t="s">
        <v>245</v>
      </c>
    </row>
    <row r="2927" spans="1:7" x14ac:dyDescent="0.25">
      <c r="A2927" t="s">
        <v>445</v>
      </c>
      <c r="B2927" t="s">
        <v>142</v>
      </c>
      <c r="C2927" s="4">
        <v>3.0741754622242389E-4</v>
      </c>
      <c r="D2927" t="s">
        <v>256</v>
      </c>
      <c r="E2927" t="s">
        <v>443</v>
      </c>
      <c r="F2927" t="s">
        <v>445</v>
      </c>
      <c r="G2927" t="s">
        <v>245</v>
      </c>
    </row>
    <row r="2928" spans="1:7" x14ac:dyDescent="0.25">
      <c r="A2928" t="s">
        <v>449</v>
      </c>
      <c r="B2928" t="s">
        <v>158</v>
      </c>
      <c r="D2928" t="s">
        <v>256</v>
      </c>
      <c r="E2928" t="s">
        <v>448</v>
      </c>
      <c r="F2928" t="s">
        <v>447</v>
      </c>
      <c r="G2928" t="s">
        <v>245</v>
      </c>
    </row>
    <row r="2929" spans="1:8" x14ac:dyDescent="0.25">
      <c r="A2929" t="s">
        <v>445</v>
      </c>
      <c r="B2929" t="s">
        <v>158</v>
      </c>
      <c r="C2929" s="4">
        <v>4.2452899240239495E-5</v>
      </c>
      <c r="D2929" t="s">
        <v>256</v>
      </c>
      <c r="E2929" t="s">
        <v>443</v>
      </c>
      <c r="F2929" t="s">
        <v>445</v>
      </c>
      <c r="G2929" t="s">
        <v>245</v>
      </c>
    </row>
    <row r="2930" spans="1:8" x14ac:dyDescent="0.25">
      <c r="A2930" t="s">
        <v>441</v>
      </c>
      <c r="B2930" t="s">
        <v>83</v>
      </c>
      <c r="C2930" s="4">
        <v>4.8244099021301091E-2</v>
      </c>
      <c r="D2930" t="s">
        <v>256</v>
      </c>
      <c r="E2930" t="s">
        <v>440</v>
      </c>
      <c r="F2930" t="s">
        <v>441</v>
      </c>
      <c r="G2930" t="s">
        <v>245</v>
      </c>
      <c r="H2930" t="s">
        <v>439</v>
      </c>
    </row>
    <row r="2931" spans="1:8" x14ac:dyDescent="0.25">
      <c r="A2931" t="s">
        <v>441</v>
      </c>
      <c r="B2931" t="s">
        <v>144</v>
      </c>
      <c r="C2931" s="4">
        <v>1.02475532527346E-2</v>
      </c>
      <c r="D2931" t="s">
        <v>256</v>
      </c>
      <c r="E2931" t="s">
        <v>440</v>
      </c>
      <c r="F2931" t="s">
        <v>441</v>
      </c>
      <c r="G2931" t="s">
        <v>245</v>
      </c>
      <c r="H2931" t="s">
        <v>627</v>
      </c>
    </row>
    <row r="2932" spans="1:8" x14ac:dyDescent="0.25">
      <c r="A2932" t="s">
        <v>441</v>
      </c>
      <c r="B2932" t="s">
        <v>187</v>
      </c>
      <c r="C2932" s="4">
        <v>3.4542314335060447E-3</v>
      </c>
      <c r="D2932" t="s">
        <v>256</v>
      </c>
      <c r="E2932" t="s">
        <v>440</v>
      </c>
      <c r="F2932" t="s">
        <v>441</v>
      </c>
      <c r="G2932" t="s">
        <v>245</v>
      </c>
    </row>
    <row r="2933" spans="1:8" x14ac:dyDescent="0.25">
      <c r="A2933" t="s">
        <v>441</v>
      </c>
      <c r="B2933" t="s">
        <v>86</v>
      </c>
      <c r="C2933" s="4">
        <v>3.4196891191709843E-2</v>
      </c>
      <c r="D2933" t="s">
        <v>256</v>
      </c>
      <c r="E2933" t="s">
        <v>440</v>
      </c>
      <c r="F2933" t="s">
        <v>441</v>
      </c>
      <c r="G2933" t="s">
        <v>245</v>
      </c>
    </row>
    <row r="2934" spans="1:8" x14ac:dyDescent="0.25">
      <c r="A2934" t="s">
        <v>441</v>
      </c>
      <c r="B2934" t="s">
        <v>159</v>
      </c>
      <c r="C2934" s="4">
        <v>0.38906160046056421</v>
      </c>
      <c r="D2934" t="s">
        <v>298</v>
      </c>
      <c r="E2934" t="s">
        <v>440</v>
      </c>
      <c r="F2934" t="s">
        <v>441</v>
      </c>
      <c r="G2934" t="s">
        <v>245</v>
      </c>
    </row>
    <row r="2935" spans="1:8" x14ac:dyDescent="0.25">
      <c r="A2935" t="s">
        <v>441</v>
      </c>
      <c r="B2935" t="s">
        <v>193</v>
      </c>
      <c r="C2935" s="4">
        <v>1.6004605641911342E-2</v>
      </c>
      <c r="D2935" t="s">
        <v>256</v>
      </c>
      <c r="E2935" t="s">
        <v>440</v>
      </c>
      <c r="F2935" t="s">
        <v>441</v>
      </c>
      <c r="G2935" t="s">
        <v>245</v>
      </c>
    </row>
    <row r="2936" spans="1:8" x14ac:dyDescent="0.25">
      <c r="A2936" t="s">
        <v>441</v>
      </c>
      <c r="B2936" t="s">
        <v>103</v>
      </c>
      <c r="C2936" s="4">
        <v>4.8359240069084626E-3</v>
      </c>
      <c r="D2936" t="s">
        <v>256</v>
      </c>
      <c r="E2936" t="s">
        <v>440</v>
      </c>
      <c r="F2936" t="s">
        <v>441</v>
      </c>
      <c r="G2936" t="s">
        <v>245</v>
      </c>
    </row>
    <row r="2937" spans="1:8" x14ac:dyDescent="0.25">
      <c r="A2937" t="s">
        <v>441</v>
      </c>
      <c r="B2937" t="s">
        <v>105</v>
      </c>
      <c r="C2937" s="4">
        <v>5.4461715601611976E-2</v>
      </c>
      <c r="D2937" t="s">
        <v>256</v>
      </c>
      <c r="E2937" t="s">
        <v>440</v>
      </c>
      <c r="F2937" t="s">
        <v>441</v>
      </c>
      <c r="G2937" t="s">
        <v>245</v>
      </c>
    </row>
    <row r="2938" spans="1:8" x14ac:dyDescent="0.25">
      <c r="A2938" t="s">
        <v>441</v>
      </c>
      <c r="B2938" t="s">
        <v>203</v>
      </c>
      <c r="C2938" s="4">
        <v>0.25480713874496258</v>
      </c>
      <c r="D2938" t="s">
        <v>256</v>
      </c>
      <c r="E2938" t="s">
        <v>440</v>
      </c>
      <c r="F2938" t="s">
        <v>441</v>
      </c>
      <c r="G2938" t="s">
        <v>245</v>
      </c>
    </row>
    <row r="2939" spans="1:8" x14ac:dyDescent="0.25">
      <c r="A2939" t="s">
        <v>441</v>
      </c>
      <c r="B2939" t="s">
        <v>107</v>
      </c>
      <c r="C2939" s="4">
        <v>2.5676453655728269E-2</v>
      </c>
      <c r="D2939" t="s">
        <v>256</v>
      </c>
      <c r="E2939" t="s">
        <v>440</v>
      </c>
      <c r="F2939" t="s">
        <v>441</v>
      </c>
      <c r="G2939" t="s">
        <v>245</v>
      </c>
    </row>
    <row r="2940" spans="1:8" x14ac:dyDescent="0.25">
      <c r="A2940" t="s">
        <v>441</v>
      </c>
      <c r="B2940" t="s">
        <v>204</v>
      </c>
      <c r="C2940" s="4">
        <v>0.15290731145653425</v>
      </c>
      <c r="D2940" t="s">
        <v>442</v>
      </c>
      <c r="E2940" t="s">
        <v>440</v>
      </c>
      <c r="F2940" t="s">
        <v>441</v>
      </c>
      <c r="G2940" t="s">
        <v>245</v>
      </c>
    </row>
    <row r="2941" spans="1:8" x14ac:dyDescent="0.25">
      <c r="A2941" t="s">
        <v>441</v>
      </c>
      <c r="B2941" t="s">
        <v>121</v>
      </c>
      <c r="C2941" s="4">
        <v>4.9510650546919976E-3</v>
      </c>
      <c r="D2941" t="s">
        <v>256</v>
      </c>
      <c r="E2941" t="s">
        <v>440</v>
      </c>
      <c r="F2941" t="s">
        <v>441</v>
      </c>
      <c r="G2941" t="s">
        <v>245</v>
      </c>
    </row>
    <row r="2942" spans="1:8" x14ac:dyDescent="0.25">
      <c r="A2942" t="s">
        <v>441</v>
      </c>
      <c r="B2942" t="s">
        <v>158</v>
      </c>
      <c r="C2942" s="4">
        <v>1.1514104778353484E-3</v>
      </c>
      <c r="D2942" t="s">
        <v>256</v>
      </c>
      <c r="E2942" t="s">
        <v>440</v>
      </c>
      <c r="F2942" t="s">
        <v>441</v>
      </c>
      <c r="G2942" t="s">
        <v>245</v>
      </c>
    </row>
    <row r="2943" spans="1:8" x14ac:dyDescent="0.25">
      <c r="A2943" t="s">
        <v>432</v>
      </c>
      <c r="B2943" t="s">
        <v>147</v>
      </c>
      <c r="C2943" s="4">
        <v>6.7950169875424689E-3</v>
      </c>
      <c r="D2943" t="s">
        <v>256</v>
      </c>
      <c r="E2943" t="s">
        <v>431</v>
      </c>
      <c r="F2943" t="s">
        <v>432</v>
      </c>
      <c r="G2943" t="s">
        <v>245</v>
      </c>
      <c r="H2943" t="s">
        <v>433</v>
      </c>
    </row>
    <row r="2944" spans="1:8" x14ac:dyDescent="0.25">
      <c r="A2944" t="s">
        <v>432</v>
      </c>
      <c r="B2944" t="s">
        <v>116</v>
      </c>
      <c r="C2944" s="4">
        <v>3.661759154397886E-2</v>
      </c>
      <c r="D2944" t="s">
        <v>288</v>
      </c>
      <c r="E2944" t="s">
        <v>431</v>
      </c>
      <c r="F2944" t="s">
        <v>432</v>
      </c>
      <c r="G2944" t="s">
        <v>245</v>
      </c>
      <c r="H2944" t="s">
        <v>628</v>
      </c>
    </row>
    <row r="2945" spans="1:8" x14ac:dyDescent="0.25">
      <c r="A2945" t="s">
        <v>432</v>
      </c>
      <c r="B2945" t="s">
        <v>86</v>
      </c>
      <c r="C2945" s="4">
        <v>0.67497168742921854</v>
      </c>
      <c r="D2945" t="s">
        <v>256</v>
      </c>
      <c r="E2945" t="s">
        <v>431</v>
      </c>
      <c r="F2945" t="s">
        <v>432</v>
      </c>
      <c r="G2945" t="s">
        <v>245</v>
      </c>
    </row>
    <row r="2946" spans="1:8" x14ac:dyDescent="0.25">
      <c r="A2946" t="s">
        <v>432</v>
      </c>
      <c r="B2946" t="s">
        <v>119</v>
      </c>
      <c r="C2946" s="4">
        <v>0.1098527746319366</v>
      </c>
      <c r="D2946" t="s">
        <v>256</v>
      </c>
      <c r="E2946" t="s">
        <v>431</v>
      </c>
      <c r="F2946" t="s">
        <v>432</v>
      </c>
      <c r="G2946" t="s">
        <v>245</v>
      </c>
    </row>
    <row r="2947" spans="1:8" x14ac:dyDescent="0.25">
      <c r="A2947" t="s">
        <v>432</v>
      </c>
      <c r="B2947" t="s">
        <v>107</v>
      </c>
      <c r="C2947" s="4">
        <v>9.4752736881842201E-2</v>
      </c>
      <c r="D2947" t="s">
        <v>256</v>
      </c>
      <c r="E2947" t="s">
        <v>431</v>
      </c>
      <c r="F2947" t="s">
        <v>432</v>
      </c>
      <c r="G2947" t="s">
        <v>245</v>
      </c>
    </row>
    <row r="2948" spans="1:8" x14ac:dyDescent="0.25">
      <c r="A2948" t="s">
        <v>432</v>
      </c>
      <c r="B2948" t="s">
        <v>138</v>
      </c>
      <c r="C2948" s="4">
        <v>7.7010192525481316E-2</v>
      </c>
      <c r="D2948" t="s">
        <v>256</v>
      </c>
      <c r="E2948" t="s">
        <v>431</v>
      </c>
      <c r="F2948" t="s">
        <v>432</v>
      </c>
      <c r="G2948" t="s">
        <v>245</v>
      </c>
    </row>
    <row r="2949" spans="1:8" x14ac:dyDescent="0.25">
      <c r="A2949" t="s">
        <v>426</v>
      </c>
      <c r="B2949" t="s">
        <v>83</v>
      </c>
      <c r="C2949" s="4">
        <v>2.548286828840101E-2</v>
      </c>
      <c r="D2949" t="s">
        <v>310</v>
      </c>
      <c r="E2949" t="s">
        <v>427</v>
      </c>
      <c r="F2949" t="s">
        <v>426</v>
      </c>
      <c r="G2949" t="s">
        <v>245</v>
      </c>
      <c r="H2949" t="s">
        <v>428</v>
      </c>
    </row>
    <row r="2950" spans="1:8" x14ac:dyDescent="0.25">
      <c r="A2950" t="s">
        <v>426</v>
      </c>
      <c r="B2950" t="s">
        <v>144</v>
      </c>
      <c r="C2950" s="4">
        <v>5.7069676493804677E-2</v>
      </c>
      <c r="D2950" t="s">
        <v>310</v>
      </c>
      <c r="E2950" t="s">
        <v>427</v>
      </c>
      <c r="F2950" t="s">
        <v>426</v>
      </c>
      <c r="G2950" t="s">
        <v>245</v>
      </c>
      <c r="H2950" t="s">
        <v>629</v>
      </c>
    </row>
    <row r="2951" spans="1:8" x14ac:dyDescent="0.25">
      <c r="A2951" t="s">
        <v>426</v>
      </c>
      <c r="B2951" t="s">
        <v>85</v>
      </c>
      <c r="C2951" s="4">
        <v>5.4316418340642818E-2</v>
      </c>
      <c r="D2951" t="s">
        <v>310</v>
      </c>
      <c r="E2951" t="s">
        <v>427</v>
      </c>
      <c r="F2951" t="s">
        <v>426</v>
      </c>
      <c r="G2951" t="s">
        <v>245</v>
      </c>
    </row>
    <row r="2952" spans="1:8" x14ac:dyDescent="0.25">
      <c r="A2952" t="s">
        <v>426</v>
      </c>
      <c r="B2952" t="s">
        <v>187</v>
      </c>
      <c r="C2952" s="4">
        <v>4.1924463907294532E-4</v>
      </c>
      <c r="D2952" t="s">
        <v>310</v>
      </c>
      <c r="E2952" t="s">
        <v>427</v>
      </c>
      <c r="F2952" t="s">
        <v>426</v>
      </c>
      <c r="G2952" t="s">
        <v>245</v>
      </c>
    </row>
    <row r="2953" spans="1:8" x14ac:dyDescent="0.25">
      <c r="A2953" t="s">
        <v>426</v>
      </c>
      <c r="B2953" t="s">
        <v>86</v>
      </c>
      <c r="C2953" s="4">
        <v>0.29523338497466523</v>
      </c>
      <c r="D2953" t="s">
        <v>310</v>
      </c>
      <c r="E2953" t="s">
        <v>427</v>
      </c>
      <c r="F2953" t="s">
        <v>426</v>
      </c>
      <c r="G2953" t="s">
        <v>245</v>
      </c>
    </row>
    <row r="2954" spans="1:8" x14ac:dyDescent="0.25">
      <c r="A2954" t="s">
        <v>426</v>
      </c>
      <c r="B2954" t="s">
        <v>87</v>
      </c>
      <c r="C2954" s="4">
        <v>2.0962231953647269E-5</v>
      </c>
      <c r="D2954" t="s">
        <v>310</v>
      </c>
      <c r="E2954" t="s">
        <v>427</v>
      </c>
      <c r="F2954" t="s">
        <v>426</v>
      </c>
      <c r="G2954" t="s">
        <v>245</v>
      </c>
    </row>
    <row r="2955" spans="1:8" x14ac:dyDescent="0.25">
      <c r="A2955" t="s">
        <v>426</v>
      </c>
      <c r="B2955" t="s">
        <v>159</v>
      </c>
      <c r="C2955" s="4">
        <v>3.9502015977151167E-2</v>
      </c>
      <c r="D2955" t="s">
        <v>310</v>
      </c>
      <c r="E2955" t="s">
        <v>427</v>
      </c>
      <c r="F2955" t="s">
        <v>426</v>
      </c>
      <c r="G2955" t="s">
        <v>245</v>
      </c>
    </row>
    <row r="2956" spans="1:8" x14ac:dyDescent="0.25">
      <c r="A2956" t="s">
        <v>426</v>
      </c>
      <c r="B2956" t="s">
        <v>97</v>
      </c>
      <c r="C2956" s="4">
        <v>2.7512929439162031E-5</v>
      </c>
      <c r="D2956" t="s">
        <v>310</v>
      </c>
      <c r="E2956" t="s">
        <v>427</v>
      </c>
      <c r="F2956" t="s">
        <v>426</v>
      </c>
      <c r="G2956" t="s">
        <v>245</v>
      </c>
    </row>
    <row r="2957" spans="1:8" x14ac:dyDescent="0.25">
      <c r="A2957" t="s">
        <v>426</v>
      </c>
      <c r="B2957" t="s">
        <v>98</v>
      </c>
      <c r="C2957" s="4">
        <v>0.2275836769720056</v>
      </c>
      <c r="D2957" t="s">
        <v>310</v>
      </c>
      <c r="E2957" t="s">
        <v>427</v>
      </c>
      <c r="F2957" t="s">
        <v>426</v>
      </c>
      <c r="G2957" t="s">
        <v>245</v>
      </c>
    </row>
    <row r="2958" spans="1:8" x14ac:dyDescent="0.25">
      <c r="A2958" t="s">
        <v>426</v>
      </c>
      <c r="B2958" t="s">
        <v>148</v>
      </c>
      <c r="C2958" s="4">
        <v>2.423758069640465E-5</v>
      </c>
      <c r="D2958" t="s">
        <v>310</v>
      </c>
      <c r="E2958" t="s">
        <v>427</v>
      </c>
      <c r="F2958" t="s">
        <v>426</v>
      </c>
      <c r="G2958" t="s">
        <v>245</v>
      </c>
    </row>
    <row r="2959" spans="1:8" x14ac:dyDescent="0.25">
      <c r="A2959" t="s">
        <v>426</v>
      </c>
      <c r="B2959" t="s">
        <v>171</v>
      </c>
      <c r="C2959" s="4">
        <v>2.2436138887888088E-3</v>
      </c>
      <c r="D2959" t="s">
        <v>310</v>
      </c>
      <c r="E2959" t="s">
        <v>427</v>
      </c>
      <c r="F2959" t="s">
        <v>426</v>
      </c>
      <c r="G2959" t="s">
        <v>245</v>
      </c>
    </row>
    <row r="2960" spans="1:8" x14ac:dyDescent="0.25">
      <c r="A2960" t="s">
        <v>426</v>
      </c>
      <c r="B2960" t="s">
        <v>103</v>
      </c>
      <c r="C2960" s="4">
        <v>1.136480506761958E-2</v>
      </c>
      <c r="D2960" t="s">
        <v>310</v>
      </c>
      <c r="E2960" t="s">
        <v>427</v>
      </c>
      <c r="F2960" t="s">
        <v>426</v>
      </c>
      <c r="G2960" t="s">
        <v>245</v>
      </c>
    </row>
    <row r="2961" spans="1:8" x14ac:dyDescent="0.25">
      <c r="A2961" t="s">
        <v>426</v>
      </c>
      <c r="B2961" t="s">
        <v>173</v>
      </c>
      <c r="C2961" s="4">
        <v>7.336781183776542E-5</v>
      </c>
      <c r="D2961" t="s">
        <v>310</v>
      </c>
      <c r="E2961" t="s">
        <v>427</v>
      </c>
      <c r="F2961" t="s">
        <v>426</v>
      </c>
      <c r="G2961" t="s">
        <v>245</v>
      </c>
    </row>
    <row r="2962" spans="1:8" x14ac:dyDescent="0.25">
      <c r="A2962" t="s">
        <v>426</v>
      </c>
      <c r="B2962" t="s">
        <v>174</v>
      </c>
      <c r="C2962" s="4">
        <v>0.15787180940090589</v>
      </c>
      <c r="D2962" t="s">
        <v>310</v>
      </c>
      <c r="E2962" t="s">
        <v>427</v>
      </c>
      <c r="F2962" t="s">
        <v>426</v>
      </c>
      <c r="G2962" t="s">
        <v>245</v>
      </c>
    </row>
    <row r="2963" spans="1:8" x14ac:dyDescent="0.25">
      <c r="A2963" t="s">
        <v>426</v>
      </c>
      <c r="B2963" t="s">
        <v>175</v>
      </c>
      <c r="C2963" s="4">
        <v>4.9654286940201955E-4</v>
      </c>
      <c r="D2963" t="s">
        <v>310</v>
      </c>
      <c r="E2963" t="s">
        <v>427</v>
      </c>
      <c r="F2963" t="s">
        <v>426</v>
      </c>
      <c r="G2963" t="s">
        <v>245</v>
      </c>
    </row>
    <row r="2964" spans="1:8" x14ac:dyDescent="0.25">
      <c r="A2964" t="s">
        <v>426</v>
      </c>
      <c r="B2964" t="s">
        <v>203</v>
      </c>
      <c r="C2964" s="4">
        <v>2.3743658105996841E-2</v>
      </c>
      <c r="D2964" t="s">
        <v>310</v>
      </c>
      <c r="E2964" t="s">
        <v>427</v>
      </c>
      <c r="F2964" t="s">
        <v>426</v>
      </c>
      <c r="G2964" t="s">
        <v>245</v>
      </c>
    </row>
    <row r="2965" spans="1:8" x14ac:dyDescent="0.25">
      <c r="A2965" t="s">
        <v>426</v>
      </c>
      <c r="B2965" t="s">
        <v>146</v>
      </c>
      <c r="C2965" s="4">
        <v>6.8052575898018747E-2</v>
      </c>
      <c r="D2965" t="s">
        <v>310</v>
      </c>
      <c r="E2965" t="s">
        <v>427</v>
      </c>
      <c r="F2965" t="s">
        <v>426</v>
      </c>
      <c r="G2965" t="s">
        <v>245</v>
      </c>
    </row>
    <row r="2966" spans="1:8" x14ac:dyDescent="0.25">
      <c r="A2966" t="s">
        <v>426</v>
      </c>
      <c r="B2966" t="s">
        <v>178</v>
      </c>
      <c r="C2966" s="4">
        <v>3.0395236332788532E-4</v>
      </c>
      <c r="D2966" t="s">
        <v>310</v>
      </c>
      <c r="E2966" t="s">
        <v>427</v>
      </c>
      <c r="F2966" t="s">
        <v>426</v>
      </c>
      <c r="G2966" t="s">
        <v>245</v>
      </c>
    </row>
    <row r="2967" spans="1:8" x14ac:dyDescent="0.25">
      <c r="A2967" t="s">
        <v>426</v>
      </c>
      <c r="B2967" t="s">
        <v>107</v>
      </c>
      <c r="C2967" s="4">
        <v>6.8513745000998976E-3</v>
      </c>
      <c r="D2967" t="s">
        <v>310</v>
      </c>
      <c r="E2967" t="s">
        <v>427</v>
      </c>
      <c r="F2967" t="s">
        <v>426</v>
      </c>
      <c r="G2967" t="s">
        <v>245</v>
      </c>
    </row>
    <row r="2968" spans="1:8" x14ac:dyDescent="0.25">
      <c r="A2968" t="s">
        <v>426</v>
      </c>
      <c r="B2968" t="s">
        <v>204</v>
      </c>
      <c r="C2968" s="4">
        <v>8.0940418131020507E-3</v>
      </c>
      <c r="D2968" t="s">
        <v>310</v>
      </c>
      <c r="E2968" t="s">
        <v>427</v>
      </c>
      <c r="F2968" t="s">
        <v>426</v>
      </c>
      <c r="G2968" t="s">
        <v>245</v>
      </c>
    </row>
    <row r="2969" spans="1:8" x14ac:dyDescent="0.25">
      <c r="A2969" t="s">
        <v>426</v>
      </c>
      <c r="B2969" t="s">
        <v>121</v>
      </c>
      <c r="C2969" s="4">
        <v>3.5373766421779759E-4</v>
      </c>
      <c r="D2969" t="s">
        <v>310</v>
      </c>
      <c r="E2969" t="s">
        <v>427</v>
      </c>
      <c r="F2969" t="s">
        <v>426</v>
      </c>
      <c r="G2969" t="s">
        <v>245</v>
      </c>
    </row>
    <row r="2970" spans="1:8" x14ac:dyDescent="0.25">
      <c r="A2970" t="s">
        <v>426</v>
      </c>
      <c r="B2970" t="s">
        <v>111</v>
      </c>
      <c r="C2970" s="4">
        <v>1.8669487833717101E-4</v>
      </c>
      <c r="D2970" t="s">
        <v>310</v>
      </c>
      <c r="E2970" t="s">
        <v>427</v>
      </c>
      <c r="F2970" t="s">
        <v>426</v>
      </c>
      <c r="G2970" t="s">
        <v>245</v>
      </c>
    </row>
    <row r="2971" spans="1:8" x14ac:dyDescent="0.25">
      <c r="A2971" t="s">
        <v>426</v>
      </c>
      <c r="B2971" t="s">
        <v>215</v>
      </c>
      <c r="C2971" s="4">
        <v>5.5287886777744661E-4</v>
      </c>
      <c r="D2971" t="s">
        <v>310</v>
      </c>
      <c r="E2971" t="s">
        <v>427</v>
      </c>
      <c r="F2971" t="s">
        <v>426</v>
      </c>
      <c r="G2971" t="s">
        <v>245</v>
      </c>
    </row>
    <row r="2972" spans="1:8" x14ac:dyDescent="0.25">
      <c r="A2972" t="s">
        <v>426</v>
      </c>
      <c r="B2972" t="s">
        <v>142</v>
      </c>
      <c r="C2972" s="4">
        <v>8.7779346305897927E-5</v>
      </c>
      <c r="D2972" t="s">
        <v>310</v>
      </c>
      <c r="E2972" t="s">
        <v>427</v>
      </c>
      <c r="F2972" t="s">
        <v>426</v>
      </c>
      <c r="G2972" t="s">
        <v>245</v>
      </c>
    </row>
    <row r="2973" spans="1:8" x14ac:dyDescent="0.25">
      <c r="A2973" t="s">
        <v>426</v>
      </c>
      <c r="B2973" t="s">
        <v>140</v>
      </c>
      <c r="C2973" s="4">
        <v>3.1770882804746641E-4</v>
      </c>
      <c r="D2973" t="s">
        <v>310</v>
      </c>
      <c r="E2973" t="s">
        <v>427</v>
      </c>
      <c r="F2973" t="s">
        <v>426</v>
      </c>
      <c r="G2973" t="s">
        <v>245</v>
      </c>
    </row>
    <row r="2974" spans="1:8" x14ac:dyDescent="0.25">
      <c r="A2974" t="s">
        <v>426</v>
      </c>
      <c r="B2974" t="s">
        <v>115</v>
      </c>
      <c r="C2974" s="4">
        <v>1.9725460268382081E-2</v>
      </c>
      <c r="D2974" t="s">
        <v>310</v>
      </c>
      <c r="E2974" t="s">
        <v>427</v>
      </c>
      <c r="F2974" t="s">
        <v>426</v>
      </c>
      <c r="G2974" t="s">
        <v>245</v>
      </c>
    </row>
    <row r="2975" spans="1:8" x14ac:dyDescent="0.25">
      <c r="A2975" t="s">
        <v>430</v>
      </c>
      <c r="B2975" t="s">
        <v>83</v>
      </c>
      <c r="C2975" s="4">
        <v>2.0758060778743739E-4</v>
      </c>
      <c r="D2975" t="s">
        <v>310</v>
      </c>
      <c r="E2975" t="s">
        <v>429</v>
      </c>
      <c r="F2975" t="s">
        <v>430</v>
      </c>
      <c r="G2975" t="s">
        <v>245</v>
      </c>
      <c r="H2975" t="s">
        <v>630</v>
      </c>
    </row>
    <row r="2976" spans="1:8" x14ac:dyDescent="0.25">
      <c r="A2976" t="s">
        <v>430</v>
      </c>
      <c r="B2976" t="s">
        <v>163</v>
      </c>
      <c r="C2976" s="4">
        <v>2.5346825894044848E-2</v>
      </c>
      <c r="D2976" t="s">
        <v>310</v>
      </c>
      <c r="E2976" t="s">
        <v>429</v>
      </c>
      <c r="F2976" t="s">
        <v>430</v>
      </c>
      <c r="G2976" t="s">
        <v>245</v>
      </c>
    </row>
    <row r="2977" spans="1:8" x14ac:dyDescent="0.25">
      <c r="A2977" t="s">
        <v>430</v>
      </c>
      <c r="B2977" t="s">
        <v>144</v>
      </c>
      <c r="C2977" s="4">
        <v>3.9714944087331901E-2</v>
      </c>
      <c r="D2977" t="s">
        <v>310</v>
      </c>
      <c r="E2977" t="s">
        <v>429</v>
      </c>
      <c r="F2977" t="s">
        <v>430</v>
      </c>
      <c r="G2977" t="s">
        <v>245</v>
      </c>
    </row>
    <row r="2978" spans="1:8" x14ac:dyDescent="0.25">
      <c r="A2978" t="s">
        <v>430</v>
      </c>
      <c r="B2978" t="s">
        <v>85</v>
      </c>
      <c r="C2978" s="4">
        <v>4.0228799958805711E-2</v>
      </c>
      <c r="D2978" t="s">
        <v>310</v>
      </c>
      <c r="E2978" t="s">
        <v>429</v>
      </c>
      <c r="F2978" t="s">
        <v>430</v>
      </c>
      <c r="G2978" t="s">
        <v>245</v>
      </c>
    </row>
    <row r="2979" spans="1:8" x14ac:dyDescent="0.25">
      <c r="A2979" t="s">
        <v>430</v>
      </c>
      <c r="B2979" t="s">
        <v>86</v>
      </c>
      <c r="C2979" s="4">
        <v>0.50526139065061237</v>
      </c>
      <c r="D2979" t="s">
        <v>310</v>
      </c>
      <c r="E2979" t="s">
        <v>429</v>
      </c>
      <c r="F2979" t="s">
        <v>430</v>
      </c>
      <c r="G2979" t="s">
        <v>245</v>
      </c>
    </row>
    <row r="2980" spans="1:8" x14ac:dyDescent="0.25">
      <c r="A2980" t="s">
        <v>430</v>
      </c>
      <c r="B2980" t="s">
        <v>97</v>
      </c>
      <c r="C2980" s="4">
        <v>1.1264063988465599E-5</v>
      </c>
      <c r="D2980" t="s">
        <v>310</v>
      </c>
      <c r="E2980" t="s">
        <v>429</v>
      </c>
      <c r="F2980" t="s">
        <v>430</v>
      </c>
      <c r="G2980" t="s">
        <v>245</v>
      </c>
    </row>
    <row r="2981" spans="1:8" x14ac:dyDescent="0.25">
      <c r="A2981" t="s">
        <v>430</v>
      </c>
      <c r="B2981" t="s">
        <v>98</v>
      </c>
      <c r="C2981" s="4">
        <v>0.1977454707735086</v>
      </c>
      <c r="D2981" t="s">
        <v>310</v>
      </c>
      <c r="E2981" t="s">
        <v>429</v>
      </c>
      <c r="F2981" t="s">
        <v>430</v>
      </c>
      <c r="G2981" t="s">
        <v>245</v>
      </c>
    </row>
    <row r="2982" spans="1:8" x14ac:dyDescent="0.25">
      <c r="A2982" t="s">
        <v>430</v>
      </c>
      <c r="B2982" t="s">
        <v>119</v>
      </c>
      <c r="C2982" s="4">
        <v>4.4021034834922463E-3</v>
      </c>
      <c r="D2982" t="s">
        <v>310</v>
      </c>
      <c r="E2982" t="s">
        <v>429</v>
      </c>
      <c r="F2982" t="s">
        <v>430</v>
      </c>
      <c r="G2982" t="s">
        <v>245</v>
      </c>
    </row>
    <row r="2983" spans="1:8" x14ac:dyDescent="0.25">
      <c r="A2983" t="s">
        <v>430</v>
      </c>
      <c r="B2983" t="s">
        <v>103</v>
      </c>
      <c r="C2983" s="4">
        <v>6.3804485886664208E-2</v>
      </c>
      <c r="D2983" t="s">
        <v>310</v>
      </c>
      <c r="E2983" t="s">
        <v>429</v>
      </c>
      <c r="F2983" t="s">
        <v>430</v>
      </c>
      <c r="G2983" t="s">
        <v>245</v>
      </c>
    </row>
    <row r="2984" spans="1:8" x14ac:dyDescent="0.25">
      <c r="A2984" t="s">
        <v>430</v>
      </c>
      <c r="B2984" t="s">
        <v>146</v>
      </c>
      <c r="C2984" s="4">
        <v>5.4307807176388813E-2</v>
      </c>
      <c r="D2984" t="s">
        <v>310</v>
      </c>
      <c r="E2984" t="s">
        <v>429</v>
      </c>
      <c r="F2984" t="s">
        <v>430</v>
      </c>
      <c r="G2984" t="s">
        <v>245</v>
      </c>
    </row>
    <row r="2985" spans="1:8" x14ac:dyDescent="0.25">
      <c r="A2985" t="s">
        <v>430</v>
      </c>
      <c r="B2985" t="s">
        <v>151</v>
      </c>
      <c r="C2985" s="4">
        <v>1.063542194110933E-2</v>
      </c>
      <c r="D2985" t="s">
        <v>310</v>
      </c>
      <c r="E2985" t="s">
        <v>429</v>
      </c>
      <c r="F2985" t="s">
        <v>430</v>
      </c>
      <c r="G2985" t="s">
        <v>245</v>
      </c>
    </row>
    <row r="2986" spans="1:8" x14ac:dyDescent="0.25">
      <c r="A2986" t="s">
        <v>430</v>
      </c>
      <c r="B2986" t="s">
        <v>107</v>
      </c>
      <c r="C2986" s="4">
        <v>3.5937727963199768E-3</v>
      </c>
      <c r="D2986" t="s">
        <v>310</v>
      </c>
      <c r="E2986" t="s">
        <v>429</v>
      </c>
      <c r="F2986" t="s">
        <v>430</v>
      </c>
      <c r="G2986" t="s">
        <v>245</v>
      </c>
    </row>
    <row r="2987" spans="1:8" x14ac:dyDescent="0.25">
      <c r="A2987" t="s">
        <v>430</v>
      </c>
      <c r="B2987" t="s">
        <v>204</v>
      </c>
      <c r="C2987" s="4">
        <v>1.609151998352228E-3</v>
      </c>
      <c r="D2987" t="s">
        <v>310</v>
      </c>
      <c r="E2987" t="s">
        <v>429</v>
      </c>
      <c r="F2987" t="s">
        <v>430</v>
      </c>
      <c r="G2987" t="s">
        <v>245</v>
      </c>
    </row>
    <row r="2988" spans="1:8" x14ac:dyDescent="0.25">
      <c r="A2988" t="s">
        <v>430</v>
      </c>
      <c r="B2988" t="s">
        <v>208</v>
      </c>
      <c r="C2988" s="4">
        <v>9.1721663906077014E-3</v>
      </c>
      <c r="D2988" t="s">
        <v>310</v>
      </c>
      <c r="E2988" t="s">
        <v>429</v>
      </c>
      <c r="F2988" t="s">
        <v>430</v>
      </c>
      <c r="G2988" t="s">
        <v>245</v>
      </c>
    </row>
    <row r="2989" spans="1:8" x14ac:dyDescent="0.25">
      <c r="A2989" t="s">
        <v>430</v>
      </c>
      <c r="B2989" t="s">
        <v>215</v>
      </c>
      <c r="C2989" s="4">
        <v>2.9208254306090749E-2</v>
      </c>
      <c r="D2989" t="s">
        <v>310</v>
      </c>
      <c r="E2989" t="s">
        <v>429</v>
      </c>
      <c r="F2989" t="s">
        <v>430</v>
      </c>
      <c r="G2989" t="s">
        <v>245</v>
      </c>
    </row>
    <row r="2990" spans="1:8" x14ac:dyDescent="0.25">
      <c r="A2990" t="s">
        <v>430</v>
      </c>
      <c r="B2990" t="s">
        <v>115</v>
      </c>
      <c r="C2990" s="4">
        <v>1.4750559984895431E-2</v>
      </c>
      <c r="D2990" t="s">
        <v>310</v>
      </c>
      <c r="E2990" t="s">
        <v>429</v>
      </c>
      <c r="F2990" t="s">
        <v>430</v>
      </c>
      <c r="G2990" t="s">
        <v>245</v>
      </c>
    </row>
    <row r="2991" spans="1:8" x14ac:dyDescent="0.25">
      <c r="A2991" t="s">
        <v>454</v>
      </c>
      <c r="B2991" t="s">
        <v>83</v>
      </c>
      <c r="C2991" s="2">
        <v>7.0874683712762801E-2</v>
      </c>
      <c r="D2991" t="s">
        <v>307</v>
      </c>
      <c r="E2991" t="s">
        <v>453</v>
      </c>
      <c r="F2991" t="s">
        <v>454</v>
      </c>
      <c r="G2991" t="s">
        <v>245</v>
      </c>
      <c r="H2991" t="s">
        <v>631</v>
      </c>
    </row>
    <row r="2992" spans="1:8" x14ac:dyDescent="0.25">
      <c r="A2992" t="s">
        <v>454</v>
      </c>
      <c r="B2992" t="s">
        <v>85</v>
      </c>
      <c r="C2992" s="2">
        <f>(0.855510685714286/(0.855510685714286+0.0759181142857143)) * 0.572417436627207%</f>
        <v>5.2576131822824846E-3</v>
      </c>
      <c r="D2992" t="s">
        <v>242</v>
      </c>
      <c r="E2992" t="s">
        <v>455</v>
      </c>
      <c r="F2992" t="s">
        <v>454</v>
      </c>
      <c r="G2992" t="s">
        <v>245</v>
      </c>
    </row>
    <row r="2993" spans="1:7" x14ac:dyDescent="0.25">
      <c r="A2993" t="s">
        <v>454</v>
      </c>
      <c r="B2993" t="s">
        <v>85</v>
      </c>
      <c r="C2993" s="2">
        <f>(0.0759181142857143/(0.855510685714286+0.0759181142857143)) * 0.572417436627207%</f>
        <v>4.6656118398958577E-4</v>
      </c>
      <c r="D2993" t="s">
        <v>256</v>
      </c>
      <c r="E2993" t="s">
        <v>453</v>
      </c>
      <c r="F2993" t="s">
        <v>454</v>
      </c>
      <c r="G2993" t="s">
        <v>245</v>
      </c>
    </row>
    <row r="2994" spans="1:7" x14ac:dyDescent="0.25">
      <c r="A2994" t="s">
        <v>454</v>
      </c>
      <c r="B2994" t="s">
        <v>116</v>
      </c>
      <c r="C2994" s="2">
        <f>(0.855510685714286/(0.855510685714286+0.0759181142857143)) * 17.6921673277572%</f>
        <v>0.16250129051561907</v>
      </c>
      <c r="D2994" t="s">
        <v>242</v>
      </c>
      <c r="E2994" t="s">
        <v>455</v>
      </c>
      <c r="F2994" t="s">
        <v>454</v>
      </c>
      <c r="G2994" t="s">
        <v>245</v>
      </c>
    </row>
    <row r="2995" spans="1:7" x14ac:dyDescent="0.25">
      <c r="A2995" t="s">
        <v>454</v>
      </c>
      <c r="B2995" t="s">
        <v>116</v>
      </c>
      <c r="C2995" s="2">
        <f>(0.0759181142857143/(0.855510685714286+0.0759181142857143)) * 17.6921673277572%</f>
        <v>1.4420382761952939E-2</v>
      </c>
      <c r="D2995" t="s">
        <v>256</v>
      </c>
      <c r="E2995" t="s">
        <v>453</v>
      </c>
      <c r="F2995" t="s">
        <v>454</v>
      </c>
      <c r="G2995" t="s">
        <v>245</v>
      </c>
    </row>
    <row r="2996" spans="1:7" x14ac:dyDescent="0.25">
      <c r="A2996" t="s">
        <v>454</v>
      </c>
      <c r="B2996" t="s">
        <v>86</v>
      </c>
      <c r="C2996" s="2">
        <f>(0.855510685714286/(0.855510685714286+0.0759181142857143)) * 28.8129582194903%</f>
        <v>0.26464495883972255</v>
      </c>
      <c r="D2996" t="s">
        <v>242</v>
      </c>
      <c r="E2996" t="s">
        <v>455</v>
      </c>
      <c r="F2996" t="s">
        <v>454</v>
      </c>
      <c r="G2996" t="s">
        <v>245</v>
      </c>
    </row>
    <row r="2997" spans="1:7" x14ac:dyDescent="0.25">
      <c r="A2997" t="s">
        <v>454</v>
      </c>
      <c r="B2997" t="s">
        <v>86</v>
      </c>
      <c r="C2997" s="2">
        <f>(0.0759181142857143/(0.855510685714286+0.0759181142857143)) * 28.8129582194903%</f>
        <v>2.3484623355180506E-2</v>
      </c>
      <c r="D2997" t="s">
        <v>256</v>
      </c>
      <c r="E2997" t="s">
        <v>453</v>
      </c>
      <c r="F2997" t="s">
        <v>454</v>
      </c>
      <c r="G2997" t="s">
        <v>245</v>
      </c>
    </row>
    <row r="2998" spans="1:7" x14ac:dyDescent="0.25">
      <c r="A2998" t="s">
        <v>454</v>
      </c>
      <c r="B2998" t="s">
        <v>97</v>
      </c>
      <c r="C2998" s="2">
        <f>(0.855510685714286/(0.855510685714286+0.0759181142857143)) * 3.80774738702791%</f>
        <v>3.497388719463073E-2</v>
      </c>
      <c r="D2998" t="s">
        <v>242</v>
      </c>
      <c r="E2998" t="s">
        <v>455</v>
      </c>
      <c r="F2998" t="s">
        <v>454</v>
      </c>
      <c r="G2998" t="s">
        <v>245</v>
      </c>
    </row>
    <row r="2999" spans="1:7" x14ac:dyDescent="0.25">
      <c r="A2999" t="s">
        <v>454</v>
      </c>
      <c r="B2999" t="s">
        <v>97</v>
      </c>
      <c r="C2999" s="2">
        <f>(0.0759181142857143/(0.855510685714286+0.0759181142857143)) * 3.80774738702791%</f>
        <v>3.1035866756483669E-3</v>
      </c>
      <c r="D2999" t="s">
        <v>256</v>
      </c>
      <c r="E2999" t="s">
        <v>453</v>
      </c>
      <c r="F2999" t="s">
        <v>454</v>
      </c>
      <c r="G2999" t="s">
        <v>245</v>
      </c>
    </row>
    <row r="3000" spans="1:7" x14ac:dyDescent="0.25">
      <c r="A3000" t="s">
        <v>454</v>
      </c>
      <c r="B3000" s="6" t="s">
        <v>102</v>
      </c>
      <c r="C3000" s="2">
        <f>(0.855510685714286/(0.855510685714286+0.0759181142857143)) * 0.0539733399584113%</f>
        <v>4.9574126415363913E-4</v>
      </c>
      <c r="D3000" t="s">
        <v>242</v>
      </c>
      <c r="E3000" t="s">
        <v>455</v>
      </c>
      <c r="F3000" t="s">
        <v>454</v>
      </c>
      <c r="G3000" t="s">
        <v>245</v>
      </c>
    </row>
    <row r="3001" spans="1:7" x14ac:dyDescent="0.25">
      <c r="A3001" t="s">
        <v>454</v>
      </c>
      <c r="B3001" s="6" t="s">
        <v>102</v>
      </c>
      <c r="C3001" s="2">
        <f>(0.0759181142857143/(0.855510685714286+0.0759181142857143)) * 0.0539733399584113%</f>
        <v>4.3992135430473891E-5</v>
      </c>
      <c r="D3001" t="s">
        <v>256</v>
      </c>
      <c r="E3001" t="s">
        <v>453</v>
      </c>
      <c r="F3001" t="s">
        <v>454</v>
      </c>
      <c r="G3001" t="s">
        <v>245</v>
      </c>
    </row>
    <row r="3002" spans="1:7" x14ac:dyDescent="0.25">
      <c r="A3002" t="s">
        <v>454</v>
      </c>
      <c r="B3002" t="s">
        <v>198</v>
      </c>
      <c r="C3002" s="2">
        <f>(0.855510685714286/(0.855510685714286+0.0759181142857143)) * 2.50489047786112%</f>
        <v>2.3007239741289421E-2</v>
      </c>
      <c r="D3002" t="s">
        <v>242</v>
      </c>
      <c r="E3002" t="s">
        <v>455</v>
      </c>
      <c r="F3002" t="s">
        <v>454</v>
      </c>
      <c r="G3002" t="s">
        <v>245</v>
      </c>
    </row>
    <row r="3003" spans="1:7" x14ac:dyDescent="0.25">
      <c r="A3003" t="s">
        <v>454</v>
      </c>
      <c r="B3003" t="s">
        <v>198</v>
      </c>
      <c r="C3003" s="2">
        <f>(0.0759181142857143/(0.855510685714286+0.0759181142857143)) * 2.50489047786112%</f>
        <v>2.0416650373217787E-3</v>
      </c>
      <c r="D3003" t="s">
        <v>256</v>
      </c>
      <c r="E3003" t="s">
        <v>453</v>
      </c>
      <c r="F3003" t="s">
        <v>454</v>
      </c>
      <c r="G3003" t="s">
        <v>245</v>
      </c>
    </row>
    <row r="3004" spans="1:7" x14ac:dyDescent="0.25">
      <c r="A3004" t="s">
        <v>454</v>
      </c>
      <c r="B3004" t="s">
        <v>148</v>
      </c>
      <c r="C3004" s="2">
        <f>(0.855510685714286/(0.855510685714286+0.0759181142857143)) * 1.94553426338095%</f>
        <v>1.7869592949516639E-2</v>
      </c>
      <c r="D3004" t="s">
        <v>242</v>
      </c>
      <c r="E3004" t="s">
        <v>455</v>
      </c>
      <c r="F3004" t="s">
        <v>454</v>
      </c>
      <c r="G3004" t="s">
        <v>245</v>
      </c>
    </row>
    <row r="3005" spans="1:7" x14ac:dyDescent="0.25">
      <c r="A3005" t="s">
        <v>454</v>
      </c>
      <c r="B3005" t="s">
        <v>148</v>
      </c>
      <c r="C3005" s="2">
        <f>(0.0759181142857143/(0.855510685714286+0.0759181142857143)) * 1.94553426338095%</f>
        <v>1.5857496842928618E-3</v>
      </c>
      <c r="D3005" t="s">
        <v>256</v>
      </c>
      <c r="E3005" t="s">
        <v>453</v>
      </c>
      <c r="F3005" t="s">
        <v>454</v>
      </c>
      <c r="G3005" t="s">
        <v>245</v>
      </c>
    </row>
    <row r="3006" spans="1:7" x14ac:dyDescent="0.25">
      <c r="A3006" t="s">
        <v>454</v>
      </c>
      <c r="B3006" t="s">
        <v>141</v>
      </c>
      <c r="C3006" s="2">
        <f>(0.855510685714286/(0.855510685714286+0.0759181142857143)) * 3.54034454574574%</f>
        <v>3.2517811237915008E-2</v>
      </c>
      <c r="D3006" t="s">
        <v>242</v>
      </c>
      <c r="E3006" t="s">
        <v>455</v>
      </c>
      <c r="F3006" t="s">
        <v>454</v>
      </c>
      <c r="G3006" t="s">
        <v>245</v>
      </c>
    </row>
    <row r="3007" spans="1:7" x14ac:dyDescent="0.25">
      <c r="A3007" t="s">
        <v>454</v>
      </c>
      <c r="B3007" t="s">
        <v>141</v>
      </c>
      <c r="C3007" s="2">
        <f>(0.0759181142857143/(0.855510685714286+0.0759181142857143)) * 3.54034454574574%</f>
        <v>2.8856342195423875E-3</v>
      </c>
      <c r="D3007" t="s">
        <v>256</v>
      </c>
      <c r="E3007" t="s">
        <v>453</v>
      </c>
      <c r="F3007" t="s">
        <v>454</v>
      </c>
      <c r="G3007" t="s">
        <v>245</v>
      </c>
    </row>
    <row r="3008" spans="1:7" x14ac:dyDescent="0.25">
      <c r="A3008" t="s">
        <v>454</v>
      </c>
      <c r="B3008" t="s">
        <v>103</v>
      </c>
      <c r="C3008" s="2">
        <f>(0.855510685714286/(0.855510685714286+0.0759181142857143)) * 0.0706121303190044%</f>
        <v>6.4856736262565602E-4</v>
      </c>
      <c r="D3008" t="s">
        <v>242</v>
      </c>
      <c r="E3008" t="s">
        <v>455</v>
      </c>
      <c r="F3008" t="s">
        <v>454</v>
      </c>
      <c r="G3008" t="s">
        <v>245</v>
      </c>
    </row>
    <row r="3009" spans="1:7" x14ac:dyDescent="0.25">
      <c r="A3009" t="s">
        <v>454</v>
      </c>
      <c r="B3009" t="s">
        <v>103</v>
      </c>
      <c r="C3009" s="2">
        <f>(0.0759181142857143/(0.855510685714286+0.0759181142857143)) * 0.0706121303190044%</f>
        <v>5.7553940564388021E-5</v>
      </c>
      <c r="D3009" t="s">
        <v>256</v>
      </c>
      <c r="E3009" t="s">
        <v>453</v>
      </c>
      <c r="F3009" t="s">
        <v>454</v>
      </c>
      <c r="G3009" t="s">
        <v>245</v>
      </c>
    </row>
    <row r="3010" spans="1:7" x14ac:dyDescent="0.25">
      <c r="A3010" t="s">
        <v>454</v>
      </c>
      <c r="B3010" t="s">
        <v>105</v>
      </c>
      <c r="C3010" s="2">
        <f>(0.855510685714286/(0.855510685714286+0.0759181142857143)) * 6.96353922333522%</f>
        <v>6.395960932229966E-2</v>
      </c>
      <c r="D3010" t="s">
        <v>242</v>
      </c>
      <c r="E3010" t="s">
        <v>455</v>
      </c>
      <c r="F3010" t="s">
        <v>454</v>
      </c>
      <c r="G3010" t="s">
        <v>245</v>
      </c>
    </row>
    <row r="3011" spans="1:7" x14ac:dyDescent="0.25">
      <c r="A3011" t="s">
        <v>454</v>
      </c>
      <c r="B3011" t="s">
        <v>105</v>
      </c>
      <c r="C3011" s="2">
        <f>(0.0759181142857143/(0.855510685714286+0.0759181142857143)) * 6.96353922333522%</f>
        <v>5.6757829110525371E-3</v>
      </c>
      <c r="D3011" t="s">
        <v>256</v>
      </c>
      <c r="E3011" t="s">
        <v>453</v>
      </c>
      <c r="F3011" t="s">
        <v>454</v>
      </c>
      <c r="G3011" t="s">
        <v>245</v>
      </c>
    </row>
    <row r="3012" spans="1:7" x14ac:dyDescent="0.25">
      <c r="A3012" t="s">
        <v>454</v>
      </c>
      <c r="B3012" t="s">
        <v>132</v>
      </c>
      <c r="C3012" s="2">
        <f>(0.855510685714286/(0.855510685714286+0.0759181142857143)) * 5.59690245860549%</f>
        <v>5.1407148460918907E-2</v>
      </c>
      <c r="D3012" t="s">
        <v>242</v>
      </c>
      <c r="E3012" t="s">
        <v>455</v>
      </c>
      <c r="F3012" t="s">
        <v>454</v>
      </c>
      <c r="G3012" t="s">
        <v>245</v>
      </c>
    </row>
    <row r="3013" spans="1:7" x14ac:dyDescent="0.25">
      <c r="A3013" t="s">
        <v>454</v>
      </c>
      <c r="B3013" t="s">
        <v>132</v>
      </c>
      <c r="C3013" s="2">
        <f>(0.0759181142857143/(0.855510685714286+0.0759181142857143)) * 5.59690245860549%</f>
        <v>4.561876125135993E-3</v>
      </c>
      <c r="D3013" t="s">
        <v>256</v>
      </c>
      <c r="E3013" t="s">
        <v>453</v>
      </c>
      <c r="F3013" t="s">
        <v>454</v>
      </c>
      <c r="G3013" t="s">
        <v>245</v>
      </c>
    </row>
    <row r="3014" spans="1:7" x14ac:dyDescent="0.25">
      <c r="A3014" t="s">
        <v>454</v>
      </c>
      <c r="B3014" t="s">
        <v>107</v>
      </c>
      <c r="C3014" s="2">
        <f>(0.855510685714286/(0.855510685714286+0.0759181142857143)) * 0.576597516898608%</f>
        <v>5.2960069203688209E-3</v>
      </c>
      <c r="D3014" t="s">
        <v>242</v>
      </c>
      <c r="E3014" t="s">
        <v>455</v>
      </c>
      <c r="F3014" t="s">
        <v>454</v>
      </c>
      <c r="G3014" t="s">
        <v>245</v>
      </c>
    </row>
    <row r="3015" spans="1:7" x14ac:dyDescent="0.25">
      <c r="A3015" t="s">
        <v>454</v>
      </c>
      <c r="B3015" t="s">
        <v>107</v>
      </c>
      <c r="C3015" s="2">
        <f>(0.0759181142857143/(0.855510685714286+0.0759181142857143)) * 0.576597516898608%</f>
        <v>4.6996824861725978E-4</v>
      </c>
      <c r="D3015" t="s">
        <v>256</v>
      </c>
      <c r="E3015" t="s">
        <v>453</v>
      </c>
      <c r="F3015" t="s">
        <v>454</v>
      </c>
      <c r="G3015" t="s">
        <v>245</v>
      </c>
    </row>
    <row r="3016" spans="1:7" x14ac:dyDescent="0.25">
      <c r="A3016" t="s">
        <v>454</v>
      </c>
      <c r="B3016" t="s">
        <v>205</v>
      </c>
      <c r="C3016" s="2">
        <f>(0.855510685714286/(0.855510685714286+0.0759181142857143)) * 2.98737544826306%</f>
        <v>2.7438829658579938E-2</v>
      </c>
      <c r="D3016" t="s">
        <v>242</v>
      </c>
      <c r="E3016" t="s">
        <v>455</v>
      </c>
      <c r="F3016" t="s">
        <v>454</v>
      </c>
      <c r="G3016" t="s">
        <v>245</v>
      </c>
    </row>
    <row r="3017" spans="1:7" x14ac:dyDescent="0.25">
      <c r="A3017" t="s">
        <v>454</v>
      </c>
      <c r="B3017" t="s">
        <v>205</v>
      </c>
      <c r="C3017" s="2">
        <f>(0.0759181142857143/(0.855510685714286+0.0759181142857143)) * 2.98737544826306%</f>
        <v>2.4349248240506617E-3</v>
      </c>
      <c r="D3017" t="s">
        <v>256</v>
      </c>
      <c r="E3017" t="s">
        <v>453</v>
      </c>
      <c r="F3017" t="s">
        <v>454</v>
      </c>
      <c r="G3017" t="s">
        <v>245</v>
      </c>
    </row>
    <row r="3018" spans="1:7" x14ac:dyDescent="0.25">
      <c r="A3018" t="s">
        <v>454</v>
      </c>
      <c r="B3018" t="s">
        <v>109</v>
      </c>
      <c r="C3018" s="2">
        <f>(0.855510685714286/(0.855510685714286+0.0759181142857143)) * 0.359367868482005%</f>
        <v>3.3007681487701624E-3</v>
      </c>
      <c r="D3018" t="s">
        <v>242</v>
      </c>
      <c r="E3018" t="s">
        <v>455</v>
      </c>
      <c r="F3018" t="s">
        <v>454</v>
      </c>
      <c r="G3018" t="s">
        <v>245</v>
      </c>
    </row>
    <row r="3019" spans="1:7" x14ac:dyDescent="0.25">
      <c r="A3019" t="s">
        <v>454</v>
      </c>
      <c r="B3019" t="s">
        <v>109</v>
      </c>
      <c r="C3019" s="2">
        <f>(0.0759181142857143/(0.855510685714286+0.0759181142857143)) * 0.359367868482005%</f>
        <v>2.9291053604988803E-4</v>
      </c>
      <c r="D3019" t="s">
        <v>256</v>
      </c>
      <c r="E3019" t="s">
        <v>453</v>
      </c>
      <c r="F3019" t="s">
        <v>454</v>
      </c>
      <c r="G3019" t="s">
        <v>245</v>
      </c>
    </row>
    <row r="3020" spans="1:7" x14ac:dyDescent="0.25">
      <c r="A3020" t="s">
        <v>454</v>
      </c>
      <c r="B3020" t="s">
        <v>137</v>
      </c>
      <c r="C3020" s="2">
        <f>(0.855510685714286/(0.855510685714286+0.0759181142857143)) * 8.24520222053495%</f>
        <v>7.5731592211265158E-2</v>
      </c>
      <c r="D3020" t="s">
        <v>242</v>
      </c>
      <c r="E3020" t="s">
        <v>455</v>
      </c>
      <c r="F3020" t="s">
        <v>454</v>
      </c>
      <c r="G3020" t="s">
        <v>245</v>
      </c>
    </row>
    <row r="3021" spans="1:7" x14ac:dyDescent="0.25">
      <c r="A3021" t="s">
        <v>454</v>
      </c>
      <c r="B3021" t="s">
        <v>137</v>
      </c>
      <c r="C3021" s="2">
        <f>(0.0759181142857143/(0.855510685714286+0.0759181142857143)) * 8.24520222053495%</f>
        <v>6.7204299940843287E-3</v>
      </c>
      <c r="D3021" t="s">
        <v>256</v>
      </c>
      <c r="E3021" t="s">
        <v>453</v>
      </c>
      <c r="F3021" t="s">
        <v>454</v>
      </c>
      <c r="G3021" t="s">
        <v>245</v>
      </c>
    </row>
    <row r="3022" spans="1:7" x14ac:dyDescent="0.25">
      <c r="A3022" t="s">
        <v>454</v>
      </c>
      <c r="B3022" t="s">
        <v>211</v>
      </c>
      <c r="C3022" s="2">
        <f>(0.855510685714286/(0.855510685714286+0.0759181142857143)) * 0.335430447618274%</f>
        <v>3.080904651556398E-3</v>
      </c>
      <c r="D3022" t="s">
        <v>242</v>
      </c>
      <c r="E3022" t="s">
        <v>455</v>
      </c>
      <c r="F3022" t="s">
        <v>454</v>
      </c>
      <c r="G3022" t="s">
        <v>245</v>
      </c>
    </row>
    <row r="3023" spans="1:7" x14ac:dyDescent="0.25">
      <c r="A3023" t="s">
        <v>454</v>
      </c>
      <c r="B3023" t="s">
        <v>211</v>
      </c>
      <c r="C3023" s="2">
        <f>(0.0759181142857143/(0.855510685714286+0.0759181142857143)) * 0.335430447618274%</f>
        <v>2.7339982462634205E-4</v>
      </c>
      <c r="D3023" t="s">
        <v>256</v>
      </c>
      <c r="E3023" t="s">
        <v>453</v>
      </c>
      <c r="F3023" t="s">
        <v>454</v>
      </c>
      <c r="G3023" t="s">
        <v>245</v>
      </c>
    </row>
    <row r="3024" spans="1:7" x14ac:dyDescent="0.25">
      <c r="A3024" t="s">
        <v>454</v>
      </c>
      <c r="B3024" t="s">
        <v>215</v>
      </c>
      <c r="C3024" s="2">
        <f>(0.855510685714286/(0.855510685714286+0.0759181142857143)) * 0.00437249278243142%</f>
        <v>4.0161033227431552E-5</v>
      </c>
      <c r="D3024" t="s">
        <v>242</v>
      </c>
      <c r="E3024" t="s">
        <v>455</v>
      </c>
      <c r="F3024" t="s">
        <v>454</v>
      </c>
      <c r="G3024" t="s">
        <v>245</v>
      </c>
    </row>
    <row r="3025" spans="1:8" x14ac:dyDescent="0.25">
      <c r="A3025" t="s">
        <v>454</v>
      </c>
      <c r="B3025" t="s">
        <v>215</v>
      </c>
      <c r="C3025" s="2">
        <f>(0.0759181142857143/(0.855510685714286+0.0759181142857143)) * 0.00437249278243142%</f>
        <v>3.563894596882653E-6</v>
      </c>
      <c r="D3025" t="s">
        <v>256</v>
      </c>
      <c r="E3025" t="s">
        <v>453</v>
      </c>
      <c r="F3025" t="s">
        <v>454</v>
      </c>
      <c r="G3025" t="s">
        <v>245</v>
      </c>
    </row>
    <row r="3026" spans="1:8" x14ac:dyDescent="0.25">
      <c r="A3026" t="s">
        <v>454</v>
      </c>
      <c r="B3026" t="s">
        <v>122</v>
      </c>
      <c r="C3026" s="2">
        <f>(0.855510685714286/(0.855510685714286+0.0759181142857143)) * 4.87867873459456%</f>
        <v>4.4810314965703188E-2</v>
      </c>
      <c r="D3026" t="s">
        <v>242</v>
      </c>
      <c r="E3026" t="s">
        <v>455</v>
      </c>
      <c r="F3026" t="s">
        <v>454</v>
      </c>
      <c r="G3026" t="s">
        <v>245</v>
      </c>
    </row>
    <row r="3027" spans="1:8" x14ac:dyDescent="0.25">
      <c r="A3027" t="s">
        <v>454</v>
      </c>
      <c r="B3027" t="s">
        <v>122</v>
      </c>
      <c r="C3027" s="2">
        <f>(0.0759181142857143/(0.855510685714286+0.0759181142857143)) * 4.87867873459456%</f>
        <v>3.9764723802424157E-3</v>
      </c>
      <c r="D3027" t="s">
        <v>256</v>
      </c>
      <c r="E3027" t="s">
        <v>453</v>
      </c>
      <c r="F3027" t="s">
        <v>454</v>
      </c>
      <c r="G3027" t="s">
        <v>245</v>
      </c>
    </row>
    <row r="3028" spans="1:8" x14ac:dyDescent="0.25">
      <c r="A3028" t="s">
        <v>454</v>
      </c>
      <c r="B3028" s="6" t="s">
        <v>113</v>
      </c>
      <c r="C3028" s="2">
        <f>(0.855510685714286/(0.855510685714286+0.0759181142857143)) * 0.570715075088942%</f>
        <v>5.2419771134070677E-3</v>
      </c>
      <c r="D3028" t="s">
        <v>242</v>
      </c>
      <c r="E3028" t="s">
        <v>455</v>
      </c>
      <c r="F3028" t="s">
        <v>454</v>
      </c>
      <c r="G3028" t="s">
        <v>245</v>
      </c>
    </row>
    <row r="3029" spans="1:8" x14ac:dyDescent="0.25">
      <c r="A3029" t="s">
        <v>454</v>
      </c>
      <c r="B3029" s="6" t="s">
        <v>113</v>
      </c>
      <c r="C3029" s="2">
        <f>(0.0759181142857143/(0.855510685714286+0.0759181142857143)) * 0.570715075088942%</f>
        <v>4.6517363748235297E-4</v>
      </c>
      <c r="D3029" t="s">
        <v>256</v>
      </c>
      <c r="E3029" t="s">
        <v>453</v>
      </c>
      <c r="F3029" t="s">
        <v>454</v>
      </c>
      <c r="G3029" t="s">
        <v>245</v>
      </c>
    </row>
    <row r="3030" spans="1:8" x14ac:dyDescent="0.25">
      <c r="A3030" t="s">
        <v>454</v>
      </c>
      <c r="B3030" t="s">
        <v>115</v>
      </c>
      <c r="C3030" s="2">
        <f>(0.855510685714286/(0.855510685714286+0.0759181142857143)) * 3.39370501435238%</f>
        <v>3.1170937638396134E-2</v>
      </c>
      <c r="D3030" t="s">
        <v>242</v>
      </c>
      <c r="E3030" t="s">
        <v>455</v>
      </c>
      <c r="F3030" t="s">
        <v>454</v>
      </c>
      <c r="G3030" t="s">
        <v>245</v>
      </c>
    </row>
    <row r="3031" spans="1:8" x14ac:dyDescent="0.25">
      <c r="A3031" t="s">
        <v>454</v>
      </c>
      <c r="B3031" t="s">
        <v>115</v>
      </c>
      <c r="C3031" s="2">
        <f>(0.0759181142857143/(0.855510685714286+0.0759181142857143)) * 3.39370501435238%</f>
        <v>2.7661125051276661E-3</v>
      </c>
      <c r="D3031" t="s">
        <v>256</v>
      </c>
      <c r="E3031" t="s">
        <v>453</v>
      </c>
      <c r="F3031" t="s">
        <v>454</v>
      </c>
      <c r="G3031" t="s">
        <v>245</v>
      </c>
    </row>
    <row r="3032" spans="1:8" x14ac:dyDescent="0.25">
      <c r="A3032" t="s">
        <v>457</v>
      </c>
      <c r="B3032" t="s">
        <v>83</v>
      </c>
      <c r="C3032" s="4">
        <f>(0.185837691933674/(0.185837691933674+0.337727962317284)) * 33.3949224022984%</f>
        <v>0.11853404155064326</v>
      </c>
      <c r="D3032" t="s">
        <v>307</v>
      </c>
      <c r="E3032" t="s">
        <v>453</v>
      </c>
      <c r="F3032" t="s">
        <v>457</v>
      </c>
      <c r="G3032" t="s">
        <v>245</v>
      </c>
      <c r="H3032" t="s">
        <v>632</v>
      </c>
    </row>
    <row r="3033" spans="1:8" x14ac:dyDescent="0.25">
      <c r="A3033" t="s">
        <v>457</v>
      </c>
      <c r="B3033" t="s">
        <v>83</v>
      </c>
      <c r="C3033" s="4">
        <f>(0.337727962317284/(0.185837691933674+0.337727962317284)) * 33.3949224022984%</f>
        <v>0.2154151824723407</v>
      </c>
      <c r="D3033" t="s">
        <v>307</v>
      </c>
      <c r="E3033" t="s">
        <v>458</v>
      </c>
      <c r="F3033" t="s">
        <v>457</v>
      </c>
      <c r="G3033" t="s">
        <v>245</v>
      </c>
    </row>
    <row r="3034" spans="1:8" x14ac:dyDescent="0.25">
      <c r="A3034" t="s">
        <v>457</v>
      </c>
      <c r="B3034" t="s">
        <v>85</v>
      </c>
      <c r="C3034" s="4">
        <v>7.6345245551917833E-4</v>
      </c>
      <c r="D3034" t="s">
        <v>256</v>
      </c>
      <c r="E3034" t="s">
        <v>453</v>
      </c>
      <c r="F3034" t="s">
        <v>457</v>
      </c>
      <c r="G3034" t="s">
        <v>245</v>
      </c>
    </row>
    <row r="3035" spans="1:8" x14ac:dyDescent="0.25">
      <c r="A3035" t="s">
        <v>457</v>
      </c>
      <c r="B3035" t="s">
        <v>97</v>
      </c>
      <c r="C3035" s="4">
        <v>1.7715131611696581E-2</v>
      </c>
      <c r="D3035" t="s">
        <v>308</v>
      </c>
      <c r="E3035" t="s">
        <v>459</v>
      </c>
      <c r="F3035" t="s">
        <v>457</v>
      </c>
      <c r="G3035" t="s">
        <v>245</v>
      </c>
    </row>
    <row r="3036" spans="1:8" x14ac:dyDescent="0.25">
      <c r="A3036" t="s">
        <v>457</v>
      </c>
      <c r="B3036" s="6" t="s">
        <v>102</v>
      </c>
      <c r="C3036" s="4">
        <v>8.8111144622331945E-3</v>
      </c>
      <c r="D3036" t="s">
        <v>256</v>
      </c>
      <c r="E3036" t="s">
        <v>453</v>
      </c>
      <c r="F3036" t="s">
        <v>457</v>
      </c>
      <c r="G3036" t="s">
        <v>245</v>
      </c>
    </row>
    <row r="3037" spans="1:8" x14ac:dyDescent="0.25">
      <c r="A3037" t="s">
        <v>457</v>
      </c>
      <c r="B3037" t="s">
        <v>198</v>
      </c>
      <c r="C3037" s="4">
        <v>8.1877081492693293E-2</v>
      </c>
      <c r="D3037" t="s">
        <v>256</v>
      </c>
      <c r="E3037" t="s">
        <v>453</v>
      </c>
      <c r="F3037" t="s">
        <v>457</v>
      </c>
      <c r="G3037" t="s">
        <v>245</v>
      </c>
    </row>
    <row r="3038" spans="1:8" x14ac:dyDescent="0.25">
      <c r="A3038" t="s">
        <v>457</v>
      </c>
      <c r="B3038" t="s">
        <v>141</v>
      </c>
      <c r="C3038" s="4">
        <v>9.4788691640009266E-3</v>
      </c>
      <c r="D3038" t="s">
        <v>256</v>
      </c>
      <c r="E3038" t="s">
        <v>453</v>
      </c>
      <c r="F3038" t="s">
        <v>457</v>
      </c>
      <c r="G3038" t="s">
        <v>245</v>
      </c>
    </row>
    <row r="3039" spans="1:8" x14ac:dyDescent="0.25">
      <c r="A3039" t="s">
        <v>457</v>
      </c>
      <c r="B3039" t="s">
        <v>103</v>
      </c>
      <c r="C3039" s="4">
        <v>8.7844947810784106E-3</v>
      </c>
      <c r="D3039" t="s">
        <v>256</v>
      </c>
      <c r="E3039" t="s">
        <v>453</v>
      </c>
      <c r="F3039" t="s">
        <v>457</v>
      </c>
      <c r="G3039" t="s">
        <v>245</v>
      </c>
    </row>
    <row r="3040" spans="1:8" x14ac:dyDescent="0.25">
      <c r="A3040" t="s">
        <v>457</v>
      </c>
      <c r="B3040" t="s">
        <v>105</v>
      </c>
      <c r="C3040" s="4">
        <v>9.2418209033175835E-3</v>
      </c>
      <c r="D3040" t="s">
        <v>256</v>
      </c>
      <c r="E3040" t="s">
        <v>453</v>
      </c>
      <c r="F3040" t="s">
        <v>457</v>
      </c>
      <c r="G3040" t="s">
        <v>245</v>
      </c>
    </row>
    <row r="3041" spans="1:8" x14ac:dyDescent="0.25">
      <c r="A3041" t="s">
        <v>457</v>
      </c>
      <c r="B3041" t="s">
        <v>109</v>
      </c>
      <c r="C3041" s="4">
        <v>0.16809530058810862</v>
      </c>
      <c r="D3041" t="s">
        <v>256</v>
      </c>
      <c r="E3041" t="s">
        <v>453</v>
      </c>
      <c r="F3041" t="s">
        <v>457</v>
      </c>
      <c r="G3041" t="s">
        <v>245</v>
      </c>
    </row>
    <row r="3042" spans="1:8" x14ac:dyDescent="0.25">
      <c r="A3042" t="s">
        <v>457</v>
      </c>
      <c r="B3042" t="s">
        <v>137</v>
      </c>
      <c r="C3042" s="4">
        <v>0.12849320093413785</v>
      </c>
      <c r="D3042" t="s">
        <v>320</v>
      </c>
      <c r="E3042" t="s">
        <v>456</v>
      </c>
      <c r="F3042" t="s">
        <v>457</v>
      </c>
      <c r="G3042" t="s">
        <v>245</v>
      </c>
    </row>
    <row r="3043" spans="1:8" x14ac:dyDescent="0.25">
      <c r="A3043" t="s">
        <v>457</v>
      </c>
      <c r="B3043" t="s">
        <v>211</v>
      </c>
      <c r="C3043" s="4">
        <v>2.4824183660892949E-3</v>
      </c>
      <c r="D3043" t="s">
        <v>256</v>
      </c>
      <c r="E3043" t="s">
        <v>453</v>
      </c>
      <c r="F3043" t="s">
        <v>457</v>
      </c>
      <c r="G3043" t="s">
        <v>245</v>
      </c>
    </row>
    <row r="3044" spans="1:8" x14ac:dyDescent="0.25">
      <c r="A3044" t="s">
        <v>457</v>
      </c>
      <c r="B3044" t="s">
        <v>122</v>
      </c>
      <c r="C3044" s="4">
        <v>0.13713900717639985</v>
      </c>
      <c r="D3044" t="s">
        <v>256</v>
      </c>
      <c r="E3044" t="s">
        <v>453</v>
      </c>
      <c r="F3044" t="s">
        <v>457</v>
      </c>
      <c r="G3044" t="s">
        <v>245</v>
      </c>
    </row>
    <row r="3045" spans="1:8" x14ac:dyDescent="0.25">
      <c r="A3045" t="s">
        <v>457</v>
      </c>
      <c r="B3045" s="6" t="s">
        <v>113</v>
      </c>
      <c r="C3045" s="4">
        <v>9.3168884041740729E-2</v>
      </c>
      <c r="D3045" t="s">
        <v>256</v>
      </c>
      <c r="E3045" t="s">
        <v>453</v>
      </c>
      <c r="F3045" t="s">
        <v>457</v>
      </c>
      <c r="G3045" t="s">
        <v>245</v>
      </c>
    </row>
    <row r="3046" spans="1:8" x14ac:dyDescent="0.25">
      <c r="A3046" t="s">
        <v>751</v>
      </c>
      <c r="B3046" s="6" t="s">
        <v>86</v>
      </c>
      <c r="D3046" t="s">
        <v>254</v>
      </c>
      <c r="E3046" t="s">
        <v>750</v>
      </c>
      <c r="F3046" t="s">
        <v>751</v>
      </c>
      <c r="G3046" t="s">
        <v>245</v>
      </c>
      <c r="H3046" t="s">
        <v>749</v>
      </c>
    </row>
    <row r="3047" spans="1:8" x14ac:dyDescent="0.25">
      <c r="A3047" t="s">
        <v>748</v>
      </c>
      <c r="B3047" s="6" t="s">
        <v>86</v>
      </c>
      <c r="D3047" t="s">
        <v>254</v>
      </c>
      <c r="E3047" t="s">
        <v>747</v>
      </c>
      <c r="F3047" t="s">
        <v>748</v>
      </c>
      <c r="G3047" t="s">
        <v>245</v>
      </c>
      <c r="H3047" t="s">
        <v>749</v>
      </c>
    </row>
    <row r="3048" spans="1:8" x14ac:dyDescent="0.25">
      <c r="A3048" t="s">
        <v>746</v>
      </c>
      <c r="B3048" s="6" t="s">
        <v>86</v>
      </c>
      <c r="D3048" t="s">
        <v>254</v>
      </c>
      <c r="E3048" t="s">
        <v>745</v>
      </c>
      <c r="F3048" t="s">
        <v>746</v>
      </c>
      <c r="G3048" t="s">
        <v>245</v>
      </c>
      <c r="H3048" t="s">
        <v>749</v>
      </c>
    </row>
    <row r="3049" spans="1:8" x14ac:dyDescent="0.25">
      <c r="A3049" t="s">
        <v>743</v>
      </c>
      <c r="B3049" s="6" t="s">
        <v>86</v>
      </c>
      <c r="C3049" s="4">
        <f>51%/0.97</f>
        <v>0.52577319587628868</v>
      </c>
      <c r="D3049" t="s">
        <v>242</v>
      </c>
      <c r="E3049" t="s">
        <v>744</v>
      </c>
      <c r="F3049" t="s">
        <v>743</v>
      </c>
      <c r="G3049" t="s">
        <v>245</v>
      </c>
    </row>
    <row r="3050" spans="1:8" x14ac:dyDescent="0.25">
      <c r="A3050" t="s">
        <v>751</v>
      </c>
      <c r="B3050" s="6" t="s">
        <v>119</v>
      </c>
      <c r="D3050" t="s">
        <v>321</v>
      </c>
      <c r="E3050" t="s">
        <v>750</v>
      </c>
      <c r="F3050" t="s">
        <v>751</v>
      </c>
      <c r="G3050" t="s">
        <v>245</v>
      </c>
      <c r="H3050" t="s">
        <v>749</v>
      </c>
    </row>
    <row r="3051" spans="1:8" x14ac:dyDescent="0.25">
      <c r="A3051" t="s">
        <v>748</v>
      </c>
      <c r="B3051" s="6" t="s">
        <v>119</v>
      </c>
      <c r="D3051" t="s">
        <v>321</v>
      </c>
      <c r="E3051" t="s">
        <v>747</v>
      </c>
      <c r="F3051" t="s">
        <v>748</v>
      </c>
      <c r="G3051" t="s">
        <v>245</v>
      </c>
      <c r="H3051" t="s">
        <v>749</v>
      </c>
    </row>
    <row r="3052" spans="1:8" x14ac:dyDescent="0.25">
      <c r="A3052" t="s">
        <v>746</v>
      </c>
      <c r="B3052" s="6" t="s">
        <v>119</v>
      </c>
      <c r="D3052" t="s">
        <v>321</v>
      </c>
      <c r="E3052" t="s">
        <v>745</v>
      </c>
      <c r="F3052" t="s">
        <v>746</v>
      </c>
      <c r="G3052" t="s">
        <v>245</v>
      </c>
      <c r="H3052" t="s">
        <v>749</v>
      </c>
    </row>
    <row r="3053" spans="1:8" x14ac:dyDescent="0.25">
      <c r="A3053" t="s">
        <v>743</v>
      </c>
      <c r="B3053" s="6" t="s">
        <v>119</v>
      </c>
      <c r="C3053" s="4">
        <f>22%/0.97</f>
        <v>0.22680412371134021</v>
      </c>
      <c r="D3053" t="s">
        <v>242</v>
      </c>
      <c r="E3053" t="s">
        <v>744</v>
      </c>
      <c r="F3053" t="s">
        <v>743</v>
      </c>
      <c r="G3053" t="s">
        <v>245</v>
      </c>
    </row>
    <row r="3054" spans="1:8" x14ac:dyDescent="0.25">
      <c r="A3054" t="s">
        <v>751</v>
      </c>
      <c r="B3054" s="6" t="s">
        <v>107</v>
      </c>
      <c r="D3054" t="s">
        <v>256</v>
      </c>
      <c r="E3054" t="s">
        <v>750</v>
      </c>
      <c r="F3054" t="s">
        <v>751</v>
      </c>
      <c r="G3054" t="s">
        <v>245</v>
      </c>
      <c r="H3054" t="s">
        <v>749</v>
      </c>
    </row>
    <row r="3055" spans="1:8" x14ac:dyDescent="0.25">
      <c r="A3055" t="s">
        <v>748</v>
      </c>
      <c r="B3055" s="6" t="s">
        <v>107</v>
      </c>
      <c r="D3055" t="s">
        <v>256</v>
      </c>
      <c r="E3055" t="s">
        <v>747</v>
      </c>
      <c r="F3055" t="s">
        <v>748</v>
      </c>
      <c r="G3055" t="s">
        <v>245</v>
      </c>
      <c r="H3055" t="s">
        <v>749</v>
      </c>
    </row>
    <row r="3056" spans="1:8" x14ac:dyDescent="0.25">
      <c r="A3056" t="s">
        <v>746</v>
      </c>
      <c r="B3056" s="6" t="s">
        <v>107</v>
      </c>
      <c r="D3056" t="s">
        <v>256</v>
      </c>
      <c r="E3056" t="s">
        <v>745</v>
      </c>
      <c r="F3056" t="s">
        <v>746</v>
      </c>
      <c r="G3056" t="s">
        <v>245</v>
      </c>
      <c r="H3056" t="s">
        <v>749</v>
      </c>
    </row>
    <row r="3057" spans="1:8" x14ac:dyDescent="0.25">
      <c r="A3057" t="s">
        <v>743</v>
      </c>
      <c r="B3057" s="6" t="s">
        <v>107</v>
      </c>
      <c r="C3057" s="4">
        <f>14%/0.97</f>
        <v>0.14432989690721651</v>
      </c>
      <c r="D3057" t="s">
        <v>242</v>
      </c>
      <c r="E3057" t="s">
        <v>744</v>
      </c>
      <c r="F3057" t="s">
        <v>743</v>
      </c>
      <c r="G3057" t="s">
        <v>245</v>
      </c>
    </row>
    <row r="3058" spans="1:8" x14ac:dyDescent="0.25">
      <c r="A3058" t="s">
        <v>751</v>
      </c>
      <c r="B3058" s="6" t="s">
        <v>102</v>
      </c>
      <c r="D3058" t="s">
        <v>256</v>
      </c>
      <c r="E3058" t="s">
        <v>750</v>
      </c>
      <c r="F3058" t="s">
        <v>751</v>
      </c>
      <c r="G3058" t="s">
        <v>245</v>
      </c>
      <c r="H3058" t="s">
        <v>749</v>
      </c>
    </row>
    <row r="3059" spans="1:8" x14ac:dyDescent="0.25">
      <c r="A3059" t="s">
        <v>748</v>
      </c>
      <c r="B3059" s="6" t="s">
        <v>102</v>
      </c>
      <c r="D3059" t="s">
        <v>256</v>
      </c>
      <c r="E3059" t="s">
        <v>747</v>
      </c>
      <c r="F3059" t="s">
        <v>748</v>
      </c>
      <c r="G3059" t="s">
        <v>245</v>
      </c>
      <c r="H3059" t="s">
        <v>749</v>
      </c>
    </row>
    <row r="3060" spans="1:8" x14ac:dyDescent="0.25">
      <c r="A3060" t="s">
        <v>746</v>
      </c>
      <c r="B3060" s="6" t="s">
        <v>102</v>
      </c>
      <c r="D3060" t="s">
        <v>256</v>
      </c>
      <c r="E3060" t="s">
        <v>745</v>
      </c>
      <c r="F3060" t="s">
        <v>746</v>
      </c>
      <c r="G3060" t="s">
        <v>245</v>
      </c>
      <c r="H3060" t="s">
        <v>749</v>
      </c>
    </row>
    <row r="3061" spans="1:8" x14ac:dyDescent="0.25">
      <c r="A3061" t="s">
        <v>743</v>
      </c>
      <c r="B3061" s="6" t="s">
        <v>102</v>
      </c>
      <c r="C3061" s="4">
        <f>7%/0.97</f>
        <v>7.2164948453608255E-2</v>
      </c>
      <c r="D3061" t="s">
        <v>242</v>
      </c>
      <c r="E3061" t="s">
        <v>744</v>
      </c>
      <c r="F3061" t="s">
        <v>743</v>
      </c>
      <c r="G3061" t="s">
        <v>245</v>
      </c>
    </row>
    <row r="3062" spans="1:8" x14ac:dyDescent="0.25">
      <c r="A3062" t="s">
        <v>751</v>
      </c>
      <c r="B3062" s="6" t="s">
        <v>122</v>
      </c>
      <c r="D3062" t="s">
        <v>256</v>
      </c>
      <c r="E3062" t="s">
        <v>750</v>
      </c>
      <c r="F3062" t="s">
        <v>751</v>
      </c>
      <c r="G3062" t="s">
        <v>245</v>
      </c>
      <c r="H3062" t="s">
        <v>749</v>
      </c>
    </row>
    <row r="3063" spans="1:8" x14ac:dyDescent="0.25">
      <c r="A3063" t="s">
        <v>748</v>
      </c>
      <c r="B3063" s="6" t="s">
        <v>122</v>
      </c>
      <c r="D3063" t="s">
        <v>256</v>
      </c>
      <c r="E3063" t="s">
        <v>747</v>
      </c>
      <c r="F3063" t="s">
        <v>748</v>
      </c>
      <c r="G3063" t="s">
        <v>245</v>
      </c>
      <c r="H3063" t="s">
        <v>749</v>
      </c>
    </row>
    <row r="3064" spans="1:8" x14ac:dyDescent="0.25">
      <c r="A3064" t="s">
        <v>746</v>
      </c>
      <c r="B3064" s="6" t="s">
        <v>122</v>
      </c>
      <c r="D3064" t="s">
        <v>256</v>
      </c>
      <c r="E3064" t="s">
        <v>745</v>
      </c>
      <c r="F3064" t="s">
        <v>746</v>
      </c>
      <c r="G3064" t="s">
        <v>245</v>
      </c>
      <c r="H3064" t="s">
        <v>749</v>
      </c>
    </row>
    <row r="3065" spans="1:8" x14ac:dyDescent="0.25">
      <c r="A3065" t="s">
        <v>743</v>
      </c>
      <c r="B3065" s="6" t="s">
        <v>122</v>
      </c>
      <c r="C3065" s="4">
        <f>3%/0.97</f>
        <v>3.0927835051546393E-2</v>
      </c>
      <c r="D3065" t="s">
        <v>242</v>
      </c>
      <c r="E3065" t="s">
        <v>744</v>
      </c>
      <c r="F3065" t="s">
        <v>743</v>
      </c>
      <c r="G3065" t="s">
        <v>245</v>
      </c>
    </row>
    <row r="3066" spans="1:8" x14ac:dyDescent="0.25">
      <c r="A3066" t="s">
        <v>418</v>
      </c>
      <c r="B3066" t="s">
        <v>83</v>
      </c>
      <c r="C3066" s="4">
        <v>5.5796098736776322E-5</v>
      </c>
      <c r="D3066" t="s">
        <v>256</v>
      </c>
      <c r="E3066" t="s">
        <v>417</v>
      </c>
      <c r="F3066" t="s">
        <v>418</v>
      </c>
      <c r="G3066" t="s">
        <v>245</v>
      </c>
      <c r="H3066" t="s">
        <v>416</v>
      </c>
    </row>
    <row r="3067" spans="1:8" x14ac:dyDescent="0.25">
      <c r="A3067" t="s">
        <v>418</v>
      </c>
      <c r="B3067" t="s">
        <v>181</v>
      </c>
      <c r="C3067" s="4">
        <v>1.030665535865732E-2</v>
      </c>
      <c r="D3067" t="s">
        <v>256</v>
      </c>
      <c r="E3067" t="s">
        <v>417</v>
      </c>
      <c r="F3067" t="s">
        <v>418</v>
      </c>
      <c r="G3067" t="s">
        <v>245</v>
      </c>
      <c r="H3067" t="s">
        <v>633</v>
      </c>
    </row>
    <row r="3068" spans="1:8" x14ac:dyDescent="0.25">
      <c r="A3068" t="s">
        <v>418</v>
      </c>
      <c r="B3068" t="s">
        <v>144</v>
      </c>
      <c r="C3068" s="4">
        <v>1.083783421863143E-2</v>
      </c>
      <c r="D3068" t="s">
        <v>256</v>
      </c>
      <c r="E3068" t="s">
        <v>417</v>
      </c>
      <c r="F3068" t="s">
        <v>418</v>
      </c>
      <c r="G3068" t="s">
        <v>245</v>
      </c>
    </row>
    <row r="3069" spans="1:8" x14ac:dyDescent="0.25">
      <c r="A3069" t="s">
        <v>418</v>
      </c>
      <c r="B3069" t="s">
        <v>85</v>
      </c>
      <c r="C3069" s="4">
        <v>4.4882381823862878E-3</v>
      </c>
      <c r="D3069" t="s">
        <v>256</v>
      </c>
      <c r="E3069" t="s">
        <v>417</v>
      </c>
      <c r="F3069" t="s">
        <v>418</v>
      </c>
      <c r="G3069" t="s">
        <v>245</v>
      </c>
    </row>
    <row r="3070" spans="1:8" x14ac:dyDescent="0.25">
      <c r="A3070" t="s">
        <v>418</v>
      </c>
      <c r="B3070" t="s">
        <v>187</v>
      </c>
      <c r="C3070" s="4">
        <v>1.798866223273669E-3</v>
      </c>
      <c r="D3070" t="s">
        <v>256</v>
      </c>
      <c r="E3070" t="s">
        <v>417</v>
      </c>
      <c r="F3070" t="s">
        <v>418</v>
      </c>
      <c r="G3070" t="s">
        <v>245</v>
      </c>
    </row>
    <row r="3071" spans="1:8" x14ac:dyDescent="0.25">
      <c r="A3071" t="s">
        <v>418</v>
      </c>
      <c r="B3071" t="s">
        <v>86</v>
      </c>
      <c r="C3071" s="4">
        <v>0.80315582734455204</v>
      </c>
      <c r="D3071" t="s">
        <v>254</v>
      </c>
      <c r="E3071" t="s">
        <v>417</v>
      </c>
      <c r="F3071" t="s">
        <v>418</v>
      </c>
      <c r="G3071" t="s">
        <v>245</v>
      </c>
    </row>
    <row r="3072" spans="1:8" x14ac:dyDescent="0.25">
      <c r="A3072" t="s">
        <v>418</v>
      </c>
      <c r="B3072" t="s">
        <v>159</v>
      </c>
      <c r="C3072" s="4">
        <v>1.986341115029237E-3</v>
      </c>
      <c r="D3072" t="s">
        <v>256</v>
      </c>
      <c r="E3072" t="s">
        <v>417</v>
      </c>
      <c r="F3072" t="s">
        <v>418</v>
      </c>
      <c r="G3072" t="s">
        <v>245</v>
      </c>
    </row>
    <row r="3073" spans="1:7" x14ac:dyDescent="0.25">
      <c r="A3073" t="s">
        <v>418</v>
      </c>
      <c r="B3073" t="s">
        <v>149</v>
      </c>
      <c r="C3073" s="4">
        <v>9.958487702539839E-3</v>
      </c>
      <c r="D3073" t="s">
        <v>256</v>
      </c>
      <c r="E3073" t="s">
        <v>417</v>
      </c>
      <c r="F3073" t="s">
        <v>418</v>
      </c>
      <c r="G3073" t="s">
        <v>245</v>
      </c>
    </row>
    <row r="3074" spans="1:7" x14ac:dyDescent="0.25">
      <c r="A3074" t="s">
        <v>418</v>
      </c>
      <c r="B3074" t="s">
        <v>170</v>
      </c>
      <c r="C3074" s="4">
        <v>1.115921974735526E-3</v>
      </c>
      <c r="D3074" t="s">
        <v>256</v>
      </c>
      <c r="E3074" t="s">
        <v>417</v>
      </c>
      <c r="F3074" t="s">
        <v>418</v>
      </c>
      <c r="G3074" t="s">
        <v>245</v>
      </c>
    </row>
    <row r="3075" spans="1:7" x14ac:dyDescent="0.25">
      <c r="A3075" t="s">
        <v>418</v>
      </c>
      <c r="B3075" t="s">
        <v>150</v>
      </c>
      <c r="C3075" s="4">
        <v>2.9460340133017899E-4</v>
      </c>
      <c r="D3075" t="s">
        <v>256</v>
      </c>
      <c r="E3075" t="s">
        <v>417</v>
      </c>
      <c r="F3075" t="s">
        <v>418</v>
      </c>
      <c r="G3075" t="s">
        <v>245</v>
      </c>
    </row>
    <row r="3076" spans="1:7" x14ac:dyDescent="0.25">
      <c r="A3076" t="s">
        <v>418</v>
      </c>
      <c r="B3076" t="s">
        <v>173</v>
      </c>
      <c r="C3076" s="4">
        <v>3.901263223675401E-3</v>
      </c>
      <c r="D3076" t="s">
        <v>256</v>
      </c>
      <c r="E3076" t="s">
        <v>417</v>
      </c>
      <c r="F3076" t="s">
        <v>418</v>
      </c>
      <c r="G3076" t="s">
        <v>245</v>
      </c>
    </row>
    <row r="3077" spans="1:7" x14ac:dyDescent="0.25">
      <c r="A3077" t="s">
        <v>418</v>
      </c>
      <c r="B3077" t="s">
        <v>174</v>
      </c>
      <c r="C3077" s="4">
        <v>2.1961344462795161E-3</v>
      </c>
      <c r="D3077" t="s">
        <v>256</v>
      </c>
      <c r="E3077" t="s">
        <v>417</v>
      </c>
      <c r="F3077" t="s">
        <v>418</v>
      </c>
      <c r="G3077" t="s">
        <v>245</v>
      </c>
    </row>
    <row r="3078" spans="1:7" x14ac:dyDescent="0.25">
      <c r="A3078" t="s">
        <v>418</v>
      </c>
      <c r="B3078" t="s">
        <v>203</v>
      </c>
      <c r="C3078" s="4">
        <v>2.7674864973441059E-4</v>
      </c>
      <c r="D3078" t="s">
        <v>256</v>
      </c>
      <c r="E3078" t="s">
        <v>417</v>
      </c>
      <c r="F3078" t="s">
        <v>418</v>
      </c>
      <c r="G3078" t="s">
        <v>245</v>
      </c>
    </row>
    <row r="3079" spans="1:7" x14ac:dyDescent="0.25">
      <c r="A3079" t="s">
        <v>418</v>
      </c>
      <c r="B3079" t="s">
        <v>178</v>
      </c>
      <c r="C3079" s="4">
        <v>6.5593893674954244E-3</v>
      </c>
      <c r="D3079" t="s">
        <v>256</v>
      </c>
      <c r="E3079" t="s">
        <v>417</v>
      </c>
      <c r="F3079" t="s">
        <v>418</v>
      </c>
      <c r="G3079" t="s">
        <v>245</v>
      </c>
    </row>
    <row r="3080" spans="1:7" x14ac:dyDescent="0.25">
      <c r="A3080" t="s">
        <v>418</v>
      </c>
      <c r="B3080" t="s">
        <v>107</v>
      </c>
      <c r="C3080" s="4">
        <v>2.913002722849618E-2</v>
      </c>
      <c r="D3080" t="s">
        <v>256</v>
      </c>
      <c r="E3080" t="s">
        <v>417</v>
      </c>
      <c r="F3080" t="s">
        <v>418</v>
      </c>
      <c r="G3080" t="s">
        <v>245</v>
      </c>
    </row>
    <row r="3081" spans="1:7" x14ac:dyDescent="0.25">
      <c r="A3081" t="s">
        <v>418</v>
      </c>
      <c r="B3081" t="s">
        <v>204</v>
      </c>
      <c r="C3081" s="4">
        <v>1.2292996473686559E-2</v>
      </c>
      <c r="D3081" t="s">
        <v>256</v>
      </c>
      <c r="E3081" t="s">
        <v>417</v>
      </c>
      <c r="F3081" t="s">
        <v>418</v>
      </c>
      <c r="G3081" t="s">
        <v>245</v>
      </c>
    </row>
    <row r="3082" spans="1:7" x14ac:dyDescent="0.25">
      <c r="A3082" t="s">
        <v>418</v>
      </c>
      <c r="B3082" t="s">
        <v>121</v>
      </c>
      <c r="C3082" s="4">
        <v>6.0594563228139088E-3</v>
      </c>
      <c r="D3082" t="s">
        <v>256</v>
      </c>
      <c r="E3082" t="s">
        <v>417</v>
      </c>
      <c r="F3082" t="s">
        <v>418</v>
      </c>
      <c r="G3082" t="s">
        <v>245</v>
      </c>
    </row>
    <row r="3083" spans="1:7" x14ac:dyDescent="0.25">
      <c r="A3083" t="s">
        <v>418</v>
      </c>
      <c r="B3083" t="s">
        <v>215</v>
      </c>
      <c r="C3083" s="4">
        <v>7.1419006383073699E-4</v>
      </c>
      <c r="D3083" t="s">
        <v>256</v>
      </c>
      <c r="E3083" t="s">
        <v>417</v>
      </c>
      <c r="F3083" t="s">
        <v>418</v>
      </c>
      <c r="G3083" t="s">
        <v>245</v>
      </c>
    </row>
    <row r="3084" spans="1:7" x14ac:dyDescent="0.25">
      <c r="A3084" t="s">
        <v>418</v>
      </c>
      <c r="B3084" t="s">
        <v>142</v>
      </c>
      <c r="C3084" s="4">
        <v>7.1419006383073699E-4</v>
      </c>
      <c r="D3084" t="s">
        <v>256</v>
      </c>
      <c r="E3084" t="s">
        <v>417</v>
      </c>
      <c r="F3084" t="s">
        <v>418</v>
      </c>
      <c r="G3084" t="s">
        <v>245</v>
      </c>
    </row>
    <row r="3085" spans="1:7" x14ac:dyDescent="0.25">
      <c r="A3085" t="s">
        <v>418</v>
      </c>
      <c r="B3085" t="s">
        <v>140</v>
      </c>
      <c r="C3085" s="4">
        <v>5.825112708119448E-3</v>
      </c>
      <c r="D3085" t="s">
        <v>256</v>
      </c>
      <c r="E3085" t="s">
        <v>417</v>
      </c>
      <c r="F3085" t="s">
        <v>418</v>
      </c>
      <c r="G3085" t="s">
        <v>245</v>
      </c>
    </row>
    <row r="3086" spans="1:7" x14ac:dyDescent="0.25">
      <c r="A3086" t="s">
        <v>418</v>
      </c>
      <c r="B3086" t="s">
        <v>180</v>
      </c>
      <c r="C3086" s="4">
        <v>6.9187162433602639E-4</v>
      </c>
      <c r="D3086" t="s">
        <v>256</v>
      </c>
      <c r="E3086" t="s">
        <v>417</v>
      </c>
      <c r="F3086" t="s">
        <v>418</v>
      </c>
      <c r="G3086" t="s">
        <v>245</v>
      </c>
    </row>
    <row r="3087" spans="1:7" x14ac:dyDescent="0.25">
      <c r="A3087" t="s">
        <v>418</v>
      </c>
      <c r="B3087" t="s">
        <v>115</v>
      </c>
      <c r="C3087" s="4">
        <v>8.5408204258358253E-2</v>
      </c>
      <c r="D3087" t="s">
        <v>256</v>
      </c>
      <c r="E3087" t="s">
        <v>417</v>
      </c>
      <c r="F3087" t="s">
        <v>418</v>
      </c>
      <c r="G3087" t="s">
        <v>245</v>
      </c>
    </row>
    <row r="3088" spans="1:7" x14ac:dyDescent="0.25">
      <c r="A3088" t="s">
        <v>418</v>
      </c>
      <c r="B3088" t="s">
        <v>158</v>
      </c>
      <c r="C3088" s="4">
        <v>2.2318439494710528E-3</v>
      </c>
      <c r="D3088" t="s">
        <v>256</v>
      </c>
      <c r="E3088" t="s">
        <v>417</v>
      </c>
      <c r="F3088" t="s">
        <v>418</v>
      </c>
      <c r="G3088" t="s">
        <v>245</v>
      </c>
    </row>
    <row r="3089" spans="1:8" x14ac:dyDescent="0.25">
      <c r="A3089" t="s">
        <v>421</v>
      </c>
      <c r="B3089" t="s">
        <v>83</v>
      </c>
      <c r="C3089" s="4">
        <f>(0.144688166399844/(0.144688166399844+0.3663259998074)) * 10.9195729267414%</f>
        <v>3.0917596597485369E-2</v>
      </c>
      <c r="D3089" t="s">
        <v>256</v>
      </c>
      <c r="E3089" t="s">
        <v>419</v>
      </c>
      <c r="F3089" t="s">
        <v>421</v>
      </c>
      <c r="G3089" s="4" t="s">
        <v>245</v>
      </c>
      <c r="H3089" t="s">
        <v>634</v>
      </c>
    </row>
    <row r="3090" spans="1:8" x14ac:dyDescent="0.25">
      <c r="A3090" t="s">
        <v>421</v>
      </c>
      <c r="B3090" t="s">
        <v>83</v>
      </c>
      <c r="C3090" s="4">
        <f>(0.3663259998074/(0.144688166399844+0.3663259998074)) * 10.9195729267414%</f>
        <v>7.8278132669928613E-2</v>
      </c>
      <c r="D3090" t="s">
        <v>256</v>
      </c>
      <c r="E3090" t="s">
        <v>420</v>
      </c>
      <c r="F3090" t="s">
        <v>421</v>
      </c>
      <c r="G3090" s="4" t="s">
        <v>245</v>
      </c>
    </row>
    <row r="3091" spans="1:8" x14ac:dyDescent="0.25">
      <c r="A3091" t="s">
        <v>421</v>
      </c>
      <c r="B3091" t="s">
        <v>85</v>
      </c>
      <c r="C3091" s="4">
        <f>(0.144688166399844/(0.144688166399844+0.3663259998074)) * 0.0166884754698375%</f>
        <v>4.7251623837768544E-5</v>
      </c>
      <c r="D3091" t="s">
        <v>256</v>
      </c>
      <c r="E3091" t="s">
        <v>419</v>
      </c>
      <c r="F3091" t="s">
        <v>421</v>
      </c>
      <c r="G3091" s="4" t="s">
        <v>245</v>
      </c>
    </row>
    <row r="3092" spans="1:8" x14ac:dyDescent="0.25">
      <c r="A3092" t="s">
        <v>421</v>
      </c>
      <c r="B3092" t="s">
        <v>85</v>
      </c>
      <c r="C3092" s="4">
        <f>(0.3663259998074/(0.144688166399844+0.3663259998074)) * 0.0166884754698375%</f>
        <v>1.1963313086060645E-4</v>
      </c>
      <c r="D3092" t="s">
        <v>256</v>
      </c>
      <c r="E3092" t="s">
        <v>420</v>
      </c>
      <c r="F3092" t="s">
        <v>421</v>
      </c>
      <c r="G3092" s="4" t="s">
        <v>245</v>
      </c>
    </row>
    <row r="3093" spans="1:8" x14ac:dyDescent="0.25">
      <c r="A3093" t="s">
        <v>421</v>
      </c>
      <c r="B3093" t="s">
        <v>116</v>
      </c>
      <c r="C3093" s="4">
        <f>(0.100925868687875/(0.100925868687875+0.388059965104881)) * 13.3981908175456%</f>
        <v>2.7653644618257076E-2</v>
      </c>
      <c r="D3093" t="s">
        <v>253</v>
      </c>
      <c r="E3093" t="s">
        <v>419</v>
      </c>
      <c r="F3093" t="s">
        <v>421</v>
      </c>
      <c r="G3093" s="4" t="s">
        <v>245</v>
      </c>
    </row>
    <row r="3094" spans="1:8" x14ac:dyDescent="0.25">
      <c r="A3094" t="s">
        <v>421</v>
      </c>
      <c r="B3094" t="s">
        <v>116</v>
      </c>
      <c r="C3094" s="4">
        <f>(0.388059965104881/(0.100925868687875+0.388059965104881)) * 13.3981908175456%</f>
        <v>0.1063282635571989</v>
      </c>
      <c r="D3094" t="s">
        <v>253</v>
      </c>
      <c r="E3094" t="s">
        <v>420</v>
      </c>
      <c r="F3094" t="s">
        <v>421</v>
      </c>
      <c r="G3094" s="4" t="s">
        <v>245</v>
      </c>
    </row>
    <row r="3095" spans="1:8" x14ac:dyDescent="0.25">
      <c r="A3095" t="s">
        <v>421</v>
      </c>
      <c r="B3095" t="s">
        <v>86</v>
      </c>
      <c r="C3095" s="4">
        <f>(0.144688166399844/(0.144688166399844+0.3663259998074)) * 3.50154558039863%</f>
        <v>9.9142498015972486E-3</v>
      </c>
      <c r="D3095" t="s">
        <v>256</v>
      </c>
      <c r="E3095" t="s">
        <v>419</v>
      </c>
      <c r="F3095" t="s">
        <v>421</v>
      </c>
      <c r="G3095" s="4" t="s">
        <v>245</v>
      </c>
    </row>
    <row r="3096" spans="1:8" x14ac:dyDescent="0.25">
      <c r="A3096" t="s">
        <v>421</v>
      </c>
      <c r="B3096" t="s">
        <v>86</v>
      </c>
      <c r="C3096" s="4">
        <f>(0.3663259998074/(0.144688166399844+0.3663259998074)) * 3.50154558039863%</f>
        <v>2.5101206002389048E-2</v>
      </c>
      <c r="D3096" t="s">
        <v>256</v>
      </c>
      <c r="E3096" t="s">
        <v>420</v>
      </c>
      <c r="F3096" t="s">
        <v>421</v>
      </c>
      <c r="G3096" s="4" t="s">
        <v>245</v>
      </c>
    </row>
    <row r="3097" spans="1:8" x14ac:dyDescent="0.25">
      <c r="A3097" t="s">
        <v>421</v>
      </c>
      <c r="B3097" t="s">
        <v>217</v>
      </c>
      <c r="C3097" s="4">
        <f>(0.144688166399844/(0.144688166399844+0.3663259998074)) * 0.0690296030797823%</f>
        <v>1.9544989860167874E-4</v>
      </c>
      <c r="D3097" t="s">
        <v>256</v>
      </c>
      <c r="E3097" t="s">
        <v>419</v>
      </c>
      <c r="F3097" t="s">
        <v>421</v>
      </c>
      <c r="G3097" s="4" t="s">
        <v>245</v>
      </c>
    </row>
    <row r="3098" spans="1:8" x14ac:dyDescent="0.25">
      <c r="A3098" t="s">
        <v>421</v>
      </c>
      <c r="B3098" t="s">
        <v>217</v>
      </c>
      <c r="C3098" s="4">
        <f>(0.3663259998074/(0.144688166399844+0.3663259998074)) * 0.0690296030797823%</f>
        <v>4.9484613219614418E-4</v>
      </c>
      <c r="D3098" t="s">
        <v>256</v>
      </c>
      <c r="E3098" t="s">
        <v>420</v>
      </c>
      <c r="F3098" t="s">
        <v>421</v>
      </c>
      <c r="G3098" s="4" t="s">
        <v>245</v>
      </c>
    </row>
    <row r="3099" spans="1:8" x14ac:dyDescent="0.25">
      <c r="A3099" t="s">
        <v>421</v>
      </c>
      <c r="B3099" t="s">
        <v>117</v>
      </c>
      <c r="C3099" s="4">
        <f>(0.144688166399844/(0.144688166399844+0.3663259998074)) * 0.0250327132047562%</f>
        <v>7.0877435756652678E-5</v>
      </c>
      <c r="D3099" t="s">
        <v>256</v>
      </c>
      <c r="E3099" t="s">
        <v>419</v>
      </c>
      <c r="F3099" t="s">
        <v>421</v>
      </c>
      <c r="G3099" s="4" t="s">
        <v>245</v>
      </c>
    </row>
    <row r="3100" spans="1:8" x14ac:dyDescent="0.25">
      <c r="A3100" t="s">
        <v>421</v>
      </c>
      <c r="B3100" t="s">
        <v>117</v>
      </c>
      <c r="C3100" s="4">
        <f>(0.3663259998074/(0.144688166399844+0.3663259998074)) * 0.0250327132047562%</f>
        <v>1.7944969629090933E-4</v>
      </c>
      <c r="D3100" t="s">
        <v>256</v>
      </c>
      <c r="E3100" t="s">
        <v>420</v>
      </c>
      <c r="F3100" t="s">
        <v>421</v>
      </c>
      <c r="G3100" s="4" t="s">
        <v>245</v>
      </c>
    </row>
    <row r="3101" spans="1:8" x14ac:dyDescent="0.25">
      <c r="A3101" t="s">
        <v>421</v>
      </c>
      <c r="B3101" t="s">
        <v>97</v>
      </c>
      <c r="C3101" s="4">
        <f>(0.144688166399844/(0.144688166399844+0.3663259998074)) * 0.821907416889496%</f>
        <v>2.3271424740100985E-3</v>
      </c>
      <c r="D3101" t="s">
        <v>256</v>
      </c>
      <c r="E3101" t="s">
        <v>419</v>
      </c>
      <c r="F3101" t="s">
        <v>421</v>
      </c>
      <c r="G3101" s="4" t="s">
        <v>245</v>
      </c>
    </row>
    <row r="3102" spans="1:8" x14ac:dyDescent="0.25">
      <c r="A3102" t="s">
        <v>421</v>
      </c>
      <c r="B3102" t="s">
        <v>97</v>
      </c>
      <c r="C3102" s="4">
        <f>(0.3663259998074/(0.144688166399844+0.3663259998074)) * 0.821907416889496%</f>
        <v>5.891931694884861E-3</v>
      </c>
      <c r="D3102" t="s">
        <v>256</v>
      </c>
      <c r="E3102" t="s">
        <v>420</v>
      </c>
      <c r="F3102" t="s">
        <v>421</v>
      </c>
      <c r="G3102" s="4" t="s">
        <v>245</v>
      </c>
    </row>
    <row r="3103" spans="1:8" x14ac:dyDescent="0.25">
      <c r="A3103" t="s">
        <v>421</v>
      </c>
      <c r="B3103" t="s">
        <v>99</v>
      </c>
      <c r="C3103" s="4">
        <f>(0.144688166399844/(0.144688166399844+0.3663259998074)) * 0.122887864823349%</f>
        <v>3.4794377553265966E-4</v>
      </c>
      <c r="D3103" t="s">
        <v>256</v>
      </c>
      <c r="E3103" t="s">
        <v>419</v>
      </c>
      <c r="F3103" t="s">
        <v>421</v>
      </c>
      <c r="G3103" s="4" t="s">
        <v>245</v>
      </c>
    </row>
    <row r="3104" spans="1:8" x14ac:dyDescent="0.25">
      <c r="A3104" t="s">
        <v>421</v>
      </c>
      <c r="B3104" t="s">
        <v>99</v>
      </c>
      <c r="C3104" s="4">
        <f>(0.3663259998074/(0.144688166399844+0.3663259998074)) * 0.122887864823349%</f>
        <v>8.8093487270083021E-4</v>
      </c>
      <c r="D3104" t="s">
        <v>256</v>
      </c>
      <c r="E3104" t="s">
        <v>420</v>
      </c>
      <c r="F3104" t="s">
        <v>421</v>
      </c>
      <c r="G3104" s="4" t="s">
        <v>245</v>
      </c>
    </row>
    <row r="3105" spans="1:7" x14ac:dyDescent="0.25">
      <c r="A3105" t="s">
        <v>421</v>
      </c>
      <c r="B3105" t="s">
        <v>102</v>
      </c>
      <c r="C3105" s="4">
        <f>(0.144688166399844/(0.144688166399844+0.3663259998074)) * 41.391212000531%</f>
        <v>0.11719476612308349</v>
      </c>
      <c r="D3105" t="s">
        <v>256</v>
      </c>
      <c r="E3105" t="s">
        <v>419</v>
      </c>
      <c r="F3105" t="s">
        <v>421</v>
      </c>
      <c r="G3105" s="4" t="s">
        <v>245</v>
      </c>
    </row>
    <row r="3106" spans="1:7" x14ac:dyDescent="0.25">
      <c r="A3106" t="s">
        <v>421</v>
      </c>
      <c r="B3106" t="s">
        <v>102</v>
      </c>
      <c r="C3106" s="4">
        <f>(0.3663259998074/(0.144688166399844+0.3663259998074)) * 41.391212000531%</f>
        <v>0.29671735388222642</v>
      </c>
      <c r="D3106" t="s">
        <v>256</v>
      </c>
      <c r="E3106" t="s">
        <v>420</v>
      </c>
      <c r="F3106" t="s">
        <v>421</v>
      </c>
      <c r="G3106" s="4" t="s">
        <v>245</v>
      </c>
    </row>
    <row r="3107" spans="1:7" x14ac:dyDescent="0.25">
      <c r="A3107" t="s">
        <v>421</v>
      </c>
      <c r="B3107" t="s">
        <v>175</v>
      </c>
      <c r="C3107" s="4">
        <f>(0.144688166399844/(0.144688166399844+0.3663259998074)) * 9.85795831673968%</f>
        <v>2.7911748981078198E-2</v>
      </c>
      <c r="D3107" t="s">
        <v>256</v>
      </c>
      <c r="E3107" t="s">
        <v>419</v>
      </c>
      <c r="F3107" t="s">
        <v>421</v>
      </c>
      <c r="G3107" s="4" t="s">
        <v>245</v>
      </c>
    </row>
    <row r="3108" spans="1:7" x14ac:dyDescent="0.25">
      <c r="A3108" t="s">
        <v>421</v>
      </c>
      <c r="B3108" t="s">
        <v>175</v>
      </c>
      <c r="C3108" s="4">
        <f>(0.3663259998074/(0.144688166399844+0.3663259998074)) * 9.85795831673968%</f>
        <v>7.0667834186318598E-2</v>
      </c>
      <c r="D3108" t="s">
        <v>256</v>
      </c>
      <c r="E3108" t="s">
        <v>420</v>
      </c>
      <c r="F3108" t="s">
        <v>421</v>
      </c>
      <c r="G3108" s="4" t="s">
        <v>245</v>
      </c>
    </row>
    <row r="3109" spans="1:7" x14ac:dyDescent="0.25">
      <c r="A3109" t="s">
        <v>421</v>
      </c>
      <c r="B3109" t="s">
        <v>202</v>
      </c>
      <c r="C3109" s="4">
        <f>(0.144688166399844/(0.144688166399844+0.3663259998074)) * 5.51136902391383%</f>
        <v>1.5604848772423048E-2</v>
      </c>
      <c r="D3109" t="s">
        <v>256</v>
      </c>
      <c r="E3109" t="s">
        <v>419</v>
      </c>
      <c r="F3109" t="s">
        <v>421</v>
      </c>
      <c r="G3109" s="4" t="s">
        <v>245</v>
      </c>
    </row>
    <row r="3110" spans="1:7" x14ac:dyDescent="0.25">
      <c r="A3110" t="s">
        <v>421</v>
      </c>
      <c r="B3110" s="19" t="s">
        <v>202</v>
      </c>
      <c r="C3110" s="4">
        <f>(0.3663259998074/(0.144688166399844+0.3663259998074)) * 5.51136902391383%</f>
        <v>3.9508841466715246E-2</v>
      </c>
      <c r="D3110" t="s">
        <v>256</v>
      </c>
      <c r="E3110" t="s">
        <v>420</v>
      </c>
      <c r="F3110" t="s">
        <v>421</v>
      </c>
      <c r="G3110" s="4" t="s">
        <v>245</v>
      </c>
    </row>
    <row r="3111" spans="1:7" x14ac:dyDescent="0.25">
      <c r="A3111" t="s">
        <v>421</v>
      </c>
      <c r="B3111" t="s">
        <v>106</v>
      </c>
      <c r="C3111" s="4">
        <f>(0.144688166399844/(0.144688166399844+0.3663259998074)) * 0.0853387950162144%</f>
        <v>2.4162762189767979E-4</v>
      </c>
      <c r="D3111" t="s">
        <v>256</v>
      </c>
      <c r="E3111" t="s">
        <v>419</v>
      </c>
      <c r="F3111" t="s">
        <v>421</v>
      </c>
      <c r="G3111" s="4" t="s">
        <v>245</v>
      </c>
    </row>
    <row r="3112" spans="1:7" x14ac:dyDescent="0.25">
      <c r="A3112" t="s">
        <v>421</v>
      </c>
      <c r="B3112" t="s">
        <v>106</v>
      </c>
      <c r="C3112" s="4">
        <f>(0.3663259998074/(0.144688166399844+0.3663259998074)) * 0.0853387950162144%</f>
        <v>6.1176032826446415E-4</v>
      </c>
      <c r="D3112" t="s">
        <v>256</v>
      </c>
      <c r="E3112" t="s">
        <v>420</v>
      </c>
      <c r="F3112" t="s">
        <v>421</v>
      </c>
      <c r="G3112" s="4" t="s">
        <v>245</v>
      </c>
    </row>
    <row r="3113" spans="1:7" x14ac:dyDescent="0.25">
      <c r="A3113" t="s">
        <v>421</v>
      </c>
      <c r="B3113" t="s">
        <v>107</v>
      </c>
      <c r="C3113" s="4">
        <f>(0.144688166399844/(0.144688166399844+0.3663259998074)) * 5.39075686029091%</f>
        <v>1.5263348400140984E-2</v>
      </c>
      <c r="D3113" t="s">
        <v>256</v>
      </c>
      <c r="E3113" t="s">
        <v>419</v>
      </c>
      <c r="F3113" t="s">
        <v>421</v>
      </c>
      <c r="G3113" s="4" t="s">
        <v>245</v>
      </c>
    </row>
    <row r="3114" spans="1:7" x14ac:dyDescent="0.25">
      <c r="A3114" t="s">
        <v>421</v>
      </c>
      <c r="B3114" t="s">
        <v>107</v>
      </c>
      <c r="C3114" s="4">
        <f>(0.3663259998074/(0.144688166399844+0.3663259998074)) * 5.39075686029091%</f>
        <v>3.8644220202768108E-2</v>
      </c>
      <c r="D3114" t="s">
        <v>256</v>
      </c>
      <c r="E3114" t="s">
        <v>420</v>
      </c>
      <c r="F3114" t="s">
        <v>421</v>
      </c>
      <c r="G3114" s="4" t="s">
        <v>245</v>
      </c>
    </row>
    <row r="3115" spans="1:7" x14ac:dyDescent="0.25">
      <c r="A3115" t="s">
        <v>421</v>
      </c>
      <c r="B3115" t="s">
        <v>137</v>
      </c>
      <c r="C3115" s="4">
        <f>(0.144688166399844/(0.144688166399844+0.3663259998074)) * 0.377007832204965%</f>
        <v>1.0674571385168609E-3</v>
      </c>
      <c r="D3115" t="s">
        <v>256</v>
      </c>
      <c r="E3115" t="s">
        <v>419</v>
      </c>
      <c r="F3115" t="s">
        <v>421</v>
      </c>
      <c r="G3115" s="4" t="s">
        <v>245</v>
      </c>
    </row>
    <row r="3116" spans="1:7" x14ac:dyDescent="0.25">
      <c r="A3116" t="s">
        <v>421</v>
      </c>
      <c r="B3116" t="s">
        <v>137</v>
      </c>
      <c r="C3116" s="4">
        <f>(0.3663259998074/(0.144688166399844+0.3663259998074)) * 0.377007832204965%</f>
        <v>2.702621183532788E-3</v>
      </c>
      <c r="D3116" t="s">
        <v>256</v>
      </c>
      <c r="E3116" t="s">
        <v>420</v>
      </c>
      <c r="F3116" t="s">
        <v>421</v>
      </c>
      <c r="G3116" s="4" t="s">
        <v>245</v>
      </c>
    </row>
    <row r="3117" spans="1:7" x14ac:dyDescent="0.25">
      <c r="A3117" t="s">
        <v>421</v>
      </c>
      <c r="B3117" t="s">
        <v>113</v>
      </c>
      <c r="C3117" s="4">
        <f>(0.100925868687875/(0.100925868687875+0.388059965104881)) * 0.604577952248203%</f>
        <v>1.2478389107290009E-3</v>
      </c>
      <c r="D3117" t="s">
        <v>253</v>
      </c>
      <c r="E3117" t="s">
        <v>419</v>
      </c>
      <c r="F3117" t="s">
        <v>421</v>
      </c>
      <c r="G3117" s="4" t="s">
        <v>245</v>
      </c>
    </row>
    <row r="3118" spans="1:7" x14ac:dyDescent="0.25">
      <c r="A3118" t="s">
        <v>421</v>
      </c>
      <c r="B3118" t="s">
        <v>113</v>
      </c>
      <c r="C3118" s="4">
        <f>(0.388059965104881/(0.100925868687875+0.388059965104881)) * 0.604577952248203%</f>
        <v>4.797940611753029E-3</v>
      </c>
      <c r="D3118" t="s">
        <v>253</v>
      </c>
      <c r="E3118" t="s">
        <v>420</v>
      </c>
      <c r="F3118" t="s">
        <v>421</v>
      </c>
      <c r="G3118" s="4" t="s">
        <v>245</v>
      </c>
    </row>
    <row r="3119" spans="1:7" x14ac:dyDescent="0.25">
      <c r="A3119" t="s">
        <v>421</v>
      </c>
      <c r="B3119" t="s">
        <v>122</v>
      </c>
      <c r="C3119" s="4">
        <f>(0.144688166399844/(0.144688166399844+0.3663259998074)) * 1.32635451631867%</f>
        <v>3.7554301945608151E-3</v>
      </c>
      <c r="D3119" t="s">
        <v>256</v>
      </c>
      <c r="E3119" t="s">
        <v>419</v>
      </c>
      <c r="F3119" t="s">
        <v>421</v>
      </c>
      <c r="G3119" s="4" t="s">
        <v>245</v>
      </c>
    </row>
    <row r="3120" spans="1:7" x14ac:dyDescent="0.25">
      <c r="A3120" t="s">
        <v>421</v>
      </c>
      <c r="B3120" t="s">
        <v>122</v>
      </c>
      <c r="C3120" s="4">
        <f>(0.3663259998074/(0.144688166399844+0.3663259998074)) * 1.32635451631867%</f>
        <v>9.5081149686258842E-3</v>
      </c>
      <c r="D3120" t="s">
        <v>256</v>
      </c>
      <c r="E3120" t="s">
        <v>420</v>
      </c>
      <c r="F3120" t="s">
        <v>421</v>
      </c>
      <c r="G3120" s="4" t="s">
        <v>245</v>
      </c>
    </row>
    <row r="3121" spans="1:8" x14ac:dyDescent="0.25">
      <c r="A3121" t="s">
        <v>421</v>
      </c>
      <c r="B3121" t="s">
        <v>180</v>
      </c>
      <c r="C3121" s="4">
        <f>(0.144688166399844/(0.144688166399844+0.3663259998074)) * 6.58056930458364%</f>
        <v>1.8632174399665521E-2</v>
      </c>
      <c r="D3121" t="s">
        <v>256</v>
      </c>
      <c r="E3121" t="s">
        <v>419</v>
      </c>
      <c r="F3121" t="s">
        <v>421</v>
      </c>
      <c r="G3121" s="4" t="s">
        <v>245</v>
      </c>
    </row>
    <row r="3122" spans="1:8" x14ac:dyDescent="0.25">
      <c r="A3122" t="s">
        <v>421</v>
      </c>
      <c r="B3122" t="s">
        <v>180</v>
      </c>
      <c r="C3122" s="4">
        <f>(0.3663259998074/(0.144688166399844+0.3663259998074)) * 6.58056930458364%</f>
        <v>4.7173518646170871E-2</v>
      </c>
      <c r="D3122" t="s">
        <v>256</v>
      </c>
      <c r="E3122" t="s">
        <v>420</v>
      </c>
      <c r="F3122" t="s">
        <v>421</v>
      </c>
      <c r="G3122" s="4" t="s">
        <v>245</v>
      </c>
    </row>
    <row r="3123" spans="1:8" x14ac:dyDescent="0.25">
      <c r="A3123" s="6" t="s">
        <v>506</v>
      </c>
      <c r="B3123" t="s">
        <v>85</v>
      </c>
      <c r="C3123" s="4">
        <v>5.9688513738534087E-2</v>
      </c>
      <c r="D3123" t="s">
        <v>320</v>
      </c>
      <c r="E3123" s="6" t="s">
        <v>505</v>
      </c>
      <c r="F3123" s="6" t="s">
        <v>506</v>
      </c>
      <c r="G3123" t="s">
        <v>245</v>
      </c>
      <c r="H3123" t="s">
        <v>504</v>
      </c>
    </row>
    <row r="3124" spans="1:8" x14ac:dyDescent="0.25">
      <c r="A3124" s="6" t="s">
        <v>506</v>
      </c>
      <c r="B3124" t="s">
        <v>86</v>
      </c>
      <c r="C3124" s="4">
        <v>0.58054197622738168</v>
      </c>
      <c r="D3124" t="s">
        <v>320</v>
      </c>
      <c r="E3124" s="6" t="s">
        <v>505</v>
      </c>
      <c r="F3124" s="6" t="s">
        <v>506</v>
      </c>
      <c r="G3124" t="s">
        <v>245</v>
      </c>
      <c r="H3124" t="s">
        <v>635</v>
      </c>
    </row>
    <row r="3125" spans="1:8" x14ac:dyDescent="0.25">
      <c r="A3125" s="6" t="s">
        <v>506</v>
      </c>
      <c r="B3125" t="s">
        <v>97</v>
      </c>
      <c r="C3125" s="4">
        <v>4.1978283125223559E-3</v>
      </c>
      <c r="D3125" t="s">
        <v>320</v>
      </c>
      <c r="E3125" s="6" t="s">
        <v>505</v>
      </c>
      <c r="F3125" s="6" t="s">
        <v>506</v>
      </c>
      <c r="G3125" t="s">
        <v>245</v>
      </c>
    </row>
    <row r="3126" spans="1:8" x14ac:dyDescent="0.25">
      <c r="A3126" s="6" t="s">
        <v>506</v>
      </c>
      <c r="B3126" t="s">
        <v>102</v>
      </c>
      <c r="C3126" s="4">
        <v>1.027871770940832E-2</v>
      </c>
      <c r="D3126" t="s">
        <v>320</v>
      </c>
      <c r="E3126" s="6" t="s">
        <v>505</v>
      </c>
      <c r="F3126" s="6" t="s">
        <v>506</v>
      </c>
      <c r="G3126" t="s">
        <v>245</v>
      </c>
    </row>
    <row r="3127" spans="1:8" x14ac:dyDescent="0.25">
      <c r="A3127" s="6" t="s">
        <v>506</v>
      </c>
      <c r="B3127" t="s">
        <v>107</v>
      </c>
      <c r="C3127" s="4">
        <v>0.19253888438909469</v>
      </c>
      <c r="D3127" t="s">
        <v>320</v>
      </c>
      <c r="E3127" s="6" t="s">
        <v>505</v>
      </c>
      <c r="F3127" s="6" t="s">
        <v>506</v>
      </c>
      <c r="G3127" t="s">
        <v>245</v>
      </c>
    </row>
    <row r="3128" spans="1:8" x14ac:dyDescent="0.25">
      <c r="A3128" s="6" t="s">
        <v>506</v>
      </c>
      <c r="B3128" t="s">
        <v>137</v>
      </c>
      <c r="C3128" s="4">
        <v>0.15177348995358131</v>
      </c>
      <c r="D3128" t="s">
        <v>320</v>
      </c>
      <c r="E3128" s="6" t="s">
        <v>505</v>
      </c>
      <c r="F3128" s="6" t="s">
        <v>506</v>
      </c>
      <c r="G3128" t="s">
        <v>245</v>
      </c>
    </row>
    <row r="3129" spans="1:8" x14ac:dyDescent="0.25">
      <c r="A3129" s="6" t="s">
        <v>506</v>
      </c>
      <c r="B3129" t="s">
        <v>113</v>
      </c>
      <c r="C3129" s="4">
        <v>9.8058966947755328E-4</v>
      </c>
      <c r="D3129" t="s">
        <v>320</v>
      </c>
      <c r="E3129" s="6" t="s">
        <v>505</v>
      </c>
      <c r="F3129" s="6" t="s">
        <v>506</v>
      </c>
      <c r="G3129" t="s">
        <v>245</v>
      </c>
    </row>
    <row r="3130" spans="1:8" x14ac:dyDescent="0.25">
      <c r="A3130" s="6" t="s">
        <v>764</v>
      </c>
      <c r="B3130" t="s">
        <v>86</v>
      </c>
      <c r="C3130" s="4">
        <f>59%/0.91</f>
        <v>0.64835164835164827</v>
      </c>
      <c r="D3130" t="s">
        <v>320</v>
      </c>
      <c r="E3130" s="6" t="s">
        <v>765</v>
      </c>
      <c r="F3130" s="6" t="s">
        <v>764</v>
      </c>
      <c r="G3130" t="s">
        <v>245</v>
      </c>
    </row>
    <row r="3131" spans="1:8" x14ac:dyDescent="0.25">
      <c r="A3131" s="6" t="s">
        <v>764</v>
      </c>
      <c r="B3131" t="s">
        <v>766</v>
      </c>
      <c r="C3131" s="4">
        <f>9%/0.91</f>
        <v>9.8901098901098897E-2</v>
      </c>
      <c r="D3131" t="s">
        <v>320</v>
      </c>
      <c r="E3131" s="6" t="s">
        <v>765</v>
      </c>
      <c r="F3131" s="6" t="s">
        <v>764</v>
      </c>
      <c r="G3131" t="s">
        <v>245</v>
      </c>
      <c r="H3131" t="s">
        <v>767</v>
      </c>
    </row>
    <row r="3132" spans="1:8" x14ac:dyDescent="0.25">
      <c r="A3132" s="6" t="s">
        <v>764</v>
      </c>
      <c r="B3132" t="s">
        <v>137</v>
      </c>
      <c r="C3132" s="4">
        <f>9%/0.91</f>
        <v>9.8901098901098897E-2</v>
      </c>
      <c r="D3132" t="s">
        <v>320</v>
      </c>
      <c r="E3132" s="6" t="s">
        <v>765</v>
      </c>
      <c r="F3132" s="6" t="s">
        <v>764</v>
      </c>
      <c r="G3132" t="s">
        <v>245</v>
      </c>
    </row>
    <row r="3133" spans="1:8" x14ac:dyDescent="0.25">
      <c r="A3133" s="6" t="s">
        <v>764</v>
      </c>
      <c r="B3133" t="s">
        <v>107</v>
      </c>
      <c r="C3133" s="4">
        <f>8%/0.91</f>
        <v>8.7912087912087905E-2</v>
      </c>
      <c r="D3133" t="s">
        <v>320</v>
      </c>
      <c r="E3133" s="6" t="s">
        <v>765</v>
      </c>
      <c r="F3133" s="6" t="s">
        <v>764</v>
      </c>
      <c r="G3133" t="s">
        <v>245</v>
      </c>
    </row>
    <row r="3134" spans="1:8" x14ac:dyDescent="0.25">
      <c r="A3134" s="6" t="s">
        <v>764</v>
      </c>
      <c r="B3134" t="s">
        <v>85</v>
      </c>
      <c r="C3134" s="4">
        <f>6%/0.91</f>
        <v>6.5934065934065936E-2</v>
      </c>
      <c r="D3134" t="s">
        <v>320</v>
      </c>
      <c r="E3134" s="6" t="s">
        <v>765</v>
      </c>
      <c r="F3134" s="6" t="s">
        <v>764</v>
      </c>
      <c r="G3134" t="s">
        <v>245</v>
      </c>
    </row>
    <row r="3135" spans="1:8" x14ac:dyDescent="0.25">
      <c r="A3135" t="s">
        <v>422</v>
      </c>
      <c r="B3135" t="s">
        <v>183</v>
      </c>
      <c r="C3135" s="4">
        <v>6.5215044461788111E-5</v>
      </c>
      <c r="D3135" t="s">
        <v>242</v>
      </c>
      <c r="E3135" t="s">
        <v>315</v>
      </c>
      <c r="F3135" t="s">
        <v>422</v>
      </c>
      <c r="G3135" t="s">
        <v>245</v>
      </c>
      <c r="H3135" t="s">
        <v>423</v>
      </c>
    </row>
    <row r="3136" spans="1:8" x14ac:dyDescent="0.25">
      <c r="A3136" t="s">
        <v>422</v>
      </c>
      <c r="B3136" t="s">
        <v>124</v>
      </c>
      <c r="C3136" s="4">
        <v>1.2184874343890921E-3</v>
      </c>
      <c r="D3136" t="s">
        <v>242</v>
      </c>
      <c r="E3136" t="s">
        <v>315</v>
      </c>
      <c r="F3136" t="s">
        <v>422</v>
      </c>
      <c r="G3136" t="s">
        <v>245</v>
      </c>
      <c r="H3136" t="s">
        <v>636</v>
      </c>
    </row>
    <row r="3137" spans="1:7" x14ac:dyDescent="0.25">
      <c r="A3137" t="s">
        <v>422</v>
      </c>
      <c r="B3137" t="s">
        <v>164</v>
      </c>
      <c r="C3137" s="4">
        <v>5.273670241781914E-4</v>
      </c>
      <c r="D3137" t="s">
        <v>242</v>
      </c>
      <c r="E3137" t="s">
        <v>315</v>
      </c>
      <c r="F3137" t="s">
        <v>422</v>
      </c>
      <c r="G3137" t="s">
        <v>245</v>
      </c>
    </row>
    <row r="3138" spans="1:7" x14ac:dyDescent="0.25">
      <c r="A3138" t="s">
        <v>422</v>
      </c>
      <c r="B3138" t="s">
        <v>83</v>
      </c>
      <c r="C3138" s="4">
        <v>9.4901187198528539E-2</v>
      </c>
      <c r="D3138" t="s">
        <v>242</v>
      </c>
      <c r="E3138" t="s">
        <v>315</v>
      </c>
      <c r="F3138" t="s">
        <v>422</v>
      </c>
      <c r="G3138" t="s">
        <v>245</v>
      </c>
    </row>
    <row r="3139" spans="1:7" x14ac:dyDescent="0.25">
      <c r="A3139" t="s">
        <v>422</v>
      </c>
      <c r="B3139" t="s">
        <v>144</v>
      </c>
      <c r="C3139" s="4">
        <v>3.8684053294434202E-2</v>
      </c>
      <c r="D3139" t="s">
        <v>242</v>
      </c>
      <c r="E3139" t="s">
        <v>315</v>
      </c>
      <c r="F3139" t="s">
        <v>422</v>
      </c>
      <c r="G3139" t="s">
        <v>245</v>
      </c>
    </row>
    <row r="3140" spans="1:7" x14ac:dyDescent="0.25">
      <c r="A3140" t="s">
        <v>422</v>
      </c>
      <c r="B3140" t="s">
        <v>84</v>
      </c>
      <c r="C3140" s="4">
        <v>5.9546107426134136E-4</v>
      </c>
      <c r="D3140" t="s">
        <v>242</v>
      </c>
      <c r="E3140" t="s">
        <v>315</v>
      </c>
      <c r="F3140" t="s">
        <v>422</v>
      </c>
      <c r="G3140" t="s">
        <v>245</v>
      </c>
    </row>
    <row r="3141" spans="1:7" x14ac:dyDescent="0.25">
      <c r="A3141" t="s">
        <v>422</v>
      </c>
      <c r="B3141" t="s">
        <v>85</v>
      </c>
      <c r="C3141" s="4">
        <v>1.3108223936819411E-2</v>
      </c>
      <c r="D3141" t="s">
        <v>242</v>
      </c>
      <c r="E3141" t="s">
        <v>315</v>
      </c>
      <c r="F3141" t="s">
        <v>422</v>
      </c>
      <c r="G3141" t="s">
        <v>245</v>
      </c>
    </row>
    <row r="3142" spans="1:7" x14ac:dyDescent="0.25">
      <c r="A3142" t="s">
        <v>422</v>
      </c>
      <c r="B3142" t="s">
        <v>147</v>
      </c>
      <c r="C3142" s="4">
        <v>1.1631023649217879E-3</v>
      </c>
      <c r="D3142" t="s">
        <v>242</v>
      </c>
      <c r="E3142" t="s">
        <v>315</v>
      </c>
      <c r="F3142" t="s">
        <v>422</v>
      </c>
      <c r="G3142" t="s">
        <v>245</v>
      </c>
    </row>
    <row r="3143" spans="1:7" x14ac:dyDescent="0.25">
      <c r="A3143" t="s">
        <v>422</v>
      </c>
      <c r="B3143" t="s">
        <v>186</v>
      </c>
      <c r="C3143" s="4">
        <v>6.9245970453862826E-3</v>
      </c>
      <c r="D3143" t="s">
        <v>242</v>
      </c>
      <c r="E3143" t="s">
        <v>315</v>
      </c>
      <c r="F3143" t="s">
        <v>422</v>
      </c>
      <c r="G3143" t="s">
        <v>245</v>
      </c>
    </row>
    <row r="3144" spans="1:7" x14ac:dyDescent="0.25">
      <c r="A3144" t="s">
        <v>422</v>
      </c>
      <c r="B3144" t="s">
        <v>116</v>
      </c>
      <c r="C3144" s="4">
        <v>2.6347005211429641E-2</v>
      </c>
      <c r="D3144" t="s">
        <v>288</v>
      </c>
      <c r="E3144" t="s">
        <v>309</v>
      </c>
      <c r="F3144" t="s">
        <v>422</v>
      </c>
      <c r="G3144" t="s">
        <v>245</v>
      </c>
    </row>
    <row r="3145" spans="1:7" x14ac:dyDescent="0.25">
      <c r="A3145" t="s">
        <v>422</v>
      </c>
      <c r="B3145" t="s">
        <v>145</v>
      </c>
      <c r="C3145" s="4">
        <v>1.877159383453152E-3</v>
      </c>
      <c r="D3145" t="s">
        <v>242</v>
      </c>
      <c r="E3145" t="s">
        <v>315</v>
      </c>
      <c r="F3145" t="s">
        <v>422</v>
      </c>
      <c r="G3145" t="s">
        <v>245</v>
      </c>
    </row>
    <row r="3146" spans="1:7" x14ac:dyDescent="0.25">
      <c r="A3146" t="s">
        <v>422</v>
      </c>
      <c r="B3146" t="s">
        <v>86</v>
      </c>
      <c r="C3146" s="4">
        <v>0.31924195813801759</v>
      </c>
      <c r="D3146" t="s">
        <v>242</v>
      </c>
      <c r="E3146" t="s">
        <v>315</v>
      </c>
      <c r="F3146" t="s">
        <v>422</v>
      </c>
      <c r="G3146" t="s">
        <v>245</v>
      </c>
    </row>
    <row r="3147" spans="1:7" x14ac:dyDescent="0.25">
      <c r="A3147" t="s">
        <v>422</v>
      </c>
      <c r="B3147" t="s">
        <v>189</v>
      </c>
      <c r="C3147" s="4">
        <v>2.115512417906785E-4</v>
      </c>
      <c r="D3147" t="s">
        <v>242</v>
      </c>
      <c r="E3147" t="s">
        <v>315</v>
      </c>
      <c r="F3147" t="s">
        <v>422</v>
      </c>
      <c r="G3147" t="s">
        <v>245</v>
      </c>
    </row>
    <row r="3148" spans="1:7" x14ac:dyDescent="0.25">
      <c r="A3148" t="s">
        <v>422</v>
      </c>
      <c r="B3148" t="s">
        <v>159</v>
      </c>
      <c r="C3148" s="4">
        <v>8.1159327527275044E-4</v>
      </c>
      <c r="D3148" t="s">
        <v>242</v>
      </c>
      <c r="E3148" t="s">
        <v>315</v>
      </c>
      <c r="F3148" t="s">
        <v>422</v>
      </c>
      <c r="G3148" t="s">
        <v>245</v>
      </c>
    </row>
    <row r="3149" spans="1:7" x14ac:dyDescent="0.25">
      <c r="A3149" t="s">
        <v>422</v>
      </c>
      <c r="B3149" t="s">
        <v>160</v>
      </c>
      <c r="C3149" s="4">
        <v>3.2671146664515309E-3</v>
      </c>
      <c r="D3149" t="s">
        <v>242</v>
      </c>
      <c r="E3149" t="s">
        <v>315</v>
      </c>
      <c r="F3149" t="s">
        <v>422</v>
      </c>
      <c r="G3149" t="s">
        <v>245</v>
      </c>
    </row>
    <row r="3150" spans="1:7" x14ac:dyDescent="0.25">
      <c r="A3150" t="s">
        <v>422</v>
      </c>
      <c r="B3150" t="s">
        <v>89</v>
      </c>
      <c r="C3150" s="4">
        <v>3.2992450054302662E-4</v>
      </c>
      <c r="D3150" t="s">
        <v>242</v>
      </c>
      <c r="E3150" t="s">
        <v>315</v>
      </c>
      <c r="F3150" t="s">
        <v>422</v>
      </c>
      <c r="G3150" t="s">
        <v>245</v>
      </c>
    </row>
    <row r="3151" spans="1:7" x14ac:dyDescent="0.25">
      <c r="A3151" t="s">
        <v>422</v>
      </c>
      <c r="B3151" t="s">
        <v>168</v>
      </c>
      <c r="C3151" s="4">
        <v>9.4359965953929332E-3</v>
      </c>
      <c r="D3151" t="s">
        <v>242</v>
      </c>
      <c r="E3151" t="s">
        <v>315</v>
      </c>
      <c r="F3151" t="s">
        <v>422</v>
      </c>
      <c r="G3151" t="s">
        <v>245</v>
      </c>
    </row>
    <row r="3152" spans="1:7" x14ac:dyDescent="0.25">
      <c r="A3152" t="s">
        <v>422</v>
      </c>
      <c r="B3152" t="s">
        <v>154</v>
      </c>
      <c r="C3152" s="4">
        <v>5.2822118219955682E-3</v>
      </c>
      <c r="D3152" t="s">
        <v>242</v>
      </c>
      <c r="E3152" t="s">
        <v>315</v>
      </c>
      <c r="F3152" t="s">
        <v>422</v>
      </c>
      <c r="G3152" t="s">
        <v>245</v>
      </c>
    </row>
    <row r="3153" spans="1:7" x14ac:dyDescent="0.25">
      <c r="A3153" t="s">
        <v>422</v>
      </c>
      <c r="B3153" t="s">
        <v>169</v>
      </c>
      <c r="C3153" s="4">
        <v>6.8428078359661576E-5</v>
      </c>
      <c r="D3153" t="s">
        <v>242</v>
      </c>
      <c r="E3153" t="s">
        <v>315</v>
      </c>
      <c r="F3153" t="s">
        <v>422</v>
      </c>
      <c r="G3153" t="s">
        <v>245</v>
      </c>
    </row>
    <row r="3154" spans="1:7" x14ac:dyDescent="0.25">
      <c r="A3154" t="s">
        <v>422</v>
      </c>
      <c r="B3154" t="s">
        <v>93</v>
      </c>
      <c r="C3154" s="4">
        <v>1.7765373416811349E-3</v>
      </c>
      <c r="D3154" t="s">
        <v>242</v>
      </c>
      <c r="E3154" t="s">
        <v>315</v>
      </c>
      <c r="F3154" t="s">
        <v>422</v>
      </c>
      <c r="G3154" t="s">
        <v>245</v>
      </c>
    </row>
    <row r="3155" spans="1:7" x14ac:dyDescent="0.25">
      <c r="A3155" t="s">
        <v>422</v>
      </c>
      <c r="B3155" t="s">
        <v>196</v>
      </c>
      <c r="C3155" s="4">
        <v>9.7027261272416453E-5</v>
      </c>
      <c r="D3155" t="s">
        <v>242</v>
      </c>
      <c r="E3155" t="s">
        <v>315</v>
      </c>
      <c r="F3155" t="s">
        <v>422</v>
      </c>
      <c r="G3155" t="s">
        <v>245</v>
      </c>
    </row>
    <row r="3156" spans="1:7" x14ac:dyDescent="0.25">
      <c r="A3156" t="s">
        <v>422</v>
      </c>
      <c r="B3156" t="s">
        <v>197</v>
      </c>
      <c r="C3156" s="4">
        <v>2.1804093402004671E-3</v>
      </c>
      <c r="D3156" t="s">
        <v>242</v>
      </c>
      <c r="E3156" t="s">
        <v>315</v>
      </c>
      <c r="F3156" t="s">
        <v>422</v>
      </c>
      <c r="G3156" t="s">
        <v>245</v>
      </c>
    </row>
    <row r="3157" spans="1:7" x14ac:dyDescent="0.25">
      <c r="A3157" t="s">
        <v>422</v>
      </c>
      <c r="B3157" t="s">
        <v>97</v>
      </c>
      <c r="C3157" s="4">
        <v>5.9113652150810457E-2</v>
      </c>
      <c r="D3157" t="s">
        <v>242</v>
      </c>
      <c r="E3157" t="s">
        <v>315</v>
      </c>
      <c r="F3157" t="s">
        <v>422</v>
      </c>
      <c r="G3157" t="s">
        <v>245</v>
      </c>
    </row>
    <row r="3158" spans="1:7" x14ac:dyDescent="0.25">
      <c r="A3158" t="s">
        <v>422</v>
      </c>
      <c r="B3158" t="s">
        <v>98</v>
      </c>
      <c r="C3158" s="4">
        <v>1.4756255828694009E-3</v>
      </c>
      <c r="D3158" t="s">
        <v>242</v>
      </c>
      <c r="E3158" t="s">
        <v>315</v>
      </c>
      <c r="F3158" t="s">
        <v>422</v>
      </c>
      <c r="G3158" t="s">
        <v>245</v>
      </c>
    </row>
    <row r="3159" spans="1:7" x14ac:dyDescent="0.25">
      <c r="A3159" t="s">
        <v>422</v>
      </c>
      <c r="B3159" t="s">
        <v>99</v>
      </c>
      <c r="C3159" s="4">
        <v>1.1690989677905919E-2</v>
      </c>
      <c r="D3159" t="s">
        <v>242</v>
      </c>
      <c r="E3159" t="s">
        <v>315</v>
      </c>
      <c r="F3159" t="s">
        <v>422</v>
      </c>
      <c r="G3159" t="s">
        <v>245</v>
      </c>
    </row>
    <row r="3160" spans="1:7" x14ac:dyDescent="0.25">
      <c r="A3160" t="s">
        <v>422</v>
      </c>
      <c r="B3160" t="s">
        <v>118</v>
      </c>
      <c r="C3160" s="4">
        <v>9.9266682274800639E-3</v>
      </c>
      <c r="D3160" t="s">
        <v>242</v>
      </c>
      <c r="E3160" t="s">
        <v>315</v>
      </c>
      <c r="F3160" t="s">
        <v>422</v>
      </c>
      <c r="G3160" t="s">
        <v>245</v>
      </c>
    </row>
    <row r="3161" spans="1:7" x14ac:dyDescent="0.25">
      <c r="A3161" t="s">
        <v>422</v>
      </c>
      <c r="B3161" t="s">
        <v>102</v>
      </c>
      <c r="C3161" s="4">
        <v>2.6645912800582299E-2</v>
      </c>
      <c r="D3161" t="s">
        <v>242</v>
      </c>
      <c r="E3161" t="s">
        <v>315</v>
      </c>
      <c r="F3161" t="s">
        <v>422</v>
      </c>
      <c r="G3161" t="s">
        <v>245</v>
      </c>
    </row>
    <row r="3162" spans="1:7" x14ac:dyDescent="0.25">
      <c r="A3162" t="s">
        <v>422</v>
      </c>
      <c r="B3162" t="s">
        <v>148</v>
      </c>
      <c r="C3162" s="4">
        <v>3.134457722351211E-4</v>
      </c>
      <c r="D3162" t="s">
        <v>242</v>
      </c>
      <c r="E3162" t="s">
        <v>315</v>
      </c>
      <c r="F3162" t="s">
        <v>422</v>
      </c>
      <c r="G3162" t="s">
        <v>245</v>
      </c>
    </row>
    <row r="3163" spans="1:7" x14ac:dyDescent="0.25">
      <c r="A3163" t="s">
        <v>422</v>
      </c>
      <c r="B3163" t="s">
        <v>149</v>
      </c>
      <c r="C3163" s="4">
        <v>2.492025909968977E-3</v>
      </c>
      <c r="D3163" t="s">
        <v>242</v>
      </c>
      <c r="E3163" t="s">
        <v>315</v>
      </c>
      <c r="F3163" t="s">
        <v>422</v>
      </c>
      <c r="G3163" t="s">
        <v>245</v>
      </c>
    </row>
    <row r="3164" spans="1:7" x14ac:dyDescent="0.25">
      <c r="A3164" t="s">
        <v>422</v>
      </c>
      <c r="B3164" t="s">
        <v>230</v>
      </c>
      <c r="C3164" s="4">
        <v>3.1172791252734718E-4</v>
      </c>
      <c r="D3164" t="s">
        <v>242</v>
      </c>
      <c r="E3164" t="s">
        <v>315</v>
      </c>
      <c r="F3164" t="s">
        <v>422</v>
      </c>
      <c r="G3164" t="s">
        <v>245</v>
      </c>
    </row>
    <row r="3165" spans="1:7" x14ac:dyDescent="0.25">
      <c r="A3165" t="s">
        <v>422</v>
      </c>
      <c r="B3165" t="s">
        <v>171</v>
      </c>
      <c r="C3165" s="4">
        <v>2.6563201036874668E-4</v>
      </c>
      <c r="D3165" t="s">
        <v>242</v>
      </c>
      <c r="E3165" t="s">
        <v>315</v>
      </c>
      <c r="F3165" t="s">
        <v>422</v>
      </c>
      <c r="G3165" t="s">
        <v>245</v>
      </c>
    </row>
    <row r="3166" spans="1:7" x14ac:dyDescent="0.25">
      <c r="A3166" t="s">
        <v>422</v>
      </c>
      <c r="B3166" t="s">
        <v>150</v>
      </c>
      <c r="C3166" s="4">
        <v>6.2735997936277876E-2</v>
      </c>
      <c r="D3166" t="s">
        <v>242</v>
      </c>
      <c r="E3166" t="s">
        <v>315</v>
      </c>
      <c r="F3166" t="s">
        <v>422</v>
      </c>
      <c r="G3166" t="s">
        <v>245</v>
      </c>
    </row>
    <row r="3167" spans="1:7" x14ac:dyDescent="0.25">
      <c r="A3167" t="s">
        <v>422</v>
      </c>
      <c r="B3167" t="s">
        <v>173</v>
      </c>
      <c r="C3167" s="4">
        <v>3.840529874463107E-3</v>
      </c>
      <c r="D3167" t="s">
        <v>242</v>
      </c>
      <c r="E3167" t="s">
        <v>315</v>
      </c>
      <c r="F3167" t="s">
        <v>422</v>
      </c>
      <c r="G3167" t="s">
        <v>245</v>
      </c>
    </row>
    <row r="3168" spans="1:7" x14ac:dyDescent="0.25">
      <c r="A3168" t="s">
        <v>422</v>
      </c>
      <c r="B3168" t="s">
        <v>104</v>
      </c>
      <c r="C3168" s="4">
        <v>7.7106451105600992E-4</v>
      </c>
      <c r="D3168" t="s">
        <v>242</v>
      </c>
      <c r="E3168" t="s">
        <v>315</v>
      </c>
      <c r="F3168" t="s">
        <v>422</v>
      </c>
      <c r="G3168" t="s">
        <v>245</v>
      </c>
    </row>
    <row r="3169" spans="1:7" x14ac:dyDescent="0.25">
      <c r="A3169" t="s">
        <v>422</v>
      </c>
      <c r="B3169" t="s">
        <v>161</v>
      </c>
      <c r="C3169" s="4">
        <v>3.6006339474941589E-3</v>
      </c>
      <c r="D3169" t="s">
        <v>242</v>
      </c>
      <c r="E3169" t="s">
        <v>315</v>
      </c>
      <c r="F3169" t="s">
        <v>422</v>
      </c>
      <c r="G3169" t="s">
        <v>245</v>
      </c>
    </row>
    <row r="3170" spans="1:7" x14ac:dyDescent="0.25">
      <c r="A3170" t="s">
        <v>422</v>
      </c>
      <c r="B3170" t="s">
        <v>174</v>
      </c>
      <c r="C3170" s="4">
        <v>1.2695460423701511E-3</v>
      </c>
      <c r="D3170" t="s">
        <v>242</v>
      </c>
      <c r="E3170" t="s">
        <v>315</v>
      </c>
      <c r="F3170" t="s">
        <v>422</v>
      </c>
      <c r="G3170" t="s">
        <v>245</v>
      </c>
    </row>
    <row r="3171" spans="1:7" x14ac:dyDescent="0.25">
      <c r="A3171" t="s">
        <v>422</v>
      </c>
      <c r="B3171" t="s">
        <v>175</v>
      </c>
      <c r="C3171" s="4">
        <v>8.1394578870589637E-3</v>
      </c>
      <c r="D3171" t="s">
        <v>242</v>
      </c>
      <c r="E3171" t="s">
        <v>315</v>
      </c>
      <c r="F3171" t="s">
        <v>422</v>
      </c>
      <c r="G3171" t="s">
        <v>245</v>
      </c>
    </row>
    <row r="3172" spans="1:7" x14ac:dyDescent="0.25">
      <c r="A3172" t="s">
        <v>422</v>
      </c>
      <c r="B3172" t="s">
        <v>203</v>
      </c>
      <c r="C3172" s="4">
        <v>2.0852908119366881E-3</v>
      </c>
      <c r="D3172" t="s">
        <v>242</v>
      </c>
      <c r="E3172" t="s">
        <v>315</v>
      </c>
      <c r="F3172" t="s">
        <v>422</v>
      </c>
      <c r="G3172" t="s">
        <v>245</v>
      </c>
    </row>
    <row r="3173" spans="1:7" x14ac:dyDescent="0.25">
      <c r="A3173" t="s">
        <v>422</v>
      </c>
      <c r="B3173" t="s">
        <v>176</v>
      </c>
      <c r="C3173" s="4">
        <v>2.3926604507609789E-3</v>
      </c>
      <c r="D3173" t="s">
        <v>242</v>
      </c>
      <c r="E3173" t="s">
        <v>315</v>
      </c>
      <c r="F3173" t="s">
        <v>422</v>
      </c>
      <c r="G3173" t="s">
        <v>245</v>
      </c>
    </row>
    <row r="3174" spans="1:7" x14ac:dyDescent="0.25">
      <c r="A3174" t="s">
        <v>422</v>
      </c>
      <c r="B3174" t="s">
        <v>106</v>
      </c>
      <c r="C3174" s="4">
        <v>1.8932722712677349E-3</v>
      </c>
      <c r="D3174" t="s">
        <v>242</v>
      </c>
      <c r="E3174" t="s">
        <v>315</v>
      </c>
      <c r="F3174" t="s">
        <v>422</v>
      </c>
      <c r="G3174" t="s">
        <v>245</v>
      </c>
    </row>
    <row r="3175" spans="1:7" x14ac:dyDescent="0.25">
      <c r="A3175" t="s">
        <v>422</v>
      </c>
      <c r="B3175" t="s">
        <v>146</v>
      </c>
      <c r="C3175" s="4">
        <v>0.1148174641244485</v>
      </c>
      <c r="D3175" t="s">
        <v>310</v>
      </c>
      <c r="E3175" t="s">
        <v>387</v>
      </c>
      <c r="F3175" t="s">
        <v>422</v>
      </c>
      <c r="G3175" t="s">
        <v>245</v>
      </c>
    </row>
    <row r="3176" spans="1:7" x14ac:dyDescent="0.25">
      <c r="A3176" t="s">
        <v>422</v>
      </c>
      <c r="B3176" t="s">
        <v>151</v>
      </c>
      <c r="C3176" s="4">
        <v>3.2508586236612998E-3</v>
      </c>
      <c r="D3176" t="s">
        <v>242</v>
      </c>
      <c r="E3176" t="s">
        <v>315</v>
      </c>
      <c r="F3176" t="s">
        <v>422</v>
      </c>
      <c r="G3176" t="s">
        <v>245</v>
      </c>
    </row>
    <row r="3177" spans="1:7" x14ac:dyDescent="0.25">
      <c r="A3177" t="s">
        <v>422</v>
      </c>
      <c r="B3177" t="s">
        <v>178</v>
      </c>
      <c r="C3177" s="4">
        <v>1.1809665152717971E-2</v>
      </c>
      <c r="D3177" t="s">
        <v>242</v>
      </c>
      <c r="E3177" t="s">
        <v>315</v>
      </c>
      <c r="F3177" t="s">
        <v>422</v>
      </c>
      <c r="G3177" t="s">
        <v>245</v>
      </c>
    </row>
    <row r="3178" spans="1:7" x14ac:dyDescent="0.25">
      <c r="A3178" t="s">
        <v>422</v>
      </c>
      <c r="B3178" t="s">
        <v>120</v>
      </c>
      <c r="C3178" s="4">
        <v>8.4302374548165114E-5</v>
      </c>
      <c r="D3178" t="s">
        <v>242</v>
      </c>
      <c r="E3178" t="s">
        <v>315</v>
      </c>
      <c r="F3178" t="s">
        <v>422</v>
      </c>
      <c r="G3178" t="s">
        <v>245</v>
      </c>
    </row>
    <row r="3179" spans="1:7" x14ac:dyDescent="0.25">
      <c r="A3179" t="s">
        <v>422</v>
      </c>
      <c r="B3179" t="s">
        <v>107</v>
      </c>
      <c r="C3179" s="4">
        <v>2.1621173155343551E-2</v>
      </c>
      <c r="D3179" t="s">
        <v>242</v>
      </c>
      <c r="E3179" t="s">
        <v>315</v>
      </c>
      <c r="F3179" t="s">
        <v>422</v>
      </c>
      <c r="G3179" t="s">
        <v>245</v>
      </c>
    </row>
    <row r="3180" spans="1:7" x14ac:dyDescent="0.25">
      <c r="A3180" t="s">
        <v>422</v>
      </c>
      <c r="B3180" t="s">
        <v>108</v>
      </c>
      <c r="C3180" s="4">
        <v>2.5888145796153141E-3</v>
      </c>
      <c r="D3180" t="s">
        <v>242</v>
      </c>
      <c r="E3180" t="s">
        <v>315</v>
      </c>
      <c r="F3180" t="s">
        <v>422</v>
      </c>
      <c r="G3180" t="s">
        <v>245</v>
      </c>
    </row>
    <row r="3181" spans="1:7" x14ac:dyDescent="0.25">
      <c r="A3181" t="s">
        <v>422</v>
      </c>
      <c r="B3181" t="s">
        <v>179</v>
      </c>
      <c r="C3181" s="4">
        <v>6.919157156311665E-4</v>
      </c>
      <c r="D3181" t="s">
        <v>242</v>
      </c>
      <c r="E3181" t="s">
        <v>315</v>
      </c>
      <c r="F3181" t="s">
        <v>422</v>
      </c>
      <c r="G3181" t="s">
        <v>245</v>
      </c>
    </row>
    <row r="3182" spans="1:7" x14ac:dyDescent="0.25">
      <c r="A3182" t="s">
        <v>422</v>
      </c>
      <c r="B3182" t="s">
        <v>135</v>
      </c>
      <c r="C3182" s="4">
        <v>8.8597023817599954E-6</v>
      </c>
      <c r="D3182" t="s">
        <v>242</v>
      </c>
      <c r="E3182" t="s">
        <v>315</v>
      </c>
      <c r="F3182" t="s">
        <v>422</v>
      </c>
      <c r="G3182" t="s">
        <v>245</v>
      </c>
    </row>
    <row r="3183" spans="1:7" x14ac:dyDescent="0.25">
      <c r="A3183" t="s">
        <v>422</v>
      </c>
      <c r="B3183" t="s">
        <v>137</v>
      </c>
      <c r="C3183" s="4">
        <v>8.5680638841485589E-3</v>
      </c>
      <c r="D3183" t="s">
        <v>242</v>
      </c>
      <c r="E3183" t="s">
        <v>315</v>
      </c>
      <c r="F3183" t="s">
        <v>422</v>
      </c>
      <c r="G3183" t="s">
        <v>245</v>
      </c>
    </row>
    <row r="3184" spans="1:7" x14ac:dyDescent="0.25">
      <c r="A3184" t="s">
        <v>422</v>
      </c>
      <c r="B3184" t="s">
        <v>121</v>
      </c>
      <c r="C3184" s="4">
        <v>7.135989226092908E-3</v>
      </c>
      <c r="D3184" t="s">
        <v>242</v>
      </c>
      <c r="E3184" t="s">
        <v>315</v>
      </c>
      <c r="F3184" t="s">
        <v>422</v>
      </c>
      <c r="G3184" t="s">
        <v>245</v>
      </c>
    </row>
    <row r="3185" spans="1:8" x14ac:dyDescent="0.25">
      <c r="A3185" t="s">
        <v>422</v>
      </c>
      <c r="B3185" t="s">
        <v>138</v>
      </c>
      <c r="C3185" s="4">
        <v>1.921208169459989E-2</v>
      </c>
      <c r="D3185" t="s">
        <v>242</v>
      </c>
      <c r="E3185" t="s">
        <v>315</v>
      </c>
      <c r="F3185" t="s">
        <v>422</v>
      </c>
      <c r="G3185" t="s">
        <v>245</v>
      </c>
    </row>
    <row r="3186" spans="1:8" x14ac:dyDescent="0.25">
      <c r="A3186" t="s">
        <v>422</v>
      </c>
      <c r="B3186" t="s">
        <v>139</v>
      </c>
      <c r="C3186" s="4">
        <v>5.9207307317100952E-3</v>
      </c>
      <c r="D3186" t="s">
        <v>242</v>
      </c>
      <c r="E3186" t="s">
        <v>315</v>
      </c>
      <c r="F3186" t="s">
        <v>422</v>
      </c>
      <c r="G3186" t="s">
        <v>245</v>
      </c>
    </row>
    <row r="3187" spans="1:8" x14ac:dyDescent="0.25">
      <c r="A3187" t="s">
        <v>422</v>
      </c>
      <c r="B3187" t="s">
        <v>215</v>
      </c>
      <c r="C3187" s="4">
        <v>1.8801020135081352E-5</v>
      </c>
      <c r="D3187" t="s">
        <v>242</v>
      </c>
      <c r="E3187" t="s">
        <v>315</v>
      </c>
      <c r="F3187" t="s">
        <v>422</v>
      </c>
      <c r="G3187" t="s">
        <v>245</v>
      </c>
    </row>
    <row r="3188" spans="1:8" x14ac:dyDescent="0.25">
      <c r="A3188" t="s">
        <v>422</v>
      </c>
      <c r="B3188" t="s">
        <v>112</v>
      </c>
      <c r="C3188" s="4">
        <v>1.26400753542342E-2</v>
      </c>
      <c r="D3188" t="s">
        <v>242</v>
      </c>
      <c r="E3188" t="s">
        <v>315</v>
      </c>
      <c r="F3188" t="s">
        <v>422</v>
      </c>
      <c r="G3188" t="s">
        <v>245</v>
      </c>
    </row>
    <row r="3189" spans="1:8" x14ac:dyDescent="0.25">
      <c r="A3189" t="s">
        <v>422</v>
      </c>
      <c r="B3189" t="s">
        <v>113</v>
      </c>
      <c r="C3189" s="4">
        <v>6.0583185694160623E-2</v>
      </c>
      <c r="D3189" t="s">
        <v>242</v>
      </c>
      <c r="E3189" t="s">
        <v>315</v>
      </c>
      <c r="F3189" t="s">
        <v>422</v>
      </c>
      <c r="G3189" t="s">
        <v>245</v>
      </c>
    </row>
    <row r="3190" spans="1:8" x14ac:dyDescent="0.25">
      <c r="A3190" t="s">
        <v>422</v>
      </c>
      <c r="B3190" t="s">
        <v>180</v>
      </c>
      <c r="C3190" s="4">
        <v>2.9903483801990648E-3</v>
      </c>
      <c r="D3190" t="s">
        <v>242</v>
      </c>
      <c r="E3190" t="s">
        <v>315</v>
      </c>
      <c r="F3190" t="s">
        <v>422</v>
      </c>
      <c r="G3190" t="s">
        <v>245</v>
      </c>
    </row>
    <row r="3191" spans="1:8" x14ac:dyDescent="0.25">
      <c r="A3191" t="s">
        <v>422</v>
      </c>
      <c r="B3191" t="s">
        <v>115</v>
      </c>
      <c r="C3191" s="4">
        <v>9.5436650431885046E-4</v>
      </c>
      <c r="D3191" t="s">
        <v>242</v>
      </c>
      <c r="E3191" t="s">
        <v>315</v>
      </c>
      <c r="F3191" t="s">
        <v>422</v>
      </c>
      <c r="G3191" t="s">
        <v>245</v>
      </c>
    </row>
    <row r="3192" spans="1:8" x14ac:dyDescent="0.25">
      <c r="A3192" t="s">
        <v>422</v>
      </c>
      <c r="B3192" t="s">
        <v>143</v>
      </c>
      <c r="C3192" s="4">
        <v>2.4559031377805082E-5</v>
      </c>
      <c r="D3192" t="s">
        <v>242</v>
      </c>
      <c r="E3192" t="s">
        <v>315</v>
      </c>
      <c r="F3192" t="s">
        <v>422</v>
      </c>
      <c r="G3192" t="s">
        <v>245</v>
      </c>
    </row>
    <row r="3193" spans="1:8" x14ac:dyDescent="0.25">
      <c r="A3193" t="s">
        <v>425</v>
      </c>
      <c r="B3193" t="s">
        <v>183</v>
      </c>
      <c r="C3193" s="4">
        <v>5.9552410536364508E-5</v>
      </c>
      <c r="D3193" t="s">
        <v>256</v>
      </c>
      <c r="E3193" t="s">
        <v>280</v>
      </c>
      <c r="F3193" t="s">
        <v>425</v>
      </c>
      <c r="G3193" t="s">
        <v>245</v>
      </c>
      <c r="H3193" t="s">
        <v>424</v>
      </c>
    </row>
    <row r="3194" spans="1:8" x14ac:dyDescent="0.25">
      <c r="A3194" t="s">
        <v>425</v>
      </c>
      <c r="B3194" t="s">
        <v>83</v>
      </c>
      <c r="C3194" s="4">
        <v>3.3690969516470513E-2</v>
      </c>
      <c r="D3194" t="s">
        <v>256</v>
      </c>
      <c r="E3194" t="s">
        <v>280</v>
      </c>
      <c r="F3194" t="s">
        <v>425</v>
      </c>
      <c r="G3194" t="s">
        <v>245</v>
      </c>
      <c r="H3194" t="s">
        <v>637</v>
      </c>
    </row>
    <row r="3195" spans="1:8" x14ac:dyDescent="0.25">
      <c r="A3195" t="s">
        <v>425</v>
      </c>
      <c r="B3195" t="s">
        <v>163</v>
      </c>
      <c r="C3195" s="4">
        <v>1.9542079513263779E-2</v>
      </c>
      <c r="D3195" t="s">
        <v>256</v>
      </c>
      <c r="E3195" t="s">
        <v>280</v>
      </c>
      <c r="F3195" t="s">
        <v>425</v>
      </c>
      <c r="G3195" t="s">
        <v>245</v>
      </c>
    </row>
    <row r="3196" spans="1:8" x14ac:dyDescent="0.25">
      <c r="A3196" t="s">
        <v>425</v>
      </c>
      <c r="B3196" t="s">
        <v>85</v>
      </c>
      <c r="C3196" s="4">
        <v>1.7969866538940921E-2</v>
      </c>
      <c r="D3196" t="s">
        <v>256</v>
      </c>
      <c r="E3196" t="s">
        <v>280</v>
      </c>
      <c r="F3196" t="s">
        <v>425</v>
      </c>
      <c r="G3196" t="s">
        <v>245</v>
      </c>
    </row>
    <row r="3197" spans="1:8" x14ac:dyDescent="0.25">
      <c r="A3197" t="s">
        <v>425</v>
      </c>
      <c r="B3197" t="s">
        <v>147</v>
      </c>
      <c r="C3197" s="4">
        <v>5.4473880708776953E-3</v>
      </c>
      <c r="D3197" t="s">
        <v>256</v>
      </c>
      <c r="E3197" t="s">
        <v>280</v>
      </c>
      <c r="F3197" t="s">
        <v>425</v>
      </c>
      <c r="G3197" t="s">
        <v>245</v>
      </c>
    </row>
    <row r="3198" spans="1:8" x14ac:dyDescent="0.25">
      <c r="A3198" t="s">
        <v>425</v>
      </c>
      <c r="B3198" t="s">
        <v>116</v>
      </c>
      <c r="C3198" s="4">
        <v>4.6807461277511862E-2</v>
      </c>
      <c r="D3198" t="s">
        <v>288</v>
      </c>
      <c r="E3198" t="s">
        <v>280</v>
      </c>
      <c r="F3198" t="s">
        <v>425</v>
      </c>
      <c r="G3198" t="s">
        <v>245</v>
      </c>
    </row>
    <row r="3199" spans="1:8" x14ac:dyDescent="0.25">
      <c r="A3199" t="s">
        <v>425</v>
      </c>
      <c r="B3199" t="s">
        <v>86</v>
      </c>
      <c r="C3199" s="4">
        <v>0.45431891536226598</v>
      </c>
      <c r="D3199" t="s">
        <v>256</v>
      </c>
      <c r="E3199" t="s">
        <v>280</v>
      </c>
      <c r="F3199" t="s">
        <v>425</v>
      </c>
      <c r="G3199" t="s">
        <v>245</v>
      </c>
    </row>
    <row r="3200" spans="1:8" x14ac:dyDescent="0.25">
      <c r="A3200" t="s">
        <v>425</v>
      </c>
      <c r="B3200" t="s">
        <v>154</v>
      </c>
      <c r="C3200" s="4">
        <v>2.1426693285518519E-2</v>
      </c>
      <c r="D3200" t="s">
        <v>256</v>
      </c>
      <c r="E3200" t="s">
        <v>280</v>
      </c>
      <c r="F3200" t="s">
        <v>425</v>
      </c>
      <c r="G3200" t="s">
        <v>245</v>
      </c>
    </row>
    <row r="3201" spans="1:7" x14ac:dyDescent="0.25">
      <c r="A3201" t="s">
        <v>425</v>
      </c>
      <c r="B3201" t="s">
        <v>91</v>
      </c>
      <c r="C3201" s="4">
        <v>1.164645664184074E-2</v>
      </c>
      <c r="D3201" t="s">
        <v>256</v>
      </c>
      <c r="E3201" t="s">
        <v>280</v>
      </c>
      <c r="F3201" t="s">
        <v>425</v>
      </c>
      <c r="G3201" t="s">
        <v>245</v>
      </c>
    </row>
    <row r="3202" spans="1:7" x14ac:dyDescent="0.25">
      <c r="A3202" t="s">
        <v>425</v>
      </c>
      <c r="B3202" t="s">
        <v>117</v>
      </c>
      <c r="C3202" s="4">
        <v>1.2775898910633861E-2</v>
      </c>
      <c r="D3202" t="s">
        <v>256</v>
      </c>
      <c r="E3202" t="s">
        <v>280</v>
      </c>
      <c r="F3202" t="s">
        <v>425</v>
      </c>
      <c r="G3202" t="s">
        <v>245</v>
      </c>
    </row>
    <row r="3203" spans="1:7" x14ac:dyDescent="0.25">
      <c r="A3203" t="s">
        <v>425</v>
      </c>
      <c r="B3203" t="s">
        <v>97</v>
      </c>
      <c r="C3203" s="4">
        <v>5.2748195598630962E-2</v>
      </c>
      <c r="D3203" t="s">
        <v>256</v>
      </c>
      <c r="E3203" t="s">
        <v>280</v>
      </c>
      <c r="F3203" t="s">
        <v>425</v>
      </c>
      <c r="G3203" t="s">
        <v>245</v>
      </c>
    </row>
    <row r="3204" spans="1:7" x14ac:dyDescent="0.25">
      <c r="A3204" t="s">
        <v>425</v>
      </c>
      <c r="B3204" t="s">
        <v>99</v>
      </c>
      <c r="C3204" s="4">
        <v>1.0106308093486491E-2</v>
      </c>
      <c r="D3204" t="s">
        <v>256</v>
      </c>
      <c r="E3204" t="s">
        <v>280</v>
      </c>
      <c r="F3204" t="s">
        <v>425</v>
      </c>
      <c r="G3204" t="s">
        <v>245</v>
      </c>
    </row>
    <row r="3205" spans="1:7" x14ac:dyDescent="0.25">
      <c r="A3205" t="s">
        <v>425</v>
      </c>
      <c r="B3205" t="s">
        <v>182</v>
      </c>
      <c r="C3205" s="4">
        <v>1.0255922523898051E-2</v>
      </c>
      <c r="D3205" t="s">
        <v>256</v>
      </c>
      <c r="E3205" t="s">
        <v>280</v>
      </c>
      <c r="F3205" t="s">
        <v>425</v>
      </c>
      <c r="G3205" t="s">
        <v>245</v>
      </c>
    </row>
    <row r="3206" spans="1:7" x14ac:dyDescent="0.25">
      <c r="A3206" t="s">
        <v>425</v>
      </c>
      <c r="B3206" t="s">
        <v>119</v>
      </c>
      <c r="C3206" s="4">
        <v>3.7991988352604603E-2</v>
      </c>
      <c r="D3206" t="s">
        <v>256</v>
      </c>
      <c r="E3206" t="s">
        <v>280</v>
      </c>
      <c r="F3206" t="s">
        <v>425</v>
      </c>
      <c r="G3206" t="s">
        <v>245</v>
      </c>
    </row>
    <row r="3207" spans="1:7" x14ac:dyDescent="0.25">
      <c r="A3207" t="s">
        <v>425</v>
      </c>
      <c r="B3207" t="s">
        <v>102</v>
      </c>
      <c r="C3207" s="4">
        <v>2.3169554718999018E-2</v>
      </c>
      <c r="D3207" t="s">
        <v>256</v>
      </c>
      <c r="E3207" t="s">
        <v>280</v>
      </c>
      <c r="F3207" t="s">
        <v>425</v>
      </c>
      <c r="G3207" t="s">
        <v>245</v>
      </c>
    </row>
    <row r="3208" spans="1:7" x14ac:dyDescent="0.25">
      <c r="A3208" t="s">
        <v>425</v>
      </c>
      <c r="B3208" t="s">
        <v>148</v>
      </c>
      <c r="C3208" s="4">
        <v>7.1842913296882763E-2</v>
      </c>
      <c r="D3208" t="s">
        <v>256</v>
      </c>
      <c r="E3208" t="s">
        <v>280</v>
      </c>
      <c r="F3208" t="s">
        <v>425</v>
      </c>
      <c r="G3208" t="s">
        <v>245</v>
      </c>
    </row>
    <row r="3209" spans="1:7" x14ac:dyDescent="0.25">
      <c r="A3209" t="s">
        <v>425</v>
      </c>
      <c r="B3209" t="s">
        <v>149</v>
      </c>
      <c r="C3209" s="4">
        <v>1.100106105967325E-3</v>
      </c>
      <c r="D3209" t="s">
        <v>256</v>
      </c>
      <c r="E3209" t="s">
        <v>280</v>
      </c>
      <c r="F3209" t="s">
        <v>425</v>
      </c>
      <c r="G3209" t="s">
        <v>245</v>
      </c>
    </row>
    <row r="3210" spans="1:7" x14ac:dyDescent="0.25">
      <c r="A3210" t="s">
        <v>425</v>
      </c>
      <c r="B3210" t="s">
        <v>150</v>
      </c>
      <c r="C3210" s="4">
        <v>2.599756081540569E-2</v>
      </c>
      <c r="D3210" t="s">
        <v>256</v>
      </c>
      <c r="E3210" t="s">
        <v>280</v>
      </c>
      <c r="F3210" t="s">
        <v>425</v>
      </c>
      <c r="G3210" t="s">
        <v>245</v>
      </c>
    </row>
    <row r="3211" spans="1:7" x14ac:dyDescent="0.25">
      <c r="A3211" t="s">
        <v>425</v>
      </c>
      <c r="B3211" t="s">
        <v>175</v>
      </c>
      <c r="C3211" s="4">
        <v>3.4041830023867018E-3</v>
      </c>
      <c r="D3211" t="s">
        <v>256</v>
      </c>
      <c r="E3211" t="s">
        <v>280</v>
      </c>
      <c r="F3211" t="s">
        <v>425</v>
      </c>
      <c r="G3211" t="s">
        <v>245</v>
      </c>
    </row>
    <row r="3212" spans="1:7" x14ac:dyDescent="0.25">
      <c r="A3212" t="s">
        <v>425</v>
      </c>
      <c r="B3212" t="s">
        <v>130</v>
      </c>
      <c r="C3212" s="4">
        <v>1.8569791068728438E-2</v>
      </c>
      <c r="D3212" t="s">
        <v>256</v>
      </c>
      <c r="E3212" t="s">
        <v>280</v>
      </c>
      <c r="F3212" t="s">
        <v>425</v>
      </c>
      <c r="G3212" t="s">
        <v>245</v>
      </c>
    </row>
    <row r="3213" spans="1:7" x14ac:dyDescent="0.25">
      <c r="A3213" t="s">
        <v>425</v>
      </c>
      <c r="B3213" t="s">
        <v>132</v>
      </c>
      <c r="C3213" s="4">
        <v>1.364027428021451E-2</v>
      </c>
      <c r="D3213" t="s">
        <v>256</v>
      </c>
      <c r="E3213" t="s">
        <v>280</v>
      </c>
      <c r="F3213" t="s">
        <v>425</v>
      </c>
      <c r="G3213" t="s">
        <v>245</v>
      </c>
    </row>
    <row r="3214" spans="1:7" x14ac:dyDescent="0.25">
      <c r="A3214" t="s">
        <v>425</v>
      </c>
      <c r="B3214" t="s">
        <v>146</v>
      </c>
      <c r="C3214" s="4">
        <v>2.4078535724156289E-2</v>
      </c>
      <c r="D3214" t="s">
        <v>256</v>
      </c>
      <c r="E3214" t="s">
        <v>280</v>
      </c>
      <c r="F3214" t="s">
        <v>425</v>
      </c>
      <c r="G3214" t="s">
        <v>245</v>
      </c>
    </row>
    <row r="3215" spans="1:7" x14ac:dyDescent="0.25">
      <c r="A3215" t="s">
        <v>425</v>
      </c>
      <c r="B3215" t="s">
        <v>151</v>
      </c>
      <c r="C3215" s="4">
        <v>1.182866354915176E-2</v>
      </c>
      <c r="D3215" t="s">
        <v>256</v>
      </c>
      <c r="E3215" t="s">
        <v>280</v>
      </c>
      <c r="F3215" t="s">
        <v>425</v>
      </c>
      <c r="G3215" t="s">
        <v>245</v>
      </c>
    </row>
    <row r="3216" spans="1:7" x14ac:dyDescent="0.25">
      <c r="A3216" t="s">
        <v>425</v>
      </c>
      <c r="B3216" t="s">
        <v>107</v>
      </c>
      <c r="C3216" s="4">
        <v>1.6571998380291782E-2</v>
      </c>
      <c r="D3216" t="s">
        <v>256</v>
      </c>
      <c r="E3216" t="s">
        <v>280</v>
      </c>
      <c r="F3216" t="s">
        <v>425</v>
      </c>
      <c r="G3216" t="s">
        <v>245</v>
      </c>
    </row>
    <row r="3217" spans="1:7" x14ac:dyDescent="0.25">
      <c r="A3217" t="s">
        <v>425</v>
      </c>
      <c r="B3217" t="s">
        <v>121</v>
      </c>
      <c r="C3217" s="4">
        <v>3.7183586381695583E-2</v>
      </c>
      <c r="D3217" t="s">
        <v>256</v>
      </c>
      <c r="E3217" t="s">
        <v>280</v>
      </c>
      <c r="F3217" t="s">
        <v>425</v>
      </c>
      <c r="G3217" t="s">
        <v>245</v>
      </c>
    </row>
    <row r="3218" spans="1:7" x14ac:dyDescent="0.25">
      <c r="A3218" t="s">
        <v>425</v>
      </c>
      <c r="B3218" t="s">
        <v>215</v>
      </c>
      <c r="C3218" s="4">
        <v>4.40306467852362E-4</v>
      </c>
      <c r="D3218" t="s">
        <v>256</v>
      </c>
      <c r="E3218" t="s">
        <v>280</v>
      </c>
      <c r="F3218" t="s">
        <v>425</v>
      </c>
      <c r="G3218" t="s">
        <v>245</v>
      </c>
    </row>
    <row r="3219" spans="1:7" x14ac:dyDescent="0.25">
      <c r="A3219" t="s">
        <v>425</v>
      </c>
      <c r="B3219" t="s">
        <v>113</v>
      </c>
      <c r="C3219" s="4">
        <v>1.119174611804092E-2</v>
      </c>
      <c r="D3219" t="s">
        <v>256</v>
      </c>
      <c r="E3219" t="s">
        <v>280</v>
      </c>
      <c r="F3219" t="s">
        <v>425</v>
      </c>
      <c r="G3219" t="s">
        <v>245</v>
      </c>
    </row>
    <row r="3220" spans="1:7" x14ac:dyDescent="0.25">
      <c r="A3220" t="s">
        <v>425</v>
      </c>
      <c r="B3220" t="s">
        <v>180</v>
      </c>
      <c r="C3220" s="4">
        <v>5.4464786498300954E-3</v>
      </c>
      <c r="D3220" t="s">
        <v>256</v>
      </c>
      <c r="E3220" t="s">
        <v>280</v>
      </c>
      <c r="F3220" t="s">
        <v>425</v>
      </c>
      <c r="G3220" t="s">
        <v>245</v>
      </c>
    </row>
    <row r="3221" spans="1:7" x14ac:dyDescent="0.25">
      <c r="A3221" t="s">
        <v>425</v>
      </c>
      <c r="B3221" t="s">
        <v>115</v>
      </c>
      <c r="C3221" s="4">
        <v>7.46605343916491E-4</v>
      </c>
      <c r="D3221" t="s">
        <v>256</v>
      </c>
      <c r="E3221" t="s">
        <v>280</v>
      </c>
      <c r="F3221" t="s">
        <v>425</v>
      </c>
      <c r="G3221" t="s">
        <v>245</v>
      </c>
    </row>
    <row r="3222" spans="1:7" x14ac:dyDescent="0.25">
      <c r="A3222" t="s">
        <v>642</v>
      </c>
      <c r="B3222" t="s">
        <v>83</v>
      </c>
      <c r="C3222" s="2">
        <v>0.38784187662958464</v>
      </c>
      <c r="D3222" t="s">
        <v>307</v>
      </c>
      <c r="E3222" t="s">
        <v>453</v>
      </c>
      <c r="F3222" t="s">
        <v>642</v>
      </c>
      <c r="G3222" t="s">
        <v>245</v>
      </c>
    </row>
    <row r="3223" spans="1:7" x14ac:dyDescent="0.25">
      <c r="A3223" t="s">
        <v>642</v>
      </c>
      <c r="B3223" t="s">
        <v>85</v>
      </c>
      <c r="C3223" s="2">
        <v>1.6460862425327173E-2</v>
      </c>
      <c r="D3223" t="s">
        <v>256</v>
      </c>
      <c r="E3223" t="s">
        <v>453</v>
      </c>
      <c r="F3223" t="s">
        <v>642</v>
      </c>
      <c r="G3223" t="s">
        <v>245</v>
      </c>
    </row>
    <row r="3224" spans="1:7" x14ac:dyDescent="0.25">
      <c r="A3224" t="s">
        <v>642</v>
      </c>
      <c r="B3224" t="s">
        <v>86</v>
      </c>
      <c r="C3224" s="2">
        <v>3.2677256596812851E-2</v>
      </c>
      <c r="D3224" t="s">
        <v>256</v>
      </c>
      <c r="E3224" t="s">
        <v>453</v>
      </c>
      <c r="F3224" t="s">
        <v>642</v>
      </c>
      <c r="G3224" t="s">
        <v>245</v>
      </c>
    </row>
    <row r="3225" spans="1:7" x14ac:dyDescent="0.25">
      <c r="A3225" t="s">
        <v>642</v>
      </c>
      <c r="B3225" t="s">
        <v>236</v>
      </c>
      <c r="C3225" s="2">
        <v>6.2404596263938362E-4</v>
      </c>
      <c r="D3225" t="s">
        <v>256</v>
      </c>
      <c r="E3225" t="s">
        <v>453</v>
      </c>
      <c r="F3225" t="s">
        <v>642</v>
      </c>
      <c r="G3225" t="s">
        <v>245</v>
      </c>
    </row>
    <row r="3226" spans="1:7" x14ac:dyDescent="0.25">
      <c r="A3226" t="s">
        <v>642</v>
      </c>
      <c r="B3226" t="s">
        <v>97</v>
      </c>
      <c r="C3226" s="2">
        <v>8.6399970272660331E-3</v>
      </c>
      <c r="D3226" t="s">
        <v>256</v>
      </c>
      <c r="E3226" t="s">
        <v>453</v>
      </c>
      <c r="F3226" t="s">
        <v>642</v>
      </c>
      <c r="G3226" t="s">
        <v>245</v>
      </c>
    </row>
    <row r="3227" spans="1:7" x14ac:dyDescent="0.25">
      <c r="A3227" t="s">
        <v>642</v>
      </c>
      <c r="B3227" t="s">
        <v>98</v>
      </c>
      <c r="C3227" s="2">
        <v>4.5308116378623302E-2</v>
      </c>
      <c r="D3227" t="s">
        <v>256</v>
      </c>
      <c r="E3227" t="s">
        <v>453</v>
      </c>
      <c r="F3227" t="s">
        <v>642</v>
      </c>
      <c r="G3227" t="s">
        <v>245</v>
      </c>
    </row>
    <row r="3228" spans="1:7" x14ac:dyDescent="0.25">
      <c r="A3228" t="s">
        <v>642</v>
      </c>
      <c r="B3228" t="s">
        <v>102</v>
      </c>
      <c r="C3228" s="2">
        <v>0</v>
      </c>
      <c r="D3228" t="s">
        <v>256</v>
      </c>
      <c r="E3228" t="s">
        <v>453</v>
      </c>
      <c r="F3228" t="s">
        <v>642</v>
      </c>
      <c r="G3228" t="s">
        <v>245</v>
      </c>
    </row>
    <row r="3229" spans="1:7" x14ac:dyDescent="0.25">
      <c r="A3229" t="s">
        <v>642</v>
      </c>
      <c r="B3229" t="s">
        <v>198</v>
      </c>
      <c r="C3229" s="2">
        <v>3.3970656638470244E-2</v>
      </c>
      <c r="D3229" t="s">
        <v>256</v>
      </c>
      <c r="E3229" t="s">
        <v>453</v>
      </c>
      <c r="F3229" t="s">
        <v>642</v>
      </c>
      <c r="G3229" t="s">
        <v>245</v>
      </c>
    </row>
    <row r="3230" spans="1:7" x14ac:dyDescent="0.25">
      <c r="A3230" t="s">
        <v>642</v>
      </c>
      <c r="B3230" t="s">
        <v>141</v>
      </c>
      <c r="C3230" s="2">
        <v>1.976265066171037E-2</v>
      </c>
      <c r="D3230" t="s">
        <v>256</v>
      </c>
      <c r="E3230" t="s">
        <v>453</v>
      </c>
      <c r="F3230" t="s">
        <v>642</v>
      </c>
      <c r="G3230" t="s">
        <v>245</v>
      </c>
    </row>
    <row r="3231" spans="1:7" x14ac:dyDescent="0.25">
      <c r="A3231" t="s">
        <v>642</v>
      </c>
      <c r="B3231" t="s">
        <v>103</v>
      </c>
      <c r="C3231" s="2">
        <v>6.8907451816122066E-4</v>
      </c>
      <c r="D3231" t="s">
        <v>256</v>
      </c>
      <c r="E3231" t="s">
        <v>453</v>
      </c>
      <c r="F3231" t="s">
        <v>642</v>
      </c>
      <c r="G3231" t="s">
        <v>245</v>
      </c>
    </row>
    <row r="3232" spans="1:7" x14ac:dyDescent="0.25">
      <c r="A3232" t="s">
        <v>642</v>
      </c>
      <c r="B3232" t="s">
        <v>105</v>
      </c>
      <c r="C3232" s="2">
        <v>6.7797077007174009E-2</v>
      </c>
      <c r="D3232" t="s">
        <v>256</v>
      </c>
      <c r="E3232" t="s">
        <v>453</v>
      </c>
      <c r="F3232" t="s">
        <v>642</v>
      </c>
      <c r="G3232" t="s">
        <v>245</v>
      </c>
    </row>
    <row r="3233" spans="1:7" x14ac:dyDescent="0.25">
      <c r="A3233" t="s">
        <v>642</v>
      </c>
      <c r="B3233" t="s">
        <v>203</v>
      </c>
      <c r="C3233" s="2">
        <v>4.6139308441684379E-4</v>
      </c>
      <c r="D3233" t="s">
        <v>256</v>
      </c>
      <c r="E3233" t="s">
        <v>453</v>
      </c>
      <c r="F3233" t="s">
        <v>642</v>
      </c>
      <c r="G3233" t="s">
        <v>245</v>
      </c>
    </row>
    <row r="3234" spans="1:7" x14ac:dyDescent="0.25">
      <c r="A3234" t="s">
        <v>642</v>
      </c>
      <c r="B3234" t="s">
        <v>107</v>
      </c>
      <c r="C3234" s="2">
        <v>5.2805142829762414E-3</v>
      </c>
      <c r="D3234" t="s">
        <v>256</v>
      </c>
      <c r="E3234" t="s">
        <v>453</v>
      </c>
      <c r="F3234" t="s">
        <v>642</v>
      </c>
      <c r="G3234" t="s">
        <v>245</v>
      </c>
    </row>
    <row r="3235" spans="1:7" x14ac:dyDescent="0.25">
      <c r="A3235" t="s">
        <v>642</v>
      </c>
      <c r="B3235" t="s">
        <v>205</v>
      </c>
      <c r="C3235" s="2">
        <v>5.0078832862922085E-2</v>
      </c>
      <c r="D3235" t="s">
        <v>256</v>
      </c>
      <c r="E3235" t="s">
        <v>453</v>
      </c>
      <c r="F3235" t="s">
        <v>642</v>
      </c>
      <c r="G3235" t="s">
        <v>245</v>
      </c>
    </row>
    <row r="3236" spans="1:7" x14ac:dyDescent="0.25">
      <c r="A3236" t="s">
        <v>642</v>
      </c>
      <c r="B3236" t="s">
        <v>109</v>
      </c>
      <c r="C3236" s="2">
        <v>5.4760888860494357E-3</v>
      </c>
      <c r="D3236" t="s">
        <v>256</v>
      </c>
      <c r="E3236" t="s">
        <v>453</v>
      </c>
      <c r="F3236" t="s">
        <v>642</v>
      </c>
      <c r="G3236" t="s">
        <v>245</v>
      </c>
    </row>
    <row r="3237" spans="1:7" x14ac:dyDescent="0.25">
      <c r="A3237" t="s">
        <v>642</v>
      </c>
      <c r="B3237" t="s">
        <v>137</v>
      </c>
      <c r="C3237" s="2">
        <v>0.26842614271795895</v>
      </c>
      <c r="D3237" t="s">
        <v>320</v>
      </c>
      <c r="E3237" t="s">
        <v>456</v>
      </c>
      <c r="F3237" t="s">
        <v>642</v>
      </c>
      <c r="G3237" t="s">
        <v>245</v>
      </c>
    </row>
    <row r="3238" spans="1:7" x14ac:dyDescent="0.25">
      <c r="A3238" t="s">
        <v>642</v>
      </c>
      <c r="B3238" t="s">
        <v>211</v>
      </c>
      <c r="C3238" s="2">
        <v>1.8074352900681024E-3</v>
      </c>
      <c r="D3238" t="s">
        <v>256</v>
      </c>
      <c r="E3238" t="s">
        <v>453</v>
      </c>
      <c r="F3238" t="s">
        <v>642</v>
      </c>
      <c r="G3238" t="s">
        <v>245</v>
      </c>
    </row>
    <row r="3239" spans="1:7" x14ac:dyDescent="0.25">
      <c r="A3239" t="s">
        <v>642</v>
      </c>
      <c r="B3239" t="s">
        <v>113</v>
      </c>
      <c r="C3239" s="2">
        <v>3.4225555537808969E-2</v>
      </c>
      <c r="D3239" t="s">
        <v>256</v>
      </c>
      <c r="E3239" t="s">
        <v>453</v>
      </c>
      <c r="F3239" t="s">
        <v>642</v>
      </c>
      <c r="G3239" t="s">
        <v>245</v>
      </c>
    </row>
    <row r="3240" spans="1:7" x14ac:dyDescent="0.25">
      <c r="A3240" t="s">
        <v>642</v>
      </c>
      <c r="B3240" t="s">
        <v>122</v>
      </c>
      <c r="C3240" s="2">
        <v>1.8353698625403904E-2</v>
      </c>
      <c r="D3240" t="s">
        <v>256</v>
      </c>
      <c r="E3240" t="s">
        <v>453</v>
      </c>
      <c r="F3240" t="s">
        <v>642</v>
      </c>
      <c r="G3240" t="s">
        <v>245</v>
      </c>
    </row>
    <row r="3241" spans="1:7" x14ac:dyDescent="0.25">
      <c r="A3241" t="s">
        <v>642</v>
      </c>
      <c r="B3241" t="s">
        <v>115</v>
      </c>
      <c r="C3241" s="2">
        <v>2.1187248666262697E-3</v>
      </c>
      <c r="D3241" t="s">
        <v>256</v>
      </c>
      <c r="E3241" t="s">
        <v>453</v>
      </c>
      <c r="F3241" t="s">
        <v>642</v>
      </c>
      <c r="G3241" t="s">
        <v>245</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
  <sheetViews>
    <sheetView zoomScale="70" zoomScaleNormal="70" workbookViewId="0">
      <selection activeCell="H30" sqref="H30"/>
    </sheetView>
  </sheetViews>
  <sheetFormatPr defaultRowHeight="15" x14ac:dyDescent="0.25"/>
  <cols>
    <col min="1" max="1" width="18.28515625" bestFit="1" customWidth="1"/>
    <col min="2" max="2" width="25.42578125" customWidth="1"/>
    <col min="3" max="3" width="30.28515625" bestFit="1" customWidth="1"/>
    <col min="4" max="5" width="30.28515625" customWidth="1"/>
    <col min="6" max="6" width="84" customWidth="1"/>
  </cols>
  <sheetData>
    <row r="1" spans="1:8" x14ac:dyDescent="0.25">
      <c r="B1" s="19" t="s">
        <v>649</v>
      </c>
      <c r="C1" s="19" t="s">
        <v>650</v>
      </c>
      <c r="D1" s="19" t="s">
        <v>710</v>
      </c>
      <c r="E1" s="19" t="s">
        <v>707</v>
      </c>
      <c r="F1" s="19" t="s">
        <v>241</v>
      </c>
      <c r="G1" s="19"/>
    </row>
    <row r="2" spans="1:8" x14ac:dyDescent="0.25">
      <c r="A2" s="19" t="s">
        <v>651</v>
      </c>
      <c r="B2" t="s">
        <v>700</v>
      </c>
      <c r="C2" t="s">
        <v>245</v>
      </c>
      <c r="D2" t="s">
        <v>245</v>
      </c>
      <c r="E2" t="s">
        <v>245</v>
      </c>
    </row>
    <row r="3" spans="1:8" x14ac:dyDescent="0.25">
      <c r="A3" s="12" t="s">
        <v>652</v>
      </c>
      <c r="B3" t="s">
        <v>701</v>
      </c>
      <c r="C3" t="s">
        <v>702</v>
      </c>
      <c r="D3" t="s">
        <v>703</v>
      </c>
      <c r="E3" t="s">
        <v>245</v>
      </c>
      <c r="F3" t="s">
        <v>708</v>
      </c>
    </row>
    <row r="4" spans="1:8" x14ac:dyDescent="0.25">
      <c r="A4" s="19" t="s">
        <v>653</v>
      </c>
      <c r="B4" t="s">
        <v>701</v>
      </c>
      <c r="C4" t="s">
        <v>703</v>
      </c>
      <c r="D4" t="s">
        <v>703</v>
      </c>
      <c r="E4" t="s">
        <v>703</v>
      </c>
      <c r="F4" t="s">
        <v>709</v>
      </c>
    </row>
    <row r="5" spans="1:8" x14ac:dyDescent="0.25">
      <c r="A5" s="19" t="s">
        <v>654</v>
      </c>
      <c r="B5" t="s">
        <v>245</v>
      </c>
      <c r="C5" t="s">
        <v>703</v>
      </c>
      <c r="D5" t="s">
        <v>703</v>
      </c>
      <c r="E5" t="s">
        <v>703</v>
      </c>
      <c r="F5" t="s">
        <v>600</v>
      </c>
    </row>
    <row r="6" spans="1:8" x14ac:dyDescent="0.25">
      <c r="A6" s="19" t="s">
        <v>655</v>
      </c>
      <c r="D6" t="s">
        <v>703</v>
      </c>
      <c r="E6" t="s">
        <v>703</v>
      </c>
      <c r="F6" t="s">
        <v>712</v>
      </c>
    </row>
    <row r="7" spans="1:8" x14ac:dyDescent="0.25">
      <c r="A7" s="19" t="s">
        <v>19</v>
      </c>
      <c r="B7" t="s">
        <v>245</v>
      </c>
      <c r="C7" t="s">
        <v>714</v>
      </c>
      <c r="D7" t="s">
        <v>703</v>
      </c>
      <c r="E7" t="s">
        <v>245</v>
      </c>
      <c r="F7" t="s">
        <v>713</v>
      </c>
    </row>
    <row r="8" spans="1:8" x14ac:dyDescent="0.25">
      <c r="A8" s="19" t="s">
        <v>656</v>
      </c>
      <c r="B8" t="s">
        <v>245</v>
      </c>
      <c r="C8" t="s">
        <v>717</v>
      </c>
      <c r="D8" t="s">
        <v>703</v>
      </c>
      <c r="E8" t="s">
        <v>703</v>
      </c>
      <c r="F8" t="s">
        <v>718</v>
      </c>
    </row>
    <row r="9" spans="1:8" x14ac:dyDescent="0.25">
      <c r="A9" s="19" t="s">
        <v>657</v>
      </c>
      <c r="B9" t="s">
        <v>245</v>
      </c>
      <c r="C9" t="s">
        <v>714</v>
      </c>
      <c r="D9" t="s">
        <v>245</v>
      </c>
      <c r="E9" t="s">
        <v>245</v>
      </c>
    </row>
    <row r="10" spans="1:8" x14ac:dyDescent="0.25">
      <c r="A10" s="19" t="s">
        <v>658</v>
      </c>
      <c r="B10" t="s">
        <v>245</v>
      </c>
      <c r="C10" t="s">
        <v>245</v>
      </c>
      <c r="D10" t="s">
        <v>703</v>
      </c>
      <c r="E10" t="s">
        <v>245</v>
      </c>
      <c r="F10" t="s">
        <v>704</v>
      </c>
      <c r="H10" s="18" t="s">
        <v>725</v>
      </c>
    </row>
    <row r="11" spans="1:8" x14ac:dyDescent="0.25">
      <c r="A11" s="19" t="s">
        <v>380</v>
      </c>
      <c r="B11" t="s">
        <v>245</v>
      </c>
      <c r="C11" t="s">
        <v>245</v>
      </c>
      <c r="D11" t="s">
        <v>245</v>
      </c>
      <c r="E11" t="s">
        <v>245</v>
      </c>
    </row>
    <row r="12" spans="1:8" x14ac:dyDescent="0.25">
      <c r="A12" s="19" t="s">
        <v>659</v>
      </c>
      <c r="B12" t="s">
        <v>245</v>
      </c>
      <c r="C12" t="s">
        <v>245</v>
      </c>
      <c r="D12" t="s">
        <v>703</v>
      </c>
      <c r="E12" t="s">
        <v>703</v>
      </c>
      <c r="F12" t="s">
        <v>719</v>
      </c>
    </row>
    <row r="13" spans="1:8" x14ac:dyDescent="0.25">
      <c r="A13" s="19" t="s">
        <v>660</v>
      </c>
      <c r="B13" t="s">
        <v>245</v>
      </c>
      <c r="C13" t="s">
        <v>245</v>
      </c>
      <c r="D13" t="s">
        <v>703</v>
      </c>
      <c r="E13" t="s">
        <v>703</v>
      </c>
      <c r="F13" t="s">
        <v>719</v>
      </c>
    </row>
    <row r="14" spans="1:8" x14ac:dyDescent="0.25">
      <c r="A14" s="19" t="s">
        <v>661</v>
      </c>
      <c r="B14" t="s">
        <v>245</v>
      </c>
      <c r="C14" t="s">
        <v>245</v>
      </c>
      <c r="D14" t="s">
        <v>703</v>
      </c>
      <c r="E14" t="s">
        <v>703</v>
      </c>
      <c r="F14" t="s">
        <v>719</v>
      </c>
    </row>
    <row r="15" spans="1:8" x14ac:dyDescent="0.25">
      <c r="A15" s="19" t="s">
        <v>662</v>
      </c>
      <c r="B15" t="s">
        <v>245</v>
      </c>
      <c r="C15" t="s">
        <v>245</v>
      </c>
      <c r="D15" t="s">
        <v>703</v>
      </c>
      <c r="E15" t="s">
        <v>703</v>
      </c>
    </row>
    <row r="16" spans="1:8" x14ac:dyDescent="0.25">
      <c r="A16" s="19" t="s">
        <v>26</v>
      </c>
      <c r="B16" t="s">
        <v>245</v>
      </c>
      <c r="C16" t="s">
        <v>703</v>
      </c>
      <c r="D16" t="s">
        <v>703</v>
      </c>
      <c r="E16" t="s">
        <v>703</v>
      </c>
      <c r="F16" t="s">
        <v>720</v>
      </c>
    </row>
    <row r="17" spans="1:8" x14ac:dyDescent="0.25">
      <c r="A17" s="19" t="s">
        <v>663</v>
      </c>
      <c r="B17" t="s">
        <v>245</v>
      </c>
      <c r="C17" t="s">
        <v>703</v>
      </c>
      <c r="D17" t="s">
        <v>703</v>
      </c>
      <c r="E17" t="s">
        <v>703</v>
      </c>
      <c r="F17" t="s">
        <v>721</v>
      </c>
    </row>
    <row r="18" spans="1:8" x14ac:dyDescent="0.25">
      <c r="A18" s="19" t="s">
        <v>612</v>
      </c>
      <c r="B18" t="s">
        <v>245</v>
      </c>
      <c r="C18" t="s">
        <v>703</v>
      </c>
      <c r="D18" t="s">
        <v>703</v>
      </c>
      <c r="E18" t="s">
        <v>245</v>
      </c>
      <c r="F18" t="s">
        <v>720</v>
      </c>
    </row>
    <row r="19" spans="1:8" x14ac:dyDescent="0.25">
      <c r="A19" s="19" t="s">
        <v>664</v>
      </c>
      <c r="B19" t="s">
        <v>245</v>
      </c>
      <c r="C19" t="s">
        <v>703</v>
      </c>
      <c r="D19" t="s">
        <v>703</v>
      </c>
      <c r="E19" t="s">
        <v>703</v>
      </c>
      <c r="F19" t="s">
        <v>722</v>
      </c>
    </row>
    <row r="20" spans="1:8" x14ac:dyDescent="0.25">
      <c r="A20" s="19" t="s">
        <v>665</v>
      </c>
      <c r="B20" t="s">
        <v>714</v>
      </c>
      <c r="C20" t="s">
        <v>703</v>
      </c>
      <c r="D20" t="s">
        <v>703</v>
      </c>
      <c r="E20" t="s">
        <v>703</v>
      </c>
      <c r="F20" t="s">
        <v>705</v>
      </c>
    </row>
    <row r="21" spans="1:8" x14ac:dyDescent="0.25">
      <c r="A21" s="19" t="s">
        <v>666</v>
      </c>
      <c r="B21" t="s">
        <v>245</v>
      </c>
      <c r="C21" t="s">
        <v>703</v>
      </c>
      <c r="D21" t="s">
        <v>703</v>
      </c>
      <c r="E21" t="s">
        <v>703</v>
      </c>
      <c r="F21" t="s">
        <v>720</v>
      </c>
    </row>
    <row r="22" spans="1:8" x14ac:dyDescent="0.25">
      <c r="A22" s="19" t="s">
        <v>667</v>
      </c>
      <c r="B22" t="s">
        <v>714</v>
      </c>
      <c r="C22" t="s">
        <v>703</v>
      </c>
      <c r="D22" t="s">
        <v>703</v>
      </c>
      <c r="E22" t="s">
        <v>703</v>
      </c>
      <c r="F22" t="s">
        <v>723</v>
      </c>
    </row>
    <row r="23" spans="1:8" x14ac:dyDescent="0.25">
      <c r="A23" s="19" t="s">
        <v>668</v>
      </c>
      <c r="B23" t="s">
        <v>245</v>
      </c>
      <c r="C23" t="s">
        <v>245</v>
      </c>
      <c r="D23" t="s">
        <v>703</v>
      </c>
      <c r="E23" t="s">
        <v>703</v>
      </c>
      <c r="F23" t="s">
        <v>719</v>
      </c>
    </row>
    <row r="24" spans="1:8" x14ac:dyDescent="0.25">
      <c r="A24" s="19" t="s">
        <v>669</v>
      </c>
      <c r="B24" t="s">
        <v>245</v>
      </c>
      <c r="C24" t="s">
        <v>245</v>
      </c>
      <c r="D24" t="s">
        <v>245</v>
      </c>
      <c r="E24" t="s">
        <v>245</v>
      </c>
    </row>
    <row r="25" spans="1:8" x14ac:dyDescent="0.25">
      <c r="A25" s="19" t="s">
        <v>670</v>
      </c>
      <c r="B25" t="s">
        <v>245</v>
      </c>
      <c r="C25" t="s">
        <v>245</v>
      </c>
      <c r="D25" t="s">
        <v>703</v>
      </c>
      <c r="E25" t="s">
        <v>245</v>
      </c>
      <c r="F25" t="s">
        <v>724</v>
      </c>
      <c r="H25" s="18" t="s">
        <v>725</v>
      </c>
    </row>
    <row r="26" spans="1:8" x14ac:dyDescent="0.25">
      <c r="A26" s="19" t="s">
        <v>671</v>
      </c>
      <c r="B26" t="s">
        <v>245</v>
      </c>
      <c r="C26" t="s">
        <v>245</v>
      </c>
      <c r="D26" t="s">
        <v>703</v>
      </c>
      <c r="E26" t="s">
        <v>703</v>
      </c>
    </row>
    <row r="27" spans="1:8" x14ac:dyDescent="0.25">
      <c r="A27" s="19" t="s">
        <v>672</v>
      </c>
      <c r="B27" t="s">
        <v>245</v>
      </c>
      <c r="C27" t="s">
        <v>245</v>
      </c>
      <c r="D27" t="s">
        <v>703</v>
      </c>
      <c r="E27" t="s">
        <v>245</v>
      </c>
      <c r="F27" t="s">
        <v>726</v>
      </c>
      <c r="H27" s="13" t="s">
        <v>742</v>
      </c>
    </row>
    <row r="28" spans="1:8" x14ac:dyDescent="0.25">
      <c r="A28" s="12" t="s">
        <v>381</v>
      </c>
      <c r="B28" t="s">
        <v>245</v>
      </c>
      <c r="C28" t="s">
        <v>703</v>
      </c>
      <c r="D28" t="s">
        <v>703</v>
      </c>
      <c r="E28" t="s">
        <v>703</v>
      </c>
      <c r="F28" t="s">
        <v>727</v>
      </c>
    </row>
    <row r="29" spans="1:8" x14ac:dyDescent="0.25">
      <c r="A29" s="19" t="s">
        <v>673</v>
      </c>
      <c r="B29" t="s">
        <v>245</v>
      </c>
      <c r="C29" t="s">
        <v>245</v>
      </c>
      <c r="D29" t="s">
        <v>703</v>
      </c>
      <c r="E29" t="s">
        <v>703</v>
      </c>
      <c r="F29" t="s">
        <v>719</v>
      </c>
    </row>
    <row r="30" spans="1:8" x14ac:dyDescent="0.25">
      <c r="A30" s="19" t="s">
        <v>674</v>
      </c>
      <c r="B30" t="s">
        <v>245</v>
      </c>
      <c r="C30" t="s">
        <v>245</v>
      </c>
      <c r="D30" t="s">
        <v>245</v>
      </c>
      <c r="E30" t="s">
        <v>245</v>
      </c>
      <c r="H30" s="18" t="s">
        <v>725</v>
      </c>
    </row>
    <row r="31" spans="1:8" x14ac:dyDescent="0.25">
      <c r="A31" s="19" t="s">
        <v>675</v>
      </c>
      <c r="B31" t="s">
        <v>245</v>
      </c>
      <c r="C31" t="s">
        <v>703</v>
      </c>
      <c r="D31" t="s">
        <v>703</v>
      </c>
      <c r="E31" t="s">
        <v>703</v>
      </c>
      <c r="F31" s="26" t="s">
        <v>731</v>
      </c>
    </row>
    <row r="32" spans="1:8" x14ac:dyDescent="0.25">
      <c r="A32" s="19" t="s">
        <v>676</v>
      </c>
      <c r="B32" t="s">
        <v>245</v>
      </c>
      <c r="C32" t="s">
        <v>703</v>
      </c>
      <c r="D32" t="s">
        <v>703</v>
      </c>
      <c r="E32" t="s">
        <v>245</v>
      </c>
    </row>
    <row r="33" spans="1:8" x14ac:dyDescent="0.25">
      <c r="A33" s="19" t="s">
        <v>677</v>
      </c>
      <c r="B33" t="s">
        <v>245</v>
      </c>
      <c r="C33" t="s">
        <v>703</v>
      </c>
      <c r="D33" t="s">
        <v>711</v>
      </c>
    </row>
    <row r="34" spans="1:8" x14ac:dyDescent="0.25">
      <c r="A34" s="19" t="s">
        <v>678</v>
      </c>
      <c r="B34" t="s">
        <v>245</v>
      </c>
      <c r="C34" t="s">
        <v>703</v>
      </c>
      <c r="D34" t="s">
        <v>703</v>
      </c>
      <c r="E34" t="s">
        <v>245</v>
      </c>
    </row>
    <row r="35" spans="1:8" x14ac:dyDescent="0.25">
      <c r="A35" s="19" t="s">
        <v>679</v>
      </c>
      <c r="B35" t="s">
        <v>245</v>
      </c>
      <c r="C35" t="s">
        <v>703</v>
      </c>
      <c r="D35" t="s">
        <v>711</v>
      </c>
    </row>
    <row r="36" spans="1:8" x14ac:dyDescent="0.25">
      <c r="A36" s="19" t="s">
        <v>680</v>
      </c>
      <c r="B36" t="s">
        <v>245</v>
      </c>
      <c r="C36" t="s">
        <v>245</v>
      </c>
      <c r="D36" t="s">
        <v>703</v>
      </c>
      <c r="E36" t="s">
        <v>703</v>
      </c>
      <c r="F36" t="s">
        <v>719</v>
      </c>
    </row>
    <row r="37" spans="1:8" x14ac:dyDescent="0.25">
      <c r="A37" s="19" t="s">
        <v>66</v>
      </c>
      <c r="B37" t="s">
        <v>245</v>
      </c>
      <c r="C37" t="s">
        <v>703</v>
      </c>
      <c r="D37" t="s">
        <v>703</v>
      </c>
      <c r="E37" t="s">
        <v>703</v>
      </c>
      <c r="F37" t="s">
        <v>730</v>
      </c>
    </row>
    <row r="38" spans="1:8" x14ac:dyDescent="0.25">
      <c r="A38" s="19" t="s">
        <v>681</v>
      </c>
      <c r="B38" t="s">
        <v>245</v>
      </c>
      <c r="C38" t="s">
        <v>732</v>
      </c>
      <c r="D38" t="s">
        <v>703</v>
      </c>
      <c r="E38" t="s">
        <v>245</v>
      </c>
      <c r="F38" t="s">
        <v>720</v>
      </c>
    </row>
    <row r="39" spans="1:8" ht="15.75" thickBot="1" x14ac:dyDescent="0.3">
      <c r="A39" s="19" t="s">
        <v>682</v>
      </c>
      <c r="B39" t="s">
        <v>245</v>
      </c>
      <c r="C39" t="s">
        <v>703</v>
      </c>
      <c r="D39" t="s">
        <v>703</v>
      </c>
      <c r="E39" t="s">
        <v>703</v>
      </c>
      <c r="F39" t="s">
        <v>720</v>
      </c>
    </row>
    <row r="40" spans="1:8" ht="16.5" thickTop="1" thickBot="1" x14ac:dyDescent="0.3">
      <c r="A40" s="27" t="s">
        <v>683</v>
      </c>
      <c r="B40" t="s">
        <v>703</v>
      </c>
      <c r="C40" t="s">
        <v>703</v>
      </c>
      <c r="D40" t="s">
        <v>703</v>
      </c>
      <c r="E40" t="s">
        <v>703</v>
      </c>
      <c r="F40" t="s">
        <v>733</v>
      </c>
    </row>
    <row r="41" spans="1:8" ht="15.75" thickTop="1" x14ac:dyDescent="0.25">
      <c r="A41" s="19" t="s">
        <v>684</v>
      </c>
      <c r="B41" t="s">
        <v>245</v>
      </c>
      <c r="C41" t="s">
        <v>245</v>
      </c>
      <c r="D41" t="s">
        <v>703</v>
      </c>
      <c r="E41" t="s">
        <v>703</v>
      </c>
      <c r="F41" t="s">
        <v>719</v>
      </c>
    </row>
    <row r="42" spans="1:8" x14ac:dyDescent="0.25">
      <c r="A42" s="19" t="s">
        <v>685</v>
      </c>
      <c r="B42" t="s">
        <v>245</v>
      </c>
      <c r="C42" t="s">
        <v>245</v>
      </c>
      <c r="D42" t="s">
        <v>703</v>
      </c>
      <c r="E42" t="s">
        <v>703</v>
      </c>
      <c r="F42" t="s">
        <v>719</v>
      </c>
    </row>
    <row r="43" spans="1:8" x14ac:dyDescent="0.25">
      <c r="A43" s="19" t="s">
        <v>622</v>
      </c>
      <c r="B43" s="28" t="s">
        <v>245</v>
      </c>
      <c r="C43" t="s">
        <v>703</v>
      </c>
      <c r="D43" t="s">
        <v>703</v>
      </c>
      <c r="E43" t="s">
        <v>703</v>
      </c>
      <c r="F43" t="s">
        <v>720</v>
      </c>
    </row>
    <row r="44" spans="1:8" x14ac:dyDescent="0.25">
      <c r="A44" s="19" t="s">
        <v>686</v>
      </c>
      <c r="B44" s="28" t="s">
        <v>245</v>
      </c>
      <c r="C44" t="s">
        <v>245</v>
      </c>
      <c r="D44" t="s">
        <v>245</v>
      </c>
      <c r="E44" t="s">
        <v>245</v>
      </c>
      <c r="F44" t="s">
        <v>753</v>
      </c>
      <c r="H44" s="13" t="s">
        <v>742</v>
      </c>
    </row>
    <row r="45" spans="1:8" x14ac:dyDescent="0.25">
      <c r="A45" s="19" t="s">
        <v>623</v>
      </c>
      <c r="B45" s="28" t="s">
        <v>245</v>
      </c>
      <c r="C45" t="s">
        <v>703</v>
      </c>
      <c r="D45" t="s">
        <v>703</v>
      </c>
      <c r="E45" t="s">
        <v>245</v>
      </c>
    </row>
    <row r="46" spans="1:8" x14ac:dyDescent="0.25">
      <c r="A46" s="19" t="s">
        <v>687</v>
      </c>
      <c r="B46" s="28" t="s">
        <v>245</v>
      </c>
      <c r="C46" t="s">
        <v>703</v>
      </c>
      <c r="D46" t="s">
        <v>245</v>
      </c>
      <c r="E46" t="s">
        <v>245</v>
      </c>
      <c r="H46" s="13" t="s">
        <v>742</v>
      </c>
    </row>
    <row r="47" spans="1:8" x14ac:dyDescent="0.25">
      <c r="A47" s="19" t="s">
        <v>688</v>
      </c>
      <c r="B47" s="28" t="s">
        <v>245</v>
      </c>
      <c r="C47" t="s">
        <v>703</v>
      </c>
      <c r="D47" t="s">
        <v>703</v>
      </c>
      <c r="E47" t="s">
        <v>703</v>
      </c>
    </row>
    <row r="48" spans="1:8" x14ac:dyDescent="0.25">
      <c r="A48" s="19" t="s">
        <v>689</v>
      </c>
      <c r="B48" s="28" t="s">
        <v>245</v>
      </c>
      <c r="C48" t="s">
        <v>703</v>
      </c>
      <c r="D48" t="s">
        <v>703</v>
      </c>
      <c r="E48" t="s">
        <v>703</v>
      </c>
    </row>
    <row r="49" spans="1:8" x14ac:dyDescent="0.25">
      <c r="A49" s="19" t="s">
        <v>690</v>
      </c>
      <c r="B49" s="28" t="s">
        <v>703</v>
      </c>
      <c r="C49" t="s">
        <v>245</v>
      </c>
      <c r="D49" t="s">
        <v>703</v>
      </c>
      <c r="E49" t="s">
        <v>245</v>
      </c>
    </row>
    <row r="50" spans="1:8" x14ac:dyDescent="0.25">
      <c r="A50" s="19" t="s">
        <v>691</v>
      </c>
      <c r="B50" t="s">
        <v>245</v>
      </c>
      <c r="C50" t="s">
        <v>245</v>
      </c>
      <c r="D50" t="s">
        <v>703</v>
      </c>
      <c r="E50" t="s">
        <v>703</v>
      </c>
      <c r="F50" t="s">
        <v>719</v>
      </c>
    </row>
    <row r="51" spans="1:8" x14ac:dyDescent="0.25">
      <c r="A51" s="19" t="s">
        <v>692</v>
      </c>
      <c r="B51" t="s">
        <v>245</v>
      </c>
      <c r="C51" t="s">
        <v>245</v>
      </c>
      <c r="D51" t="s">
        <v>245</v>
      </c>
      <c r="E51" t="s">
        <v>245</v>
      </c>
    </row>
    <row r="52" spans="1:8" x14ac:dyDescent="0.25">
      <c r="A52" s="19" t="s">
        <v>693</v>
      </c>
      <c r="B52" t="s">
        <v>245</v>
      </c>
      <c r="C52" t="s">
        <v>245</v>
      </c>
      <c r="D52" t="s">
        <v>703</v>
      </c>
      <c r="E52" t="s">
        <v>703</v>
      </c>
      <c r="F52" t="s">
        <v>734</v>
      </c>
      <c r="H52" s="13" t="s">
        <v>742</v>
      </c>
    </row>
    <row r="53" spans="1:8" x14ac:dyDescent="0.25">
      <c r="A53" s="19" t="s">
        <v>694</v>
      </c>
      <c r="B53" t="s">
        <v>245</v>
      </c>
      <c r="C53" t="s">
        <v>703</v>
      </c>
      <c r="D53" t="s">
        <v>703</v>
      </c>
      <c r="E53" t="s">
        <v>245</v>
      </c>
    </row>
    <row r="54" spans="1:8" x14ac:dyDescent="0.25">
      <c r="A54" s="19" t="s">
        <v>695</v>
      </c>
      <c r="B54" t="s">
        <v>245</v>
      </c>
      <c r="C54" t="s">
        <v>245</v>
      </c>
      <c r="D54" t="s">
        <v>703</v>
      </c>
      <c r="E54" t="s">
        <v>703</v>
      </c>
      <c r="F54" t="s">
        <v>752</v>
      </c>
      <c r="H54" s="13" t="s">
        <v>742</v>
      </c>
    </row>
    <row r="55" spans="1:8" x14ac:dyDescent="0.25">
      <c r="A55" s="19" t="s">
        <v>696</v>
      </c>
      <c r="B55" t="s">
        <v>245</v>
      </c>
      <c r="C55" t="s">
        <v>245</v>
      </c>
      <c r="D55" t="s">
        <v>703</v>
      </c>
      <c r="E55" t="s">
        <v>703</v>
      </c>
      <c r="F55" t="s">
        <v>719</v>
      </c>
    </row>
    <row r="56" spans="1:8" x14ac:dyDescent="0.25">
      <c r="A56" s="19" t="s">
        <v>697</v>
      </c>
      <c r="B56" t="s">
        <v>245</v>
      </c>
      <c r="C56" t="s">
        <v>245</v>
      </c>
      <c r="D56" t="s">
        <v>703</v>
      </c>
      <c r="E56" t="s">
        <v>703</v>
      </c>
      <c r="F56" t="s">
        <v>719</v>
      </c>
    </row>
    <row r="57" spans="1:8" x14ac:dyDescent="0.25">
      <c r="A57" s="19" t="s">
        <v>698</v>
      </c>
      <c r="B57" t="s">
        <v>245</v>
      </c>
      <c r="C57" t="s">
        <v>245</v>
      </c>
      <c r="D57" t="s">
        <v>245</v>
      </c>
      <c r="E57" t="s">
        <v>245</v>
      </c>
    </row>
    <row r="58" spans="1:8" x14ac:dyDescent="0.25">
      <c r="A58" s="19" t="s">
        <v>699</v>
      </c>
      <c r="B58" t="s">
        <v>245</v>
      </c>
      <c r="C58" t="s">
        <v>703</v>
      </c>
      <c r="D58" t="s">
        <v>703</v>
      </c>
      <c r="E58" t="s">
        <v>703</v>
      </c>
    </row>
    <row r="60" spans="1:8" x14ac:dyDescent="0.25">
      <c r="A60" s="19" t="s">
        <v>706</v>
      </c>
      <c r="B60" t="s">
        <v>245</v>
      </c>
      <c r="C60" t="s">
        <v>245</v>
      </c>
      <c r="D60" t="s">
        <v>245</v>
      </c>
      <c r="E60" t="s">
        <v>245</v>
      </c>
    </row>
  </sheetData>
  <conditionalFormatting sqref="B2:C2 F6:F8 F12:F14 F17 F23 F36 F41:F42 F50 F55:F56 F25 H25 F27:F29 F44 B3:E56 F52">
    <cfRule type="containsText" dxfId="30" priority="32" operator="containsText" text="No">
      <formula>NOT(ISERROR(SEARCH("No",B2)))</formula>
    </cfRule>
    <cfRule type="containsText" dxfId="29" priority="33" operator="containsText" text="Yes">
      <formula>NOT(ISERROR(SEARCH("Yes",B2)))</formula>
    </cfRule>
  </conditionalFormatting>
  <conditionalFormatting sqref="B57:E63">
    <cfRule type="containsText" dxfId="28" priority="30" operator="containsText" text="No">
      <formula>NOT(ISERROR(SEARCH("No",B57)))</formula>
    </cfRule>
    <cfRule type="containsText" dxfId="27" priority="31" operator="containsText" text="Yes">
      <formula>NOT(ISERROR(SEARCH("Yes",B57)))</formula>
    </cfRule>
  </conditionalFormatting>
  <conditionalFormatting sqref="D2:E2">
    <cfRule type="containsText" dxfId="26" priority="26" operator="containsText" text="No">
      <formula>NOT(ISERROR(SEARCH("No",D2)))</formula>
    </cfRule>
    <cfRule type="containsText" dxfId="25" priority="27" operator="containsText" text="Yes">
      <formula>NOT(ISERROR(SEARCH("Yes",D2)))</formula>
    </cfRule>
  </conditionalFormatting>
  <conditionalFormatting sqref="F12:F14 F17 F23 F36 F41:F42 F50 F55:F56 F25 H25 F27:F29 F44 B2:E58 F52">
    <cfRule type="containsText" dxfId="24" priority="25" operator="containsText" text="Ecoinvent">
      <formula>NOT(ISERROR(SEARCH("Ecoinvent",B2)))</formula>
    </cfRule>
  </conditionalFormatting>
  <conditionalFormatting sqref="H10">
    <cfRule type="containsText" dxfId="23" priority="23" operator="containsText" text="No">
      <formula>NOT(ISERROR(SEARCH("No",H10)))</formula>
    </cfRule>
    <cfRule type="containsText" dxfId="22" priority="24" operator="containsText" text="Yes">
      <formula>NOT(ISERROR(SEARCH("Yes",H10)))</formula>
    </cfRule>
  </conditionalFormatting>
  <conditionalFormatting sqref="H10">
    <cfRule type="containsText" dxfId="21" priority="22" operator="containsText" text="Ecoinvent">
      <formula>NOT(ISERROR(SEARCH("Ecoinvent",H10)))</formula>
    </cfRule>
  </conditionalFormatting>
  <conditionalFormatting sqref="H30">
    <cfRule type="containsText" dxfId="20" priority="20" operator="containsText" text="No">
      <formula>NOT(ISERROR(SEARCH("No",H30)))</formula>
    </cfRule>
    <cfRule type="containsText" dxfId="19" priority="21" operator="containsText" text="Yes">
      <formula>NOT(ISERROR(SEARCH("Yes",H30)))</formula>
    </cfRule>
  </conditionalFormatting>
  <conditionalFormatting sqref="H30">
    <cfRule type="containsText" dxfId="18" priority="19" operator="containsText" text="Ecoinvent">
      <formula>NOT(ISERROR(SEARCH("Ecoinvent",H30)))</formula>
    </cfRule>
  </conditionalFormatting>
  <conditionalFormatting sqref="H27">
    <cfRule type="containsText" dxfId="17" priority="17" operator="containsText" text="No">
      <formula>NOT(ISERROR(SEARCH("No",H27)))</formula>
    </cfRule>
    <cfRule type="containsText" dxfId="16" priority="18" operator="containsText" text="Yes">
      <formula>NOT(ISERROR(SEARCH("Yes",H27)))</formula>
    </cfRule>
  </conditionalFormatting>
  <conditionalFormatting sqref="H27">
    <cfRule type="containsText" dxfId="15" priority="16" operator="containsText" text="Ecoinvent">
      <formula>NOT(ISERROR(SEARCH("Ecoinvent",H27)))</formula>
    </cfRule>
  </conditionalFormatting>
  <conditionalFormatting sqref="H44">
    <cfRule type="containsText" dxfId="14" priority="14" operator="containsText" text="No">
      <formula>NOT(ISERROR(SEARCH("No",H44)))</formula>
    </cfRule>
    <cfRule type="containsText" dxfId="13" priority="15" operator="containsText" text="Yes">
      <formula>NOT(ISERROR(SEARCH("Yes",H44)))</formula>
    </cfRule>
  </conditionalFormatting>
  <conditionalFormatting sqref="H44">
    <cfRule type="containsText" dxfId="12" priority="13" operator="containsText" text="Ecoinvent">
      <formula>NOT(ISERROR(SEARCH("Ecoinvent",H44)))</formula>
    </cfRule>
  </conditionalFormatting>
  <conditionalFormatting sqref="H46">
    <cfRule type="containsText" dxfId="11" priority="11" operator="containsText" text="No">
      <formula>NOT(ISERROR(SEARCH("No",H46)))</formula>
    </cfRule>
    <cfRule type="containsText" dxfId="10" priority="12" operator="containsText" text="Yes">
      <formula>NOT(ISERROR(SEARCH("Yes",H46)))</formula>
    </cfRule>
  </conditionalFormatting>
  <conditionalFormatting sqref="H46">
    <cfRule type="containsText" dxfId="9" priority="10" operator="containsText" text="Ecoinvent">
      <formula>NOT(ISERROR(SEARCH("Ecoinvent",H46)))</formula>
    </cfRule>
  </conditionalFormatting>
  <conditionalFormatting sqref="H52">
    <cfRule type="containsText" dxfId="8" priority="8" operator="containsText" text="No">
      <formula>NOT(ISERROR(SEARCH("No",H52)))</formula>
    </cfRule>
    <cfRule type="containsText" dxfId="7" priority="9" operator="containsText" text="Yes">
      <formula>NOT(ISERROR(SEARCH("Yes",H52)))</formula>
    </cfRule>
  </conditionalFormatting>
  <conditionalFormatting sqref="H52">
    <cfRule type="containsText" dxfId="6" priority="7" operator="containsText" text="Ecoinvent">
      <formula>NOT(ISERROR(SEARCH("Ecoinvent",H52)))</formula>
    </cfRule>
  </conditionalFormatting>
  <conditionalFormatting sqref="F54">
    <cfRule type="containsText" dxfId="5" priority="5" operator="containsText" text="No">
      <formula>NOT(ISERROR(SEARCH("No",F54)))</formula>
    </cfRule>
    <cfRule type="containsText" dxfId="4" priority="6" operator="containsText" text="Yes">
      <formula>NOT(ISERROR(SEARCH("Yes",F54)))</formula>
    </cfRule>
  </conditionalFormatting>
  <conditionalFormatting sqref="F54">
    <cfRule type="containsText" dxfId="3" priority="4" operator="containsText" text="Ecoinvent">
      <formula>NOT(ISERROR(SEARCH("Ecoinvent",F54)))</formula>
    </cfRule>
  </conditionalFormatting>
  <conditionalFormatting sqref="H54">
    <cfRule type="containsText" dxfId="2" priority="2" operator="containsText" text="No">
      <formula>NOT(ISERROR(SEARCH("No",H54)))</formula>
    </cfRule>
    <cfRule type="containsText" dxfId="1" priority="3" operator="containsText" text="Yes">
      <formula>NOT(ISERROR(SEARCH("Yes",H54)))</formula>
    </cfRule>
  </conditionalFormatting>
  <conditionalFormatting sqref="H54">
    <cfRule type="containsText" dxfId="0" priority="1" operator="containsText" text="Ecoinvent">
      <formula>NOT(ISERROR(SEARCH("Ecoinvent",H54)))</formula>
    </cfRule>
  </conditionalFormatting>
  <hyperlinks>
    <hyperlink ref="F3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07"/>
  <sheetViews>
    <sheetView workbookViewId="0">
      <pane ySplit="1" topLeftCell="A2" activePane="bottomLeft" state="frozen"/>
      <selection pane="bottomLeft" activeCell="N529" sqref="A529:N557"/>
    </sheetView>
  </sheetViews>
  <sheetFormatPr defaultRowHeight="15" x14ac:dyDescent="0.25"/>
  <cols>
    <col min="1" max="1" width="44.85546875" bestFit="1" customWidth="1"/>
    <col min="2" max="2" width="10.140625" customWidth="1"/>
    <col min="3" max="12" width="11.5703125" customWidth="1"/>
    <col min="13" max="13" width="17" customWidth="1"/>
    <col min="14" max="14" width="18.140625" style="4" customWidth="1"/>
  </cols>
  <sheetData>
    <row r="1" spans="1:14" x14ac:dyDescent="0.25">
      <c r="A1" s="1" t="s">
        <v>0</v>
      </c>
      <c r="B1" s="1" t="s">
        <v>1</v>
      </c>
      <c r="C1" s="1" t="s">
        <v>2</v>
      </c>
      <c r="D1" s="1" t="s">
        <v>3</v>
      </c>
      <c r="E1" s="1" t="s">
        <v>4</v>
      </c>
      <c r="F1" s="1" t="s">
        <v>5</v>
      </c>
      <c r="G1" s="1" t="s">
        <v>6</v>
      </c>
      <c r="H1" s="1" t="s">
        <v>7</v>
      </c>
      <c r="I1" s="1" t="s">
        <v>8</v>
      </c>
      <c r="J1" s="1" t="s">
        <v>9</v>
      </c>
      <c r="K1" s="1" t="s">
        <v>10</v>
      </c>
      <c r="L1" s="1" t="s">
        <v>11</v>
      </c>
      <c r="M1" s="1" t="s">
        <v>12</v>
      </c>
      <c r="N1" s="3" t="s">
        <v>13</v>
      </c>
    </row>
    <row r="2" spans="1:14" hidden="1" x14ac:dyDescent="0.25">
      <c r="A2" t="s">
        <v>82</v>
      </c>
      <c r="B2" t="s">
        <v>183</v>
      </c>
      <c r="C2">
        <v>8090</v>
      </c>
      <c r="D2">
        <v>7000</v>
      </c>
      <c r="E2">
        <v>6976</v>
      </c>
      <c r="F2">
        <v>7086</v>
      </c>
      <c r="G2">
        <v>3101</v>
      </c>
      <c r="H2">
        <v>1472</v>
      </c>
      <c r="I2">
        <v>2045</v>
      </c>
      <c r="J2">
        <v>543</v>
      </c>
      <c r="K2">
        <v>0</v>
      </c>
      <c r="L2">
        <v>0</v>
      </c>
      <c r="M2">
        <v>4060</v>
      </c>
      <c r="N2" s="2">
        <v>5.9552410536364508E-5</v>
      </c>
    </row>
    <row r="3" spans="1:14" hidden="1" x14ac:dyDescent="0.25">
      <c r="A3" t="s">
        <v>82</v>
      </c>
      <c r="B3" t="s">
        <v>83</v>
      </c>
      <c r="C3">
        <v>498259</v>
      </c>
      <c r="D3">
        <v>498291</v>
      </c>
      <c r="E3">
        <v>481573</v>
      </c>
      <c r="F3">
        <v>489030</v>
      </c>
      <c r="G3">
        <v>464176</v>
      </c>
      <c r="H3">
        <v>462095</v>
      </c>
      <c r="I3">
        <v>489967</v>
      </c>
      <c r="J3">
        <v>435977</v>
      </c>
      <c r="K3">
        <v>447250</v>
      </c>
      <c r="L3">
        <v>461601</v>
      </c>
      <c r="M3">
        <v>2296890</v>
      </c>
      <c r="N3" s="2">
        <v>3.3690969516470513E-2</v>
      </c>
    </row>
    <row r="4" spans="1:14" hidden="1" x14ac:dyDescent="0.25">
      <c r="A4" t="s">
        <v>82</v>
      </c>
      <c r="B4" t="s">
        <v>163</v>
      </c>
      <c r="C4">
        <v>250000</v>
      </c>
      <c r="D4">
        <v>252000</v>
      </c>
      <c r="E4">
        <v>262000</v>
      </c>
      <c r="F4">
        <v>260000</v>
      </c>
      <c r="G4">
        <v>236000</v>
      </c>
      <c r="H4">
        <v>249000</v>
      </c>
      <c r="I4">
        <v>275000</v>
      </c>
      <c r="J4">
        <v>271200</v>
      </c>
      <c r="K4">
        <v>270000</v>
      </c>
      <c r="L4">
        <v>267086</v>
      </c>
      <c r="M4">
        <v>1332286</v>
      </c>
      <c r="N4" s="2">
        <v>1.9542079513263779E-2</v>
      </c>
    </row>
    <row r="5" spans="1:14" hidden="1" x14ac:dyDescent="0.25">
      <c r="A5" t="s">
        <v>82</v>
      </c>
      <c r="B5" t="s">
        <v>85</v>
      </c>
      <c r="C5">
        <v>245526</v>
      </c>
      <c r="D5">
        <v>245417</v>
      </c>
      <c r="E5">
        <v>246120</v>
      </c>
      <c r="F5">
        <v>270715</v>
      </c>
      <c r="G5">
        <v>284457</v>
      </c>
      <c r="H5">
        <v>245200</v>
      </c>
      <c r="I5">
        <v>251000</v>
      </c>
      <c r="J5">
        <v>241900</v>
      </c>
      <c r="K5">
        <v>247000</v>
      </c>
      <c r="L5">
        <v>240000</v>
      </c>
      <c r="M5">
        <v>1225100</v>
      </c>
      <c r="N5" s="2">
        <v>1.7969866538940921E-2</v>
      </c>
    </row>
    <row r="6" spans="1:14" hidden="1" x14ac:dyDescent="0.25">
      <c r="A6" t="s">
        <v>82</v>
      </c>
      <c r="B6" t="s">
        <v>147</v>
      </c>
      <c r="C6">
        <v>73100</v>
      </c>
      <c r="D6">
        <v>69600</v>
      </c>
      <c r="E6">
        <v>76293</v>
      </c>
      <c r="F6">
        <v>75095</v>
      </c>
      <c r="G6">
        <v>75811</v>
      </c>
      <c r="H6">
        <v>73715</v>
      </c>
      <c r="I6">
        <v>75150</v>
      </c>
      <c r="J6">
        <v>73512</v>
      </c>
      <c r="K6">
        <v>74500</v>
      </c>
      <c r="L6">
        <v>74500</v>
      </c>
      <c r="M6">
        <v>371377</v>
      </c>
      <c r="N6" s="2">
        <v>5.4473880708776953E-3</v>
      </c>
    </row>
    <row r="7" spans="1:14" hidden="1" x14ac:dyDescent="0.25">
      <c r="A7" t="s">
        <v>82</v>
      </c>
      <c r="B7" t="s">
        <v>116</v>
      </c>
      <c r="C7">
        <v>648619</v>
      </c>
      <c r="D7">
        <v>651638</v>
      </c>
      <c r="E7">
        <v>649217</v>
      </c>
      <c r="F7">
        <v>683118</v>
      </c>
      <c r="G7">
        <v>691389</v>
      </c>
      <c r="H7">
        <v>598438</v>
      </c>
      <c r="I7">
        <v>620202</v>
      </c>
      <c r="J7">
        <v>653194</v>
      </c>
      <c r="K7">
        <v>678558</v>
      </c>
      <c r="L7">
        <v>640718</v>
      </c>
      <c r="M7">
        <v>3191110</v>
      </c>
      <c r="N7" s="2">
        <v>4.6807461277511862E-2</v>
      </c>
    </row>
    <row r="8" spans="1:14" hidden="1" x14ac:dyDescent="0.25">
      <c r="A8" t="s">
        <v>82</v>
      </c>
      <c r="B8" t="s">
        <v>86</v>
      </c>
      <c r="C8">
        <v>4881200</v>
      </c>
      <c r="D8">
        <v>5279600</v>
      </c>
      <c r="E8">
        <v>5806970</v>
      </c>
      <c r="F8">
        <v>6115928</v>
      </c>
      <c r="G8">
        <v>6195962</v>
      </c>
      <c r="H8">
        <v>6143900</v>
      </c>
      <c r="I8">
        <v>5607103</v>
      </c>
      <c r="J8">
        <v>6236423</v>
      </c>
      <c r="K8">
        <v>6424876</v>
      </c>
      <c r="L8">
        <v>6561000</v>
      </c>
      <c r="M8">
        <v>30973302</v>
      </c>
      <c r="N8" s="2">
        <v>0.45431891536226598</v>
      </c>
    </row>
    <row r="9" spans="1:14" hidden="1" x14ac:dyDescent="0.25">
      <c r="A9" t="s">
        <v>82</v>
      </c>
      <c r="B9" t="s">
        <v>154</v>
      </c>
      <c r="C9">
        <v>314742</v>
      </c>
      <c r="D9">
        <v>311686</v>
      </c>
      <c r="E9">
        <v>302024</v>
      </c>
      <c r="F9">
        <v>305717</v>
      </c>
      <c r="G9">
        <v>290599</v>
      </c>
      <c r="H9">
        <v>284992</v>
      </c>
      <c r="I9">
        <v>295029</v>
      </c>
      <c r="J9">
        <v>290844</v>
      </c>
      <c r="K9">
        <v>297257</v>
      </c>
      <c r="L9">
        <v>292648</v>
      </c>
      <c r="M9">
        <v>1460770</v>
      </c>
      <c r="N9" s="2">
        <v>2.1426693285518519E-2</v>
      </c>
    </row>
    <row r="10" spans="1:14" hidden="1" x14ac:dyDescent="0.25">
      <c r="A10" t="s">
        <v>82</v>
      </c>
      <c r="B10" t="s">
        <v>91</v>
      </c>
      <c r="C10">
        <v>161000</v>
      </c>
      <c r="D10">
        <v>152000</v>
      </c>
      <c r="E10">
        <v>171000</v>
      </c>
      <c r="F10">
        <v>169000</v>
      </c>
      <c r="G10">
        <v>149000</v>
      </c>
      <c r="H10">
        <v>166000</v>
      </c>
      <c r="I10">
        <v>155000</v>
      </c>
      <c r="J10">
        <v>142000</v>
      </c>
      <c r="K10">
        <v>166000</v>
      </c>
      <c r="L10">
        <v>165000</v>
      </c>
      <c r="M10">
        <v>794000</v>
      </c>
      <c r="N10" s="2">
        <v>1.164645664184074E-2</v>
      </c>
    </row>
    <row r="11" spans="1:14" hidden="1" x14ac:dyDescent="0.25">
      <c r="A11" t="s">
        <v>82</v>
      </c>
      <c r="B11" t="s">
        <v>117</v>
      </c>
      <c r="C11">
        <v>169000</v>
      </c>
      <c r="D11">
        <v>162000</v>
      </c>
      <c r="E11">
        <v>168000</v>
      </c>
      <c r="F11">
        <v>173000</v>
      </c>
      <c r="G11">
        <v>168000</v>
      </c>
      <c r="H11">
        <v>174000</v>
      </c>
      <c r="I11">
        <v>180000</v>
      </c>
      <c r="J11">
        <v>182000</v>
      </c>
      <c r="K11">
        <v>175000</v>
      </c>
      <c r="L11">
        <v>160000</v>
      </c>
      <c r="M11">
        <v>871000</v>
      </c>
      <c r="N11" s="2">
        <v>1.2775898910633861E-2</v>
      </c>
    </row>
    <row r="12" spans="1:14" hidden="1" x14ac:dyDescent="0.25">
      <c r="A12" t="s">
        <v>82</v>
      </c>
      <c r="B12" t="s">
        <v>97</v>
      </c>
      <c r="C12">
        <v>704228</v>
      </c>
      <c r="D12">
        <v>767994</v>
      </c>
      <c r="E12">
        <v>732792</v>
      </c>
      <c r="F12">
        <v>758944</v>
      </c>
      <c r="G12">
        <v>672010</v>
      </c>
      <c r="H12">
        <v>791461</v>
      </c>
      <c r="I12">
        <v>696283</v>
      </c>
      <c r="J12">
        <v>688282</v>
      </c>
      <c r="K12">
        <v>715445</v>
      </c>
      <c r="L12">
        <v>704650</v>
      </c>
      <c r="M12">
        <v>3596121</v>
      </c>
      <c r="N12" s="2">
        <v>5.2748195598630962E-2</v>
      </c>
    </row>
    <row r="13" spans="1:14" hidden="1" x14ac:dyDescent="0.25">
      <c r="A13" t="s">
        <v>82</v>
      </c>
      <c r="B13" t="s">
        <v>99</v>
      </c>
      <c r="C13">
        <v>148000</v>
      </c>
      <c r="D13">
        <v>140000</v>
      </c>
      <c r="E13">
        <v>145000</v>
      </c>
      <c r="F13">
        <v>138000</v>
      </c>
      <c r="G13">
        <v>135000</v>
      </c>
      <c r="H13">
        <v>140000</v>
      </c>
      <c r="I13">
        <v>130000</v>
      </c>
      <c r="J13">
        <v>144000</v>
      </c>
      <c r="K13">
        <v>135000</v>
      </c>
      <c r="L13">
        <v>140000</v>
      </c>
      <c r="M13">
        <v>689000</v>
      </c>
      <c r="N13" s="2">
        <v>1.0106308093486491E-2</v>
      </c>
    </row>
    <row r="14" spans="1:14" hidden="1" x14ac:dyDescent="0.25">
      <c r="A14" t="s">
        <v>82</v>
      </c>
      <c r="B14" t="s">
        <v>182</v>
      </c>
      <c r="C14">
        <v>97200</v>
      </c>
      <c r="D14">
        <v>111000</v>
      </c>
      <c r="E14">
        <v>138100</v>
      </c>
      <c r="F14">
        <v>140200</v>
      </c>
      <c r="G14">
        <v>139500</v>
      </c>
      <c r="H14">
        <v>128800</v>
      </c>
      <c r="I14">
        <v>131600</v>
      </c>
      <c r="J14">
        <v>132900</v>
      </c>
      <c r="K14">
        <v>126100</v>
      </c>
      <c r="L14">
        <v>179800</v>
      </c>
      <c r="M14">
        <v>699200</v>
      </c>
      <c r="N14" s="2">
        <v>1.0255922523898051E-2</v>
      </c>
    </row>
    <row r="15" spans="1:14" hidden="1" x14ac:dyDescent="0.25">
      <c r="A15" t="s">
        <v>82</v>
      </c>
      <c r="B15" t="s">
        <v>119</v>
      </c>
      <c r="C15">
        <v>571312</v>
      </c>
      <c r="D15">
        <v>587291</v>
      </c>
      <c r="E15">
        <v>583021</v>
      </c>
      <c r="F15">
        <v>566619</v>
      </c>
      <c r="G15">
        <v>533689</v>
      </c>
      <c r="H15">
        <v>523919</v>
      </c>
      <c r="I15">
        <v>521110</v>
      </c>
      <c r="J15">
        <v>526717</v>
      </c>
      <c r="K15">
        <v>501146</v>
      </c>
      <c r="L15">
        <v>517221</v>
      </c>
      <c r="M15">
        <v>2590113</v>
      </c>
      <c r="N15" s="2">
        <v>3.7991988352604603E-2</v>
      </c>
    </row>
    <row r="16" spans="1:14" hidden="1" x14ac:dyDescent="0.25">
      <c r="A16" t="s">
        <v>82</v>
      </c>
      <c r="B16" t="s">
        <v>102</v>
      </c>
      <c r="C16">
        <v>319847</v>
      </c>
      <c r="D16">
        <v>320150</v>
      </c>
      <c r="E16">
        <v>324946</v>
      </c>
      <c r="F16">
        <v>323848</v>
      </c>
      <c r="G16">
        <v>325820</v>
      </c>
      <c r="H16">
        <v>331018</v>
      </c>
      <c r="I16">
        <v>317965</v>
      </c>
      <c r="J16">
        <v>318399</v>
      </c>
      <c r="K16">
        <v>311322</v>
      </c>
      <c r="L16">
        <v>300886</v>
      </c>
      <c r="M16">
        <v>1579590</v>
      </c>
      <c r="N16" s="2">
        <v>2.3169554718999018E-2</v>
      </c>
    </row>
    <row r="17" spans="1:14" hidden="1" x14ac:dyDescent="0.25">
      <c r="A17" t="s">
        <v>82</v>
      </c>
      <c r="B17" t="s">
        <v>148</v>
      </c>
      <c r="C17">
        <v>881100</v>
      </c>
      <c r="D17">
        <v>886000</v>
      </c>
      <c r="E17">
        <v>901000</v>
      </c>
      <c r="F17">
        <v>940195</v>
      </c>
      <c r="G17">
        <v>1009116</v>
      </c>
      <c r="H17">
        <v>961904</v>
      </c>
      <c r="I17">
        <v>1008957</v>
      </c>
      <c r="J17">
        <v>973000</v>
      </c>
      <c r="K17">
        <v>994047</v>
      </c>
      <c r="L17">
        <v>960000</v>
      </c>
      <c r="M17">
        <v>4897908</v>
      </c>
      <c r="N17" s="2">
        <v>7.1842913296882763E-2</v>
      </c>
    </row>
    <row r="18" spans="1:14" hidden="1" x14ac:dyDescent="0.25">
      <c r="A18" t="s">
        <v>82</v>
      </c>
      <c r="B18" t="s">
        <v>149</v>
      </c>
      <c r="C18">
        <v>32000</v>
      </c>
      <c r="D18">
        <v>32000</v>
      </c>
      <c r="E18">
        <v>27000</v>
      </c>
      <c r="F18">
        <v>15000</v>
      </c>
      <c r="G18">
        <v>15000</v>
      </c>
      <c r="H18">
        <v>15000</v>
      </c>
      <c r="I18">
        <v>15000</v>
      </c>
      <c r="J18">
        <v>15000</v>
      </c>
      <c r="K18">
        <v>15000</v>
      </c>
      <c r="L18">
        <v>15000</v>
      </c>
      <c r="M18">
        <v>75000</v>
      </c>
      <c r="N18" s="2">
        <v>1.100106105967325E-3</v>
      </c>
    </row>
    <row r="19" spans="1:14" hidden="1" x14ac:dyDescent="0.25">
      <c r="A19" t="s">
        <v>82</v>
      </c>
      <c r="B19" t="s">
        <v>150</v>
      </c>
      <c r="C19">
        <v>323569</v>
      </c>
      <c r="D19">
        <v>322781</v>
      </c>
      <c r="E19">
        <v>320923</v>
      </c>
      <c r="F19">
        <v>326642</v>
      </c>
      <c r="G19">
        <v>321159</v>
      </c>
      <c r="H19">
        <v>327003</v>
      </c>
      <c r="I19">
        <v>336378</v>
      </c>
      <c r="J19">
        <v>388588</v>
      </c>
      <c r="K19">
        <v>363383</v>
      </c>
      <c r="L19">
        <v>357038</v>
      </c>
      <c r="M19">
        <v>1772390</v>
      </c>
      <c r="N19" s="2">
        <v>2.599756081540569E-2</v>
      </c>
    </row>
    <row r="20" spans="1:14" hidden="1" x14ac:dyDescent="0.25">
      <c r="A20" t="s">
        <v>82</v>
      </c>
      <c r="B20" t="s">
        <v>175</v>
      </c>
      <c r="C20">
        <v>145639</v>
      </c>
      <c r="D20">
        <v>128291</v>
      </c>
      <c r="E20">
        <v>118665</v>
      </c>
      <c r="F20">
        <v>71818</v>
      </c>
      <c r="G20">
        <v>90739</v>
      </c>
      <c r="H20">
        <v>83768</v>
      </c>
      <c r="I20">
        <v>67122</v>
      </c>
      <c r="J20">
        <v>64985</v>
      </c>
      <c r="K20">
        <v>16206</v>
      </c>
      <c r="L20">
        <v>0</v>
      </c>
      <c r="M20">
        <v>232081</v>
      </c>
      <c r="N20" s="2">
        <v>3.4041830023867018E-3</v>
      </c>
    </row>
    <row r="21" spans="1:14" hidden="1" x14ac:dyDescent="0.25">
      <c r="A21" t="s">
        <v>82</v>
      </c>
      <c r="B21" t="s">
        <v>130</v>
      </c>
      <c r="C21">
        <v>257000</v>
      </c>
      <c r="D21">
        <v>275000</v>
      </c>
      <c r="E21">
        <v>290000</v>
      </c>
      <c r="F21">
        <v>291000</v>
      </c>
      <c r="G21">
        <v>283000</v>
      </c>
      <c r="H21">
        <v>248000</v>
      </c>
      <c r="I21">
        <v>268000</v>
      </c>
      <c r="J21">
        <v>240000</v>
      </c>
      <c r="K21">
        <v>250000</v>
      </c>
      <c r="L21">
        <v>260000</v>
      </c>
      <c r="M21">
        <v>1266000</v>
      </c>
      <c r="N21" s="2">
        <v>1.8569791068728438E-2</v>
      </c>
    </row>
    <row r="22" spans="1:14" hidden="1" x14ac:dyDescent="0.25">
      <c r="A22" t="s">
        <v>82</v>
      </c>
      <c r="B22" t="s">
        <v>132</v>
      </c>
      <c r="C22">
        <v>152647</v>
      </c>
      <c r="D22">
        <v>143444</v>
      </c>
      <c r="E22">
        <v>165600</v>
      </c>
      <c r="F22">
        <v>162878</v>
      </c>
      <c r="G22">
        <v>170541</v>
      </c>
      <c r="H22">
        <v>172086</v>
      </c>
      <c r="I22">
        <v>190570</v>
      </c>
      <c r="J22">
        <v>195374</v>
      </c>
      <c r="K22">
        <v>191576</v>
      </c>
      <c r="L22">
        <v>180323</v>
      </c>
      <c r="M22">
        <v>929929</v>
      </c>
      <c r="N22" s="2">
        <v>1.364027428021451E-2</v>
      </c>
    </row>
    <row r="23" spans="1:14" hidden="1" x14ac:dyDescent="0.25">
      <c r="A23" t="s">
        <v>82</v>
      </c>
      <c r="B23" t="s">
        <v>146</v>
      </c>
      <c r="C23">
        <v>319280</v>
      </c>
      <c r="D23">
        <v>346400</v>
      </c>
      <c r="E23">
        <v>336500</v>
      </c>
      <c r="F23">
        <v>335422</v>
      </c>
      <c r="G23">
        <v>341518</v>
      </c>
      <c r="H23">
        <v>312339</v>
      </c>
      <c r="I23">
        <v>333677</v>
      </c>
      <c r="J23">
        <v>356925</v>
      </c>
      <c r="K23">
        <v>318619</v>
      </c>
      <c r="L23">
        <v>320000</v>
      </c>
      <c r="M23">
        <v>1641560</v>
      </c>
      <c r="N23" s="2">
        <v>2.4078535724156289E-2</v>
      </c>
    </row>
    <row r="24" spans="1:14" hidden="1" x14ac:dyDescent="0.25">
      <c r="A24" t="s">
        <v>82</v>
      </c>
      <c r="B24" t="s">
        <v>151</v>
      </c>
      <c r="C24">
        <v>138300</v>
      </c>
      <c r="D24">
        <v>146300</v>
      </c>
      <c r="E24">
        <v>154000</v>
      </c>
      <c r="F24">
        <v>161500</v>
      </c>
      <c r="G24">
        <v>161200</v>
      </c>
      <c r="H24">
        <v>162247</v>
      </c>
      <c r="I24">
        <v>159739</v>
      </c>
      <c r="J24">
        <v>159436</v>
      </c>
      <c r="K24">
        <v>160300</v>
      </c>
      <c r="L24">
        <v>164700</v>
      </c>
      <c r="M24">
        <v>806422</v>
      </c>
      <c r="N24" s="2">
        <v>1.182866354915176E-2</v>
      </c>
    </row>
    <row r="25" spans="1:14" hidden="1" x14ac:dyDescent="0.25">
      <c r="A25" t="s">
        <v>82</v>
      </c>
      <c r="B25" t="s">
        <v>107</v>
      </c>
      <c r="C25">
        <v>250000</v>
      </c>
      <c r="D25">
        <v>216000</v>
      </c>
      <c r="E25">
        <v>223000</v>
      </c>
      <c r="F25">
        <v>229600</v>
      </c>
      <c r="G25">
        <v>247300</v>
      </c>
      <c r="H25">
        <v>256700</v>
      </c>
      <c r="I25">
        <v>254600</v>
      </c>
      <c r="J25">
        <v>206700</v>
      </c>
      <c r="K25">
        <v>211800</v>
      </c>
      <c r="L25">
        <v>200000</v>
      </c>
      <c r="M25">
        <v>1129800</v>
      </c>
      <c r="N25" s="2">
        <v>1.6571998380291782E-2</v>
      </c>
    </row>
    <row r="26" spans="1:14" hidden="1" x14ac:dyDescent="0.25">
      <c r="A26" t="s">
        <v>82</v>
      </c>
      <c r="B26" t="s">
        <v>121</v>
      </c>
      <c r="C26">
        <v>483000</v>
      </c>
      <c r="D26">
        <v>481000</v>
      </c>
      <c r="E26">
        <v>498000</v>
      </c>
      <c r="F26">
        <v>498000</v>
      </c>
      <c r="G26">
        <v>500000</v>
      </c>
      <c r="H26">
        <v>507000</v>
      </c>
      <c r="I26">
        <v>511000</v>
      </c>
      <c r="J26">
        <v>507900</v>
      </c>
      <c r="K26">
        <v>504100</v>
      </c>
      <c r="L26">
        <v>505000</v>
      </c>
      <c r="M26">
        <v>2535000</v>
      </c>
      <c r="N26" s="2">
        <v>3.7183586381695583E-2</v>
      </c>
    </row>
    <row r="27" spans="1:14" hidden="1" x14ac:dyDescent="0.25">
      <c r="A27" t="s">
        <v>82</v>
      </c>
      <c r="B27" t="s">
        <v>215</v>
      </c>
      <c r="C27">
        <v>101263</v>
      </c>
      <c r="D27">
        <v>76576</v>
      </c>
      <c r="E27">
        <v>65694</v>
      </c>
      <c r="F27">
        <v>74121</v>
      </c>
      <c r="G27">
        <v>72813</v>
      </c>
      <c r="H27">
        <v>30018</v>
      </c>
      <c r="I27">
        <v>0</v>
      </c>
      <c r="J27">
        <v>0</v>
      </c>
      <c r="K27">
        <v>0</v>
      </c>
      <c r="L27">
        <v>0</v>
      </c>
      <c r="M27">
        <v>30018</v>
      </c>
      <c r="N27" s="2">
        <v>4.40306467852362E-4</v>
      </c>
    </row>
    <row r="28" spans="1:14" hidden="1" x14ac:dyDescent="0.25">
      <c r="A28" t="s">
        <v>82</v>
      </c>
      <c r="B28" t="s">
        <v>113</v>
      </c>
      <c r="C28">
        <v>261400</v>
      </c>
      <c r="D28">
        <v>233100</v>
      </c>
      <c r="E28">
        <v>180000</v>
      </c>
      <c r="F28">
        <v>172300</v>
      </c>
      <c r="G28">
        <v>126000</v>
      </c>
      <c r="H28">
        <v>132000</v>
      </c>
      <c r="I28">
        <v>116000</v>
      </c>
      <c r="J28">
        <v>115000</v>
      </c>
      <c r="K28">
        <v>180000</v>
      </c>
      <c r="L28">
        <v>220000</v>
      </c>
      <c r="M28">
        <v>763000</v>
      </c>
      <c r="N28" s="2">
        <v>1.119174611804092E-2</v>
      </c>
    </row>
    <row r="29" spans="1:14" hidden="1" x14ac:dyDescent="0.25">
      <c r="A29" t="s">
        <v>82</v>
      </c>
      <c r="B29" t="s">
        <v>180</v>
      </c>
      <c r="C29">
        <v>61100</v>
      </c>
      <c r="D29">
        <v>52000</v>
      </c>
      <c r="E29">
        <v>72000</v>
      </c>
      <c r="F29">
        <v>55000</v>
      </c>
      <c r="G29">
        <v>68000</v>
      </c>
      <c r="H29">
        <v>70000</v>
      </c>
      <c r="I29">
        <v>70458</v>
      </c>
      <c r="J29">
        <v>67844</v>
      </c>
      <c r="K29">
        <v>72993</v>
      </c>
      <c r="L29">
        <v>90020</v>
      </c>
      <c r="M29">
        <v>371315</v>
      </c>
      <c r="N29" s="2">
        <v>5.4464786498300954E-3</v>
      </c>
    </row>
    <row r="30" spans="1:14" hidden="1" x14ac:dyDescent="0.25">
      <c r="A30" t="s">
        <v>82</v>
      </c>
      <c r="B30" t="s">
        <v>115</v>
      </c>
      <c r="C30">
        <v>18000</v>
      </c>
      <c r="D30">
        <v>12000</v>
      </c>
      <c r="E30">
        <v>10800</v>
      </c>
      <c r="F30">
        <v>10500</v>
      </c>
      <c r="G30">
        <v>10800</v>
      </c>
      <c r="H30">
        <v>10900</v>
      </c>
      <c r="I30">
        <v>10000</v>
      </c>
      <c r="J30">
        <v>10000</v>
      </c>
      <c r="K30">
        <v>10000</v>
      </c>
      <c r="L30">
        <v>10000</v>
      </c>
      <c r="M30">
        <v>50900</v>
      </c>
      <c r="N30" s="2">
        <v>7.46605343916491E-4</v>
      </c>
    </row>
    <row r="31" spans="1:14" hidden="1" x14ac:dyDescent="0.25">
      <c r="A31" t="s">
        <v>81</v>
      </c>
      <c r="B31" t="s">
        <v>183</v>
      </c>
      <c r="D31">
        <v>0</v>
      </c>
      <c r="E31">
        <v>0</v>
      </c>
      <c r="F31">
        <v>50</v>
      </c>
      <c r="G31">
        <v>314</v>
      </c>
      <c r="H31">
        <v>500</v>
      </c>
      <c r="I31">
        <v>500</v>
      </c>
      <c r="J31">
        <v>1000</v>
      </c>
      <c r="K31">
        <v>1600</v>
      </c>
      <c r="L31">
        <v>500</v>
      </c>
      <c r="M31">
        <v>4100</v>
      </c>
      <c r="N31" s="2">
        <v>6.5215044461788111E-5</v>
      </c>
    </row>
    <row r="32" spans="1:14" hidden="1" x14ac:dyDescent="0.25">
      <c r="A32" t="s">
        <v>81</v>
      </c>
      <c r="B32" t="s">
        <v>124</v>
      </c>
      <c r="C32">
        <v>42000</v>
      </c>
      <c r="D32">
        <v>47650</v>
      </c>
      <c r="E32">
        <v>47981</v>
      </c>
      <c r="F32">
        <v>33787</v>
      </c>
      <c r="G32">
        <v>26680</v>
      </c>
      <c r="H32">
        <v>23392</v>
      </c>
      <c r="I32">
        <v>22050</v>
      </c>
      <c r="J32">
        <v>16407</v>
      </c>
      <c r="K32">
        <v>8569</v>
      </c>
      <c r="L32">
        <v>6187</v>
      </c>
      <c r="M32">
        <v>76605</v>
      </c>
      <c r="N32" s="2">
        <v>1.2184874343890921E-3</v>
      </c>
    </row>
    <row r="33" spans="1:14" hidden="1" x14ac:dyDescent="0.25">
      <c r="A33" t="s">
        <v>81</v>
      </c>
      <c r="B33" t="s">
        <v>164</v>
      </c>
      <c r="C33">
        <v>9729</v>
      </c>
      <c r="D33">
        <v>9570</v>
      </c>
      <c r="E33">
        <v>8825</v>
      </c>
      <c r="F33">
        <v>6791</v>
      </c>
      <c r="G33">
        <v>4735</v>
      </c>
      <c r="H33">
        <v>5784</v>
      </c>
      <c r="I33">
        <v>6497</v>
      </c>
      <c r="J33">
        <v>6743</v>
      </c>
      <c r="K33">
        <v>7758</v>
      </c>
      <c r="L33">
        <v>6373</v>
      </c>
      <c r="M33">
        <v>33155</v>
      </c>
      <c r="N33" s="2">
        <v>5.273670241781914E-4</v>
      </c>
    </row>
    <row r="34" spans="1:14" hidden="1" x14ac:dyDescent="0.25">
      <c r="A34" t="s">
        <v>81</v>
      </c>
      <c r="B34" t="s">
        <v>83</v>
      </c>
      <c r="C34">
        <v>1536109</v>
      </c>
      <c r="D34">
        <v>1510738</v>
      </c>
      <c r="E34">
        <v>1505968</v>
      </c>
      <c r="F34">
        <v>1610004</v>
      </c>
      <c r="G34">
        <v>884826</v>
      </c>
      <c r="H34">
        <v>852164</v>
      </c>
      <c r="I34">
        <v>1146781</v>
      </c>
      <c r="J34">
        <v>1337321</v>
      </c>
      <c r="K34">
        <v>1314910</v>
      </c>
      <c r="L34">
        <v>1315160</v>
      </c>
      <c r="M34">
        <v>5966336</v>
      </c>
      <c r="N34" s="2">
        <v>9.4901187198528539E-2</v>
      </c>
    </row>
    <row r="35" spans="1:14" hidden="1" x14ac:dyDescent="0.25">
      <c r="A35" t="s">
        <v>81</v>
      </c>
      <c r="B35" t="s">
        <v>144</v>
      </c>
      <c r="C35">
        <v>389911</v>
      </c>
      <c r="D35">
        <v>407332</v>
      </c>
      <c r="E35">
        <v>450542</v>
      </c>
      <c r="F35">
        <v>443172</v>
      </c>
      <c r="G35">
        <v>489293</v>
      </c>
      <c r="H35">
        <v>527206</v>
      </c>
      <c r="I35">
        <v>519630</v>
      </c>
      <c r="J35">
        <v>527521</v>
      </c>
      <c r="K35">
        <v>358411</v>
      </c>
      <c r="L35">
        <v>499257</v>
      </c>
      <c r="M35">
        <v>2432025</v>
      </c>
      <c r="N35" s="2">
        <v>3.8684053294434202E-2</v>
      </c>
    </row>
    <row r="36" spans="1:14" hidden="1" x14ac:dyDescent="0.25">
      <c r="A36" t="s">
        <v>81</v>
      </c>
      <c r="B36" t="s">
        <v>84</v>
      </c>
      <c r="C36">
        <v>7600</v>
      </c>
      <c r="D36">
        <v>9102</v>
      </c>
      <c r="E36">
        <v>7837</v>
      </c>
      <c r="F36">
        <v>8946</v>
      </c>
      <c r="G36">
        <v>9670</v>
      </c>
      <c r="H36">
        <v>10235</v>
      </c>
      <c r="I36">
        <v>10603</v>
      </c>
      <c r="J36">
        <v>6440</v>
      </c>
      <c r="K36">
        <v>4849</v>
      </c>
      <c r="L36">
        <v>5309</v>
      </c>
      <c r="M36">
        <v>37436</v>
      </c>
      <c r="N36" s="2">
        <v>5.9546107426134136E-4</v>
      </c>
    </row>
    <row r="37" spans="1:14" hidden="1" x14ac:dyDescent="0.25">
      <c r="A37" t="s">
        <v>81</v>
      </c>
      <c r="B37" t="s">
        <v>85</v>
      </c>
      <c r="C37">
        <v>164258</v>
      </c>
      <c r="D37">
        <v>152147</v>
      </c>
      <c r="E37">
        <v>169766</v>
      </c>
      <c r="F37">
        <v>157000</v>
      </c>
      <c r="G37">
        <v>158200</v>
      </c>
      <c r="H37">
        <v>156500</v>
      </c>
      <c r="I37">
        <v>169800</v>
      </c>
      <c r="J37">
        <v>163400</v>
      </c>
      <c r="K37">
        <v>174500</v>
      </c>
      <c r="L37">
        <v>159900</v>
      </c>
      <c r="M37">
        <v>824100</v>
      </c>
      <c r="N37" s="2">
        <v>1.3108223936819411E-2</v>
      </c>
    </row>
    <row r="38" spans="1:14" hidden="1" x14ac:dyDescent="0.25">
      <c r="A38" t="s">
        <v>81</v>
      </c>
      <c r="B38" t="s">
        <v>147</v>
      </c>
      <c r="C38">
        <v>12116</v>
      </c>
      <c r="D38">
        <v>13902</v>
      </c>
      <c r="E38">
        <v>11872</v>
      </c>
      <c r="F38">
        <v>10783</v>
      </c>
      <c r="G38">
        <v>11415</v>
      </c>
      <c r="H38">
        <v>10886</v>
      </c>
      <c r="I38">
        <v>11367</v>
      </c>
      <c r="J38">
        <v>14570</v>
      </c>
      <c r="K38">
        <v>14700</v>
      </c>
      <c r="L38">
        <v>21600</v>
      </c>
      <c r="M38">
        <v>73123</v>
      </c>
      <c r="N38" s="2">
        <v>1.1631023649217879E-3</v>
      </c>
    </row>
    <row r="39" spans="1:14" hidden="1" x14ac:dyDescent="0.25">
      <c r="A39" t="s">
        <v>81</v>
      </c>
      <c r="B39" t="s">
        <v>186</v>
      </c>
      <c r="C39">
        <v>0</v>
      </c>
      <c r="D39">
        <v>32215</v>
      </c>
      <c r="E39">
        <v>64976</v>
      </c>
      <c r="F39">
        <v>68804</v>
      </c>
      <c r="G39">
        <v>81422</v>
      </c>
      <c r="H39">
        <v>92731</v>
      </c>
      <c r="I39">
        <v>99162</v>
      </c>
      <c r="J39">
        <v>95611</v>
      </c>
      <c r="K39">
        <v>73543</v>
      </c>
      <c r="L39">
        <v>74295</v>
      </c>
      <c r="M39">
        <v>435342</v>
      </c>
      <c r="N39" s="2">
        <v>6.9245970453862826E-3</v>
      </c>
    </row>
    <row r="40" spans="1:14" hidden="1" x14ac:dyDescent="0.25">
      <c r="A40" t="s">
        <v>81</v>
      </c>
      <c r="B40" t="s">
        <v>116</v>
      </c>
      <c r="C40">
        <v>641134</v>
      </c>
      <c r="D40">
        <v>426545</v>
      </c>
      <c r="E40">
        <v>352125</v>
      </c>
      <c r="F40">
        <v>289584</v>
      </c>
      <c r="G40">
        <v>301210</v>
      </c>
      <c r="H40">
        <v>346776</v>
      </c>
      <c r="I40">
        <v>304964</v>
      </c>
      <c r="J40">
        <v>323019</v>
      </c>
      <c r="K40">
        <v>371491</v>
      </c>
      <c r="L40">
        <v>310158</v>
      </c>
      <c r="M40">
        <v>1656408</v>
      </c>
      <c r="N40" s="2">
        <v>2.6347005211429641E-2</v>
      </c>
    </row>
    <row r="41" spans="1:14" hidden="1" x14ac:dyDescent="0.25">
      <c r="A41" t="s">
        <v>81</v>
      </c>
      <c r="B41" t="s">
        <v>145</v>
      </c>
      <c r="C41">
        <v>26762</v>
      </c>
      <c r="D41">
        <v>29759</v>
      </c>
      <c r="E41">
        <v>45094</v>
      </c>
      <c r="F41">
        <v>48071</v>
      </c>
      <c r="G41">
        <v>42870</v>
      </c>
      <c r="H41">
        <v>29008</v>
      </c>
      <c r="I41">
        <v>26810</v>
      </c>
      <c r="J41">
        <v>5620</v>
      </c>
      <c r="K41">
        <v>28662</v>
      </c>
      <c r="L41">
        <v>27915</v>
      </c>
      <c r="M41">
        <v>118015</v>
      </c>
      <c r="N41" s="2">
        <v>1.877159383453152E-3</v>
      </c>
    </row>
    <row r="42" spans="1:14" hidden="1" x14ac:dyDescent="0.25">
      <c r="A42" t="s">
        <v>81</v>
      </c>
      <c r="B42" t="s">
        <v>86</v>
      </c>
      <c r="C42">
        <v>4859100</v>
      </c>
      <c r="D42">
        <v>5187747</v>
      </c>
      <c r="E42">
        <v>5118394</v>
      </c>
      <c r="F42">
        <v>4748877</v>
      </c>
      <c r="G42">
        <v>4710500</v>
      </c>
      <c r="H42">
        <v>3868500</v>
      </c>
      <c r="I42">
        <v>3721100</v>
      </c>
      <c r="J42">
        <v>3685800</v>
      </c>
      <c r="K42">
        <v>4058000</v>
      </c>
      <c r="L42">
        <v>4737000</v>
      </c>
      <c r="M42">
        <v>20070400</v>
      </c>
      <c r="N42" s="2">
        <v>0.31924195813801759</v>
      </c>
    </row>
    <row r="43" spans="1:14" hidden="1" x14ac:dyDescent="0.25">
      <c r="A43" t="s">
        <v>81</v>
      </c>
      <c r="B43" t="s">
        <v>189</v>
      </c>
      <c r="G43">
        <v>300</v>
      </c>
      <c r="H43">
        <v>4300</v>
      </c>
      <c r="I43">
        <v>500</v>
      </c>
      <c r="J43">
        <v>4800</v>
      </c>
      <c r="K43">
        <v>1100</v>
      </c>
      <c r="L43">
        <v>2600</v>
      </c>
      <c r="M43">
        <v>13300</v>
      </c>
      <c r="N43" s="2">
        <v>2.115512417906785E-4</v>
      </c>
    </row>
    <row r="44" spans="1:14" hidden="1" x14ac:dyDescent="0.25">
      <c r="A44" t="s">
        <v>81</v>
      </c>
      <c r="B44" t="s">
        <v>159</v>
      </c>
      <c r="C44">
        <v>10572</v>
      </c>
      <c r="D44">
        <v>12144</v>
      </c>
      <c r="E44">
        <v>12737</v>
      </c>
      <c r="F44">
        <v>12675</v>
      </c>
      <c r="G44">
        <v>12587</v>
      </c>
      <c r="H44">
        <v>12377</v>
      </c>
      <c r="I44">
        <v>1129</v>
      </c>
      <c r="J44">
        <v>6134</v>
      </c>
      <c r="K44">
        <v>15305</v>
      </c>
      <c r="L44">
        <v>16079</v>
      </c>
      <c r="M44">
        <v>51024</v>
      </c>
      <c r="N44" s="2">
        <v>8.1159327527275044E-4</v>
      </c>
    </row>
    <row r="45" spans="1:14" hidden="1" x14ac:dyDescent="0.25">
      <c r="A45" t="s">
        <v>81</v>
      </c>
      <c r="B45" t="s">
        <v>160</v>
      </c>
      <c r="E45">
        <v>0</v>
      </c>
      <c r="F45">
        <v>0</v>
      </c>
      <c r="G45">
        <v>0</v>
      </c>
      <c r="H45">
        <v>2900</v>
      </c>
      <c r="I45">
        <v>42000</v>
      </c>
      <c r="J45">
        <v>57800</v>
      </c>
      <c r="K45">
        <v>57700</v>
      </c>
      <c r="L45">
        <v>45000</v>
      </c>
      <c r="M45">
        <v>205400</v>
      </c>
      <c r="N45" s="2">
        <v>3.2671146664515309E-3</v>
      </c>
    </row>
    <row r="46" spans="1:14" hidden="1" x14ac:dyDescent="0.25">
      <c r="A46" t="s">
        <v>81</v>
      </c>
      <c r="B46" t="s">
        <v>89</v>
      </c>
      <c r="C46">
        <v>0</v>
      </c>
      <c r="D46">
        <v>0</v>
      </c>
      <c r="E46">
        <v>0</v>
      </c>
      <c r="F46">
        <v>4655</v>
      </c>
      <c r="G46">
        <v>3636</v>
      </c>
      <c r="H46">
        <v>3920</v>
      </c>
      <c r="I46">
        <v>4038</v>
      </c>
      <c r="J46">
        <v>5527</v>
      </c>
      <c r="K46">
        <v>2361</v>
      </c>
      <c r="L46">
        <v>4896</v>
      </c>
      <c r="M46">
        <v>20742</v>
      </c>
      <c r="N46" s="2">
        <v>3.2992450054302662E-4</v>
      </c>
    </row>
    <row r="47" spans="1:14" hidden="1" x14ac:dyDescent="0.25">
      <c r="A47" t="s">
        <v>81</v>
      </c>
      <c r="B47" t="s">
        <v>168</v>
      </c>
      <c r="C47">
        <v>0</v>
      </c>
      <c r="D47">
        <v>0</v>
      </c>
      <c r="E47">
        <v>0</v>
      </c>
      <c r="F47">
        <v>0</v>
      </c>
      <c r="G47">
        <v>40900</v>
      </c>
      <c r="H47">
        <v>95400</v>
      </c>
      <c r="I47">
        <v>125000</v>
      </c>
      <c r="J47">
        <v>121260</v>
      </c>
      <c r="K47">
        <v>121930</v>
      </c>
      <c r="L47">
        <v>129641</v>
      </c>
      <c r="M47">
        <v>593231</v>
      </c>
      <c r="N47" s="2">
        <v>9.4359965953929332E-3</v>
      </c>
    </row>
    <row r="48" spans="1:14" hidden="1" x14ac:dyDescent="0.25">
      <c r="A48" t="s">
        <v>81</v>
      </c>
      <c r="B48" t="s">
        <v>154</v>
      </c>
      <c r="C48">
        <v>52200</v>
      </c>
      <c r="D48">
        <v>41124</v>
      </c>
      <c r="E48">
        <v>46100</v>
      </c>
      <c r="F48">
        <v>25332</v>
      </c>
      <c r="G48">
        <v>45852</v>
      </c>
      <c r="H48">
        <v>66284</v>
      </c>
      <c r="I48">
        <v>85335</v>
      </c>
      <c r="J48">
        <v>68153</v>
      </c>
      <c r="K48">
        <v>57962</v>
      </c>
      <c r="L48">
        <v>54353</v>
      </c>
      <c r="M48">
        <v>332087</v>
      </c>
      <c r="N48" s="2">
        <v>5.2822118219955682E-3</v>
      </c>
    </row>
    <row r="49" spans="1:14" hidden="1" x14ac:dyDescent="0.25">
      <c r="A49" t="s">
        <v>81</v>
      </c>
      <c r="B49" t="s">
        <v>169</v>
      </c>
      <c r="H49">
        <v>0</v>
      </c>
      <c r="I49">
        <v>0</v>
      </c>
      <c r="J49">
        <v>0</v>
      </c>
      <c r="K49">
        <v>2243</v>
      </c>
      <c r="L49">
        <v>2059</v>
      </c>
      <c r="M49">
        <v>4302</v>
      </c>
      <c r="N49" s="2">
        <v>6.8428078359661576E-5</v>
      </c>
    </row>
    <row r="50" spans="1:14" hidden="1" x14ac:dyDescent="0.25">
      <c r="A50" t="s">
        <v>81</v>
      </c>
      <c r="B50" t="s">
        <v>93</v>
      </c>
      <c r="C50">
        <v>20800</v>
      </c>
      <c r="D50">
        <v>22549</v>
      </c>
      <c r="E50">
        <v>23085</v>
      </c>
      <c r="F50">
        <v>13174</v>
      </c>
      <c r="G50">
        <v>18866</v>
      </c>
      <c r="H50">
        <v>17300</v>
      </c>
      <c r="I50">
        <v>21456</v>
      </c>
      <c r="J50">
        <v>22298</v>
      </c>
      <c r="K50">
        <v>28037</v>
      </c>
      <c r="L50">
        <v>22598</v>
      </c>
      <c r="M50">
        <v>111689</v>
      </c>
      <c r="N50" s="2">
        <v>1.7765373416811349E-3</v>
      </c>
    </row>
    <row r="51" spans="1:14" hidden="1" x14ac:dyDescent="0.25">
      <c r="A51" t="s">
        <v>81</v>
      </c>
      <c r="B51" t="s">
        <v>196</v>
      </c>
      <c r="C51">
        <v>442</v>
      </c>
      <c r="D51">
        <v>1221</v>
      </c>
      <c r="E51">
        <v>13394</v>
      </c>
      <c r="F51">
        <v>14810</v>
      </c>
      <c r="G51">
        <v>14975</v>
      </c>
      <c r="H51">
        <v>6100</v>
      </c>
      <c r="I51">
        <v>0</v>
      </c>
      <c r="J51">
        <v>0</v>
      </c>
      <c r="K51">
        <v>0</v>
      </c>
      <c r="L51">
        <v>0</v>
      </c>
      <c r="M51">
        <v>6100</v>
      </c>
      <c r="N51" s="2">
        <v>9.7027261272416453E-5</v>
      </c>
    </row>
    <row r="52" spans="1:14" hidden="1" x14ac:dyDescent="0.25">
      <c r="A52" t="s">
        <v>81</v>
      </c>
      <c r="B52" t="s">
        <v>197</v>
      </c>
      <c r="C52">
        <v>26000</v>
      </c>
      <c r="D52">
        <v>25000</v>
      </c>
      <c r="E52">
        <v>30000</v>
      </c>
      <c r="F52">
        <v>24988</v>
      </c>
      <c r="G52">
        <v>14579</v>
      </c>
      <c r="H52">
        <v>20436</v>
      </c>
      <c r="I52">
        <v>28421</v>
      </c>
      <c r="J52">
        <v>29223</v>
      </c>
      <c r="K52">
        <v>27000</v>
      </c>
      <c r="L52">
        <v>32000</v>
      </c>
      <c r="M52">
        <v>137080</v>
      </c>
      <c r="N52" s="2">
        <v>2.1804093402004671E-3</v>
      </c>
    </row>
    <row r="53" spans="1:14" hidden="1" x14ac:dyDescent="0.25">
      <c r="A53" t="s">
        <v>81</v>
      </c>
      <c r="B53" t="s">
        <v>97</v>
      </c>
      <c r="C53">
        <v>759527</v>
      </c>
      <c r="D53">
        <v>769927</v>
      </c>
      <c r="E53">
        <v>766730</v>
      </c>
      <c r="F53">
        <v>740737</v>
      </c>
      <c r="G53">
        <v>755778</v>
      </c>
      <c r="H53">
        <v>772600</v>
      </c>
      <c r="I53">
        <v>728402</v>
      </c>
      <c r="J53">
        <v>723412</v>
      </c>
      <c r="K53">
        <v>756998</v>
      </c>
      <c r="L53">
        <v>735000</v>
      </c>
      <c r="M53">
        <v>3716412</v>
      </c>
      <c r="N53" s="2">
        <v>5.9113652150810457E-2</v>
      </c>
    </row>
    <row r="54" spans="1:14" hidden="1" x14ac:dyDescent="0.25">
      <c r="A54" t="s">
        <v>81</v>
      </c>
      <c r="B54" t="s">
        <v>98</v>
      </c>
      <c r="D54">
        <v>1200</v>
      </c>
      <c r="E54">
        <v>700</v>
      </c>
      <c r="F54">
        <v>19300</v>
      </c>
      <c r="G54">
        <v>8500</v>
      </c>
      <c r="H54">
        <v>13900</v>
      </c>
      <c r="I54">
        <v>20100</v>
      </c>
      <c r="J54">
        <v>26200</v>
      </c>
      <c r="K54">
        <v>17420</v>
      </c>
      <c r="L54">
        <v>15151</v>
      </c>
      <c r="M54">
        <v>92771</v>
      </c>
      <c r="N54" s="2">
        <v>1.4756255828694009E-3</v>
      </c>
    </row>
    <row r="55" spans="1:14" hidden="1" x14ac:dyDescent="0.25">
      <c r="A55" t="s">
        <v>81</v>
      </c>
      <c r="B55" t="s">
        <v>99</v>
      </c>
      <c r="C55">
        <v>138000</v>
      </c>
      <c r="D55">
        <v>130000</v>
      </c>
      <c r="E55">
        <v>150000</v>
      </c>
      <c r="F55">
        <v>168200</v>
      </c>
      <c r="G55">
        <v>135000</v>
      </c>
      <c r="H55">
        <v>140000</v>
      </c>
      <c r="I55">
        <v>145000</v>
      </c>
      <c r="J55">
        <v>150000</v>
      </c>
      <c r="K55">
        <v>150000</v>
      </c>
      <c r="L55">
        <v>150000</v>
      </c>
      <c r="M55">
        <v>735000</v>
      </c>
      <c r="N55" s="2">
        <v>1.1690989677905919E-2</v>
      </c>
    </row>
    <row r="56" spans="1:14" hidden="1" x14ac:dyDescent="0.25">
      <c r="A56" t="s">
        <v>81</v>
      </c>
      <c r="B56" t="s">
        <v>118</v>
      </c>
      <c r="C56">
        <v>337500</v>
      </c>
      <c r="D56">
        <v>326700</v>
      </c>
      <c r="E56">
        <v>282600</v>
      </c>
      <c r="F56">
        <v>236300</v>
      </c>
      <c r="G56">
        <v>147797</v>
      </c>
      <c r="H56">
        <v>130580</v>
      </c>
      <c r="I56">
        <v>131742</v>
      </c>
      <c r="J56">
        <v>122500</v>
      </c>
      <c r="K56">
        <v>127008</v>
      </c>
      <c r="L56">
        <v>112249</v>
      </c>
      <c r="M56">
        <v>624079</v>
      </c>
      <c r="N56" s="2">
        <v>9.9266682274800639E-3</v>
      </c>
    </row>
    <row r="57" spans="1:14" hidden="1" x14ac:dyDescent="0.25">
      <c r="A57" t="s">
        <v>81</v>
      </c>
      <c r="B57" t="s">
        <v>102</v>
      </c>
      <c r="C57">
        <v>425000</v>
      </c>
      <c r="D57">
        <v>417000</v>
      </c>
      <c r="E57">
        <v>378100</v>
      </c>
      <c r="F57">
        <v>369300</v>
      </c>
      <c r="G57">
        <v>351000</v>
      </c>
      <c r="H57">
        <v>345000</v>
      </c>
      <c r="I57">
        <v>346000</v>
      </c>
      <c r="J57">
        <v>321900</v>
      </c>
      <c r="K57">
        <v>335400</v>
      </c>
      <c r="L57">
        <v>326900</v>
      </c>
      <c r="M57">
        <v>1675200</v>
      </c>
      <c r="N57" s="2">
        <v>2.6645912800582299E-2</v>
      </c>
    </row>
    <row r="58" spans="1:14" hidden="1" x14ac:dyDescent="0.25">
      <c r="A58" t="s">
        <v>81</v>
      </c>
      <c r="B58" t="s">
        <v>148</v>
      </c>
      <c r="C58">
        <v>1434</v>
      </c>
      <c r="D58">
        <v>1749</v>
      </c>
      <c r="E58">
        <v>1919</v>
      </c>
      <c r="F58">
        <v>2070</v>
      </c>
      <c r="G58">
        <v>2257</v>
      </c>
      <c r="H58">
        <v>3321</v>
      </c>
      <c r="I58">
        <v>3656</v>
      </c>
      <c r="J58">
        <v>4106</v>
      </c>
      <c r="K58">
        <v>4252</v>
      </c>
      <c r="L58">
        <v>4371</v>
      </c>
      <c r="M58">
        <v>19706</v>
      </c>
      <c r="N58" s="2">
        <v>3.134457722351211E-4</v>
      </c>
    </row>
    <row r="59" spans="1:14" hidden="1" x14ac:dyDescent="0.25">
      <c r="A59" t="s">
        <v>81</v>
      </c>
      <c r="B59" t="s">
        <v>149</v>
      </c>
      <c r="C59">
        <v>35000</v>
      </c>
      <c r="D59">
        <v>36139</v>
      </c>
      <c r="E59">
        <v>37261</v>
      </c>
      <c r="F59">
        <v>45332</v>
      </c>
      <c r="G59">
        <v>66469</v>
      </c>
      <c r="H59">
        <v>35671</v>
      </c>
      <c r="I59">
        <v>35000</v>
      </c>
      <c r="J59">
        <v>30000</v>
      </c>
      <c r="K59">
        <v>28000</v>
      </c>
      <c r="L59">
        <v>28000</v>
      </c>
      <c r="M59">
        <v>156671</v>
      </c>
      <c r="N59" s="2">
        <v>2.492025909968977E-3</v>
      </c>
    </row>
    <row r="60" spans="1:14" hidden="1" x14ac:dyDescent="0.25">
      <c r="A60" t="s">
        <v>81</v>
      </c>
      <c r="B60" t="s">
        <v>230</v>
      </c>
      <c r="C60">
        <v>3818</v>
      </c>
      <c r="D60">
        <v>4983</v>
      </c>
      <c r="E60">
        <v>5514</v>
      </c>
      <c r="F60">
        <v>3986</v>
      </c>
      <c r="G60">
        <v>4814</v>
      </c>
      <c r="H60">
        <v>4468</v>
      </c>
      <c r="I60">
        <v>3619</v>
      </c>
      <c r="J60">
        <v>3089</v>
      </c>
      <c r="K60">
        <v>3909</v>
      </c>
      <c r="L60">
        <v>4513</v>
      </c>
      <c r="M60">
        <v>19598</v>
      </c>
      <c r="N60" s="2">
        <v>3.1172791252734718E-4</v>
      </c>
    </row>
    <row r="61" spans="1:14" hidden="1" x14ac:dyDescent="0.25">
      <c r="A61" t="s">
        <v>81</v>
      </c>
      <c r="B61" t="s">
        <v>171</v>
      </c>
      <c r="C61">
        <v>883</v>
      </c>
      <c r="D61">
        <v>1900</v>
      </c>
      <c r="E61">
        <v>2000</v>
      </c>
      <c r="F61">
        <v>0</v>
      </c>
      <c r="G61">
        <v>700</v>
      </c>
      <c r="H61">
        <v>5700</v>
      </c>
      <c r="I61">
        <v>3100</v>
      </c>
      <c r="J61">
        <v>1300</v>
      </c>
      <c r="K61">
        <v>1200</v>
      </c>
      <c r="L61">
        <v>5400</v>
      </c>
      <c r="M61">
        <v>16700</v>
      </c>
      <c r="N61" s="2">
        <v>2.6563201036874668E-4</v>
      </c>
    </row>
    <row r="62" spans="1:14" hidden="1" x14ac:dyDescent="0.25">
      <c r="A62" t="s">
        <v>81</v>
      </c>
      <c r="B62" t="s">
        <v>150</v>
      </c>
      <c r="C62">
        <v>660349</v>
      </c>
      <c r="D62">
        <v>642542</v>
      </c>
      <c r="E62">
        <v>659878</v>
      </c>
      <c r="F62">
        <v>786774</v>
      </c>
      <c r="G62">
        <v>661646</v>
      </c>
      <c r="H62">
        <v>671444</v>
      </c>
      <c r="I62">
        <v>662355</v>
      </c>
      <c r="J62">
        <v>859194</v>
      </c>
      <c r="K62">
        <v>1008252</v>
      </c>
      <c r="L62">
        <v>742900</v>
      </c>
      <c r="M62">
        <v>3944145</v>
      </c>
      <c r="N62" s="2">
        <v>6.2735997936277876E-2</v>
      </c>
    </row>
    <row r="63" spans="1:14" hidden="1" x14ac:dyDescent="0.25">
      <c r="A63" t="s">
        <v>81</v>
      </c>
      <c r="B63" t="s">
        <v>173</v>
      </c>
      <c r="C63">
        <v>59550</v>
      </c>
      <c r="D63">
        <v>52050</v>
      </c>
      <c r="E63">
        <v>46600</v>
      </c>
      <c r="F63">
        <v>44800</v>
      </c>
      <c r="G63">
        <v>50100</v>
      </c>
      <c r="H63">
        <v>82700</v>
      </c>
      <c r="I63">
        <v>43950</v>
      </c>
      <c r="J63">
        <v>41550</v>
      </c>
      <c r="K63">
        <v>38150</v>
      </c>
      <c r="L63">
        <v>35100</v>
      </c>
      <c r="M63">
        <v>241450</v>
      </c>
      <c r="N63" s="2">
        <v>3.840529874463107E-3</v>
      </c>
    </row>
    <row r="64" spans="1:14" hidden="1" x14ac:dyDescent="0.25">
      <c r="A64" t="s">
        <v>81</v>
      </c>
      <c r="B64" t="s">
        <v>104</v>
      </c>
      <c r="C64">
        <v>4677</v>
      </c>
      <c r="D64">
        <v>5487</v>
      </c>
      <c r="E64">
        <v>7200</v>
      </c>
      <c r="F64">
        <v>7068</v>
      </c>
      <c r="G64">
        <v>8100</v>
      </c>
      <c r="H64">
        <v>8800</v>
      </c>
      <c r="I64">
        <v>10668</v>
      </c>
      <c r="J64">
        <v>9518</v>
      </c>
      <c r="K64">
        <v>10133</v>
      </c>
      <c r="L64">
        <v>9357</v>
      </c>
      <c r="M64">
        <v>48476</v>
      </c>
      <c r="N64" s="2">
        <v>7.7106451105600992E-4</v>
      </c>
    </row>
    <row r="65" spans="1:14" hidden="1" x14ac:dyDescent="0.25">
      <c r="A65" t="s">
        <v>81</v>
      </c>
      <c r="B65" t="s">
        <v>161</v>
      </c>
      <c r="C65">
        <v>46441</v>
      </c>
      <c r="D65">
        <v>41625</v>
      </c>
      <c r="E65">
        <v>45412</v>
      </c>
      <c r="F65">
        <v>53747</v>
      </c>
      <c r="G65">
        <v>53880</v>
      </c>
      <c r="H65">
        <v>51701</v>
      </c>
      <c r="I65">
        <v>43567</v>
      </c>
      <c r="J65">
        <v>43600</v>
      </c>
      <c r="K65">
        <v>38000</v>
      </c>
      <c r="L65">
        <v>49500</v>
      </c>
      <c r="M65">
        <v>226368</v>
      </c>
      <c r="N65" s="2">
        <v>3.6006339474941589E-3</v>
      </c>
    </row>
    <row r="66" spans="1:14" hidden="1" x14ac:dyDescent="0.25">
      <c r="A66" t="s">
        <v>81</v>
      </c>
      <c r="B66" t="s">
        <v>174</v>
      </c>
      <c r="C66">
        <v>8000</v>
      </c>
      <c r="D66">
        <v>4800</v>
      </c>
      <c r="E66">
        <v>3030</v>
      </c>
      <c r="F66">
        <v>31025</v>
      </c>
      <c r="G66">
        <v>72640</v>
      </c>
      <c r="H66">
        <v>12560</v>
      </c>
      <c r="I66">
        <v>11700</v>
      </c>
      <c r="J66">
        <v>39000</v>
      </c>
      <c r="K66">
        <v>6755</v>
      </c>
      <c r="L66">
        <v>9800</v>
      </c>
      <c r="M66">
        <v>79815</v>
      </c>
      <c r="N66" s="2">
        <v>1.2695460423701511E-3</v>
      </c>
    </row>
    <row r="67" spans="1:14" hidden="1" x14ac:dyDescent="0.25">
      <c r="A67" t="s">
        <v>81</v>
      </c>
      <c r="B67" t="s">
        <v>175</v>
      </c>
      <c r="C67">
        <v>195782</v>
      </c>
      <c r="D67">
        <v>188402</v>
      </c>
      <c r="E67">
        <v>173665</v>
      </c>
      <c r="F67">
        <v>123529</v>
      </c>
      <c r="G67">
        <v>124749</v>
      </c>
      <c r="H67">
        <v>132854</v>
      </c>
      <c r="I67">
        <v>118435</v>
      </c>
      <c r="J67">
        <v>114735</v>
      </c>
      <c r="K67">
        <v>62333</v>
      </c>
      <c r="L67">
        <v>83362</v>
      </c>
      <c r="M67">
        <v>511719</v>
      </c>
      <c r="N67" s="2">
        <v>8.1394578870589637E-3</v>
      </c>
    </row>
    <row r="68" spans="1:14" hidden="1" x14ac:dyDescent="0.25">
      <c r="A68" t="s">
        <v>81</v>
      </c>
      <c r="B68" t="s">
        <v>203</v>
      </c>
      <c r="C68">
        <v>13800</v>
      </c>
      <c r="D68">
        <v>6786</v>
      </c>
      <c r="E68">
        <v>7000</v>
      </c>
      <c r="F68">
        <v>14000</v>
      </c>
      <c r="G68">
        <v>14000</v>
      </c>
      <c r="H68">
        <v>22000</v>
      </c>
      <c r="I68">
        <v>27000</v>
      </c>
      <c r="J68">
        <v>23000</v>
      </c>
      <c r="K68">
        <v>26900</v>
      </c>
      <c r="L68">
        <v>32200</v>
      </c>
      <c r="M68">
        <v>131100</v>
      </c>
      <c r="N68" s="2">
        <v>2.0852908119366881E-3</v>
      </c>
    </row>
    <row r="69" spans="1:14" hidden="1" x14ac:dyDescent="0.25">
      <c r="A69" t="s">
        <v>81</v>
      </c>
      <c r="B69" t="s">
        <v>176</v>
      </c>
      <c r="C69">
        <v>28037</v>
      </c>
      <c r="D69">
        <v>30907</v>
      </c>
      <c r="E69">
        <v>31570</v>
      </c>
      <c r="F69">
        <v>29150</v>
      </c>
      <c r="G69">
        <v>24871</v>
      </c>
      <c r="H69">
        <v>27846</v>
      </c>
      <c r="I69">
        <v>29715</v>
      </c>
      <c r="J69">
        <v>31041</v>
      </c>
      <c r="K69">
        <v>31748</v>
      </c>
      <c r="L69">
        <v>30074</v>
      </c>
      <c r="M69">
        <v>150424</v>
      </c>
      <c r="N69" s="2">
        <v>2.3926604507609789E-3</v>
      </c>
    </row>
    <row r="70" spans="1:14" hidden="1" x14ac:dyDescent="0.25">
      <c r="A70" t="s">
        <v>81</v>
      </c>
      <c r="B70" t="s">
        <v>106</v>
      </c>
      <c r="C70">
        <v>10024</v>
      </c>
      <c r="D70">
        <v>0</v>
      </c>
      <c r="E70">
        <v>0</v>
      </c>
      <c r="F70">
        <v>0</v>
      </c>
      <c r="G70">
        <v>7702</v>
      </c>
      <c r="H70">
        <v>19457</v>
      </c>
      <c r="I70">
        <v>26979</v>
      </c>
      <c r="J70">
        <v>37365</v>
      </c>
      <c r="K70">
        <v>17527</v>
      </c>
      <c r="L70">
        <v>17700</v>
      </c>
      <c r="M70">
        <v>119028</v>
      </c>
      <c r="N70" s="2">
        <v>1.8932722712677349E-3</v>
      </c>
    </row>
    <row r="71" spans="1:14" hidden="1" x14ac:dyDescent="0.25">
      <c r="A71" t="s">
        <v>81</v>
      </c>
      <c r="B71" t="s">
        <v>146</v>
      </c>
      <c r="C71">
        <v>1281282</v>
      </c>
      <c r="D71">
        <v>1351273</v>
      </c>
      <c r="E71">
        <v>1315000</v>
      </c>
      <c r="F71">
        <v>1421218</v>
      </c>
      <c r="G71">
        <v>1337081</v>
      </c>
      <c r="H71">
        <v>1473073</v>
      </c>
      <c r="I71">
        <v>1474383</v>
      </c>
      <c r="J71">
        <v>1404382</v>
      </c>
      <c r="K71">
        <v>1334570</v>
      </c>
      <c r="L71">
        <v>1532043</v>
      </c>
      <c r="M71">
        <v>7218451</v>
      </c>
      <c r="N71" s="2">
        <v>0.1148174641244485</v>
      </c>
    </row>
    <row r="72" spans="1:14" hidden="1" x14ac:dyDescent="0.25">
      <c r="A72" t="s">
        <v>81</v>
      </c>
      <c r="B72" t="s">
        <v>151</v>
      </c>
      <c r="C72">
        <v>76700</v>
      </c>
      <c r="D72">
        <v>75000</v>
      </c>
      <c r="E72">
        <v>56000</v>
      </c>
      <c r="F72">
        <v>52709</v>
      </c>
      <c r="G72">
        <v>50124</v>
      </c>
      <c r="H72">
        <v>44959</v>
      </c>
      <c r="I72">
        <v>41886</v>
      </c>
      <c r="J72">
        <v>37645</v>
      </c>
      <c r="K72">
        <v>39500</v>
      </c>
      <c r="L72">
        <v>40388</v>
      </c>
      <c r="M72">
        <v>204378</v>
      </c>
      <c r="N72" s="2">
        <v>3.2508586236612998E-3</v>
      </c>
    </row>
    <row r="73" spans="1:14" hidden="1" x14ac:dyDescent="0.25">
      <c r="A73" t="s">
        <v>81</v>
      </c>
      <c r="B73" t="s">
        <v>178</v>
      </c>
      <c r="C73">
        <v>30006</v>
      </c>
      <c r="D73">
        <v>53382</v>
      </c>
      <c r="E73">
        <v>67378</v>
      </c>
      <c r="F73">
        <v>61921</v>
      </c>
      <c r="G73">
        <v>71052</v>
      </c>
      <c r="H73">
        <v>71357</v>
      </c>
      <c r="I73">
        <v>144983</v>
      </c>
      <c r="J73">
        <v>161569</v>
      </c>
      <c r="K73">
        <v>176849</v>
      </c>
      <c r="L73">
        <v>187703</v>
      </c>
      <c r="M73">
        <v>742461</v>
      </c>
      <c r="N73" s="2">
        <v>1.1809665152717971E-2</v>
      </c>
    </row>
    <row r="74" spans="1:14" hidden="1" x14ac:dyDescent="0.25">
      <c r="A74" t="s">
        <v>81</v>
      </c>
      <c r="B74" t="s">
        <v>120</v>
      </c>
      <c r="C74">
        <v>8400</v>
      </c>
      <c r="D74">
        <v>2000</v>
      </c>
      <c r="E74">
        <v>3300</v>
      </c>
      <c r="F74">
        <v>3000</v>
      </c>
      <c r="G74">
        <v>1600</v>
      </c>
      <c r="H74">
        <v>800</v>
      </c>
      <c r="I74">
        <v>600</v>
      </c>
      <c r="J74">
        <v>1300</v>
      </c>
      <c r="K74">
        <v>100</v>
      </c>
      <c r="L74">
        <v>2500</v>
      </c>
      <c r="M74">
        <v>5300</v>
      </c>
      <c r="N74" s="2">
        <v>8.4302374548165114E-5</v>
      </c>
    </row>
    <row r="75" spans="1:14" hidden="1" x14ac:dyDescent="0.25">
      <c r="A75" t="s">
        <v>81</v>
      </c>
      <c r="B75" t="s">
        <v>107</v>
      </c>
      <c r="C75">
        <v>189000</v>
      </c>
      <c r="D75">
        <v>193000</v>
      </c>
      <c r="E75">
        <v>192000</v>
      </c>
      <c r="F75">
        <v>206000</v>
      </c>
      <c r="G75">
        <v>245800</v>
      </c>
      <c r="H75">
        <v>255200</v>
      </c>
      <c r="I75">
        <v>288000</v>
      </c>
      <c r="J75">
        <v>275400</v>
      </c>
      <c r="K75">
        <v>260700</v>
      </c>
      <c r="L75">
        <v>280000</v>
      </c>
      <c r="M75">
        <v>1359300</v>
      </c>
      <c r="N75" s="2">
        <v>2.1621173155343551E-2</v>
      </c>
    </row>
    <row r="76" spans="1:14" hidden="1" x14ac:dyDescent="0.25">
      <c r="A76" t="s">
        <v>81</v>
      </c>
      <c r="B76" t="s">
        <v>108</v>
      </c>
      <c r="C76">
        <v>21213</v>
      </c>
      <c r="D76">
        <v>26293</v>
      </c>
      <c r="E76">
        <v>41804</v>
      </c>
      <c r="F76">
        <v>39000</v>
      </c>
      <c r="G76">
        <v>41640</v>
      </c>
      <c r="H76">
        <v>21677</v>
      </c>
      <c r="I76">
        <v>18000</v>
      </c>
      <c r="J76">
        <v>18900</v>
      </c>
      <c r="K76">
        <v>50819</v>
      </c>
      <c r="L76">
        <v>53360</v>
      </c>
      <c r="M76">
        <v>162756</v>
      </c>
      <c r="N76" s="2">
        <v>2.5888145796153141E-3</v>
      </c>
    </row>
    <row r="77" spans="1:14" hidden="1" x14ac:dyDescent="0.25">
      <c r="A77" t="s">
        <v>81</v>
      </c>
      <c r="B77" t="s">
        <v>179</v>
      </c>
      <c r="C77">
        <v>6000</v>
      </c>
      <c r="D77">
        <v>5800</v>
      </c>
      <c r="E77">
        <v>8400</v>
      </c>
      <c r="F77">
        <v>4400</v>
      </c>
      <c r="G77">
        <v>6200</v>
      </c>
      <c r="H77">
        <v>11900</v>
      </c>
      <c r="I77">
        <v>11800</v>
      </c>
      <c r="J77">
        <v>6900</v>
      </c>
      <c r="K77">
        <v>6500</v>
      </c>
      <c r="L77">
        <v>6400</v>
      </c>
      <c r="M77">
        <v>43500</v>
      </c>
      <c r="N77" s="2">
        <v>6.919157156311665E-4</v>
      </c>
    </row>
    <row r="78" spans="1:14" hidden="1" x14ac:dyDescent="0.25">
      <c r="A78" t="s">
        <v>81</v>
      </c>
      <c r="B78" t="s">
        <v>135</v>
      </c>
      <c r="C78">
        <v>134</v>
      </c>
      <c r="D78">
        <v>190</v>
      </c>
      <c r="E78">
        <v>176</v>
      </c>
      <c r="F78">
        <v>190</v>
      </c>
      <c r="G78">
        <v>126</v>
      </c>
      <c r="H78">
        <v>166</v>
      </c>
      <c r="I78">
        <v>151</v>
      </c>
      <c r="J78">
        <v>119</v>
      </c>
      <c r="K78">
        <v>96</v>
      </c>
      <c r="L78">
        <v>25</v>
      </c>
      <c r="M78">
        <v>557</v>
      </c>
      <c r="N78" s="2">
        <v>8.8597023817599954E-6</v>
      </c>
    </row>
    <row r="79" spans="1:14" hidden="1" x14ac:dyDescent="0.25">
      <c r="A79" t="s">
        <v>81</v>
      </c>
      <c r="B79" t="s">
        <v>137</v>
      </c>
      <c r="C79">
        <v>37034</v>
      </c>
      <c r="D79">
        <v>30145</v>
      </c>
      <c r="E79">
        <v>26141</v>
      </c>
      <c r="F79">
        <v>29040</v>
      </c>
      <c r="G79">
        <v>26695</v>
      </c>
      <c r="H79">
        <v>30778</v>
      </c>
      <c r="I79">
        <v>28129</v>
      </c>
      <c r="J79">
        <v>125157</v>
      </c>
      <c r="K79">
        <v>160816</v>
      </c>
      <c r="L79">
        <v>193785</v>
      </c>
      <c r="M79">
        <v>538665</v>
      </c>
      <c r="N79" s="2">
        <v>8.5680638841485589E-3</v>
      </c>
    </row>
    <row r="80" spans="1:14" hidden="1" x14ac:dyDescent="0.25">
      <c r="A80" t="s">
        <v>81</v>
      </c>
      <c r="B80" t="s">
        <v>121</v>
      </c>
      <c r="C80">
        <v>28634</v>
      </c>
      <c r="D80">
        <v>30428</v>
      </c>
      <c r="E80">
        <v>26756</v>
      </c>
      <c r="F80">
        <v>49216</v>
      </c>
      <c r="G80">
        <v>76342</v>
      </c>
      <c r="H80">
        <v>70451</v>
      </c>
      <c r="I80">
        <v>106352</v>
      </c>
      <c r="J80">
        <v>90980</v>
      </c>
      <c r="K80">
        <v>90368</v>
      </c>
      <c r="L80">
        <v>90481</v>
      </c>
      <c r="M80">
        <v>448632</v>
      </c>
      <c r="N80" s="2">
        <v>7.135989226092908E-3</v>
      </c>
    </row>
    <row r="81" spans="1:14" hidden="1" x14ac:dyDescent="0.25">
      <c r="A81" t="s">
        <v>81</v>
      </c>
      <c r="B81" t="s">
        <v>138</v>
      </c>
      <c r="C81">
        <v>188325</v>
      </c>
      <c r="D81">
        <v>176582</v>
      </c>
      <c r="E81">
        <v>221841</v>
      </c>
      <c r="F81">
        <v>246983</v>
      </c>
      <c r="G81">
        <v>258264</v>
      </c>
      <c r="H81">
        <v>251244</v>
      </c>
      <c r="I81">
        <v>237715</v>
      </c>
      <c r="J81">
        <v>247657</v>
      </c>
      <c r="K81">
        <v>234811</v>
      </c>
      <c r="L81">
        <v>236416</v>
      </c>
      <c r="M81">
        <v>1207843</v>
      </c>
      <c r="N81" s="2">
        <v>1.921208169459989E-2</v>
      </c>
    </row>
    <row r="82" spans="1:14" hidden="1" x14ac:dyDescent="0.25">
      <c r="A82" t="s">
        <v>81</v>
      </c>
      <c r="B82" t="s">
        <v>139</v>
      </c>
      <c r="C82">
        <v>29900</v>
      </c>
      <c r="D82">
        <v>24300</v>
      </c>
      <c r="E82">
        <v>54300</v>
      </c>
      <c r="F82">
        <v>52790</v>
      </c>
      <c r="G82">
        <v>74087</v>
      </c>
      <c r="H82">
        <v>92764</v>
      </c>
      <c r="I82">
        <v>82329</v>
      </c>
      <c r="J82">
        <v>78148</v>
      </c>
      <c r="K82">
        <v>48416</v>
      </c>
      <c r="L82">
        <v>70573</v>
      </c>
      <c r="M82">
        <v>372230</v>
      </c>
      <c r="N82" s="2">
        <v>5.9207307317100952E-3</v>
      </c>
    </row>
    <row r="83" spans="1:14" hidden="1" x14ac:dyDescent="0.25">
      <c r="A83" t="s">
        <v>81</v>
      </c>
      <c r="B83" t="s">
        <v>215</v>
      </c>
      <c r="C83">
        <v>24996</v>
      </c>
      <c r="D83">
        <v>25887</v>
      </c>
      <c r="E83">
        <v>34033</v>
      </c>
      <c r="F83">
        <v>27154</v>
      </c>
      <c r="G83">
        <v>33983</v>
      </c>
      <c r="H83">
        <v>1182</v>
      </c>
      <c r="I83">
        <v>0</v>
      </c>
      <c r="J83">
        <v>0</v>
      </c>
      <c r="K83">
        <v>0</v>
      </c>
      <c r="L83">
        <v>0</v>
      </c>
      <c r="M83">
        <v>1182</v>
      </c>
      <c r="N83" s="2">
        <v>1.8801020135081352E-5</v>
      </c>
    </row>
    <row r="84" spans="1:14" hidden="1" x14ac:dyDescent="0.25">
      <c r="A84" t="s">
        <v>81</v>
      </c>
      <c r="B84" t="s">
        <v>112</v>
      </c>
      <c r="C84">
        <v>195793</v>
      </c>
      <c r="D84">
        <v>195025</v>
      </c>
      <c r="E84">
        <v>210152</v>
      </c>
      <c r="F84">
        <v>173589</v>
      </c>
      <c r="G84">
        <v>118700</v>
      </c>
      <c r="H84">
        <v>155900</v>
      </c>
      <c r="I84">
        <v>184468</v>
      </c>
      <c r="J84">
        <v>146800</v>
      </c>
      <c r="K84">
        <v>136300</v>
      </c>
      <c r="L84">
        <v>171200</v>
      </c>
      <c r="M84">
        <v>794668</v>
      </c>
      <c r="N84" s="2">
        <v>1.26400753542342E-2</v>
      </c>
    </row>
    <row r="85" spans="1:14" hidden="1" x14ac:dyDescent="0.25">
      <c r="A85" t="s">
        <v>81</v>
      </c>
      <c r="B85" t="s">
        <v>113</v>
      </c>
      <c r="C85">
        <v>738400</v>
      </c>
      <c r="D85">
        <v>784400</v>
      </c>
      <c r="E85">
        <v>832000</v>
      </c>
      <c r="F85">
        <v>824700</v>
      </c>
      <c r="G85">
        <v>804800</v>
      </c>
      <c r="H85">
        <v>773800</v>
      </c>
      <c r="I85">
        <v>824000</v>
      </c>
      <c r="J85">
        <v>753000</v>
      </c>
      <c r="K85">
        <v>718000</v>
      </c>
      <c r="L85">
        <v>740000</v>
      </c>
      <c r="M85">
        <v>3808800</v>
      </c>
      <c r="N85" s="2">
        <v>6.0583185694160623E-2</v>
      </c>
    </row>
    <row r="86" spans="1:14" hidden="1" x14ac:dyDescent="0.25">
      <c r="A86" t="s">
        <v>81</v>
      </c>
      <c r="B86" t="s">
        <v>180</v>
      </c>
      <c r="C86">
        <v>6000</v>
      </c>
      <c r="D86">
        <v>8000</v>
      </c>
      <c r="E86">
        <v>8000</v>
      </c>
      <c r="F86">
        <v>12000</v>
      </c>
      <c r="G86">
        <v>12000</v>
      </c>
      <c r="H86">
        <v>37000</v>
      </c>
      <c r="I86">
        <v>31000</v>
      </c>
      <c r="J86">
        <v>37000</v>
      </c>
      <c r="K86">
        <v>41000</v>
      </c>
      <c r="L86">
        <v>42000</v>
      </c>
      <c r="M86">
        <v>188000</v>
      </c>
      <c r="N86" s="2">
        <v>2.9903483801990648E-3</v>
      </c>
    </row>
    <row r="87" spans="1:14" hidden="1" x14ac:dyDescent="0.25">
      <c r="A87" t="s">
        <v>81</v>
      </c>
      <c r="B87" t="s">
        <v>115</v>
      </c>
      <c r="C87">
        <v>25000</v>
      </c>
      <c r="D87">
        <v>20000</v>
      </c>
      <c r="E87">
        <v>17000</v>
      </c>
      <c r="F87">
        <v>15000</v>
      </c>
      <c r="G87">
        <v>12000</v>
      </c>
      <c r="H87">
        <v>12000</v>
      </c>
      <c r="I87">
        <v>12000</v>
      </c>
      <c r="J87">
        <v>12000</v>
      </c>
      <c r="K87">
        <v>12000</v>
      </c>
      <c r="L87">
        <v>12000</v>
      </c>
      <c r="M87">
        <v>60000</v>
      </c>
      <c r="N87" s="2">
        <v>9.5436650431885046E-4</v>
      </c>
    </row>
    <row r="88" spans="1:14" hidden="1" x14ac:dyDescent="0.25">
      <c r="A88" t="s">
        <v>81</v>
      </c>
      <c r="B88" t="s">
        <v>143</v>
      </c>
      <c r="F88">
        <v>0</v>
      </c>
      <c r="G88">
        <v>0</v>
      </c>
      <c r="H88">
        <v>0</v>
      </c>
      <c r="I88">
        <v>0</v>
      </c>
      <c r="J88">
        <v>44</v>
      </c>
      <c r="K88">
        <v>1500</v>
      </c>
      <c r="L88">
        <v>0</v>
      </c>
      <c r="M88">
        <v>1544</v>
      </c>
      <c r="N88" s="2">
        <v>2.4559031377805082E-5</v>
      </c>
    </row>
    <row r="89" spans="1:14" hidden="1" x14ac:dyDescent="0.25">
      <c r="A89" t="s">
        <v>80</v>
      </c>
      <c r="B89" t="s">
        <v>85</v>
      </c>
      <c r="C89">
        <v>0</v>
      </c>
      <c r="D89">
        <v>0</v>
      </c>
      <c r="E89">
        <v>578</v>
      </c>
      <c r="F89">
        <v>3254</v>
      </c>
      <c r="G89">
        <v>4461</v>
      </c>
      <c r="H89">
        <v>5206</v>
      </c>
      <c r="I89">
        <v>5505</v>
      </c>
      <c r="J89">
        <v>5923</v>
      </c>
      <c r="K89">
        <v>6622</v>
      </c>
      <c r="L89">
        <v>5779</v>
      </c>
      <c r="M89">
        <v>29035</v>
      </c>
      <c r="N89" s="2">
        <v>5.9688513738534087E-2</v>
      </c>
    </row>
    <row r="90" spans="1:14" hidden="1" x14ac:dyDescent="0.25">
      <c r="A90" t="s">
        <v>80</v>
      </c>
      <c r="B90" t="s">
        <v>86</v>
      </c>
      <c r="C90">
        <v>40000</v>
      </c>
      <c r="D90">
        <v>45000</v>
      </c>
      <c r="E90">
        <v>48000</v>
      </c>
      <c r="F90">
        <v>51100</v>
      </c>
      <c r="G90">
        <v>45900</v>
      </c>
      <c r="H90">
        <v>45400</v>
      </c>
      <c r="I90">
        <v>40000</v>
      </c>
      <c r="J90">
        <v>54000</v>
      </c>
      <c r="K90">
        <v>70000</v>
      </c>
      <c r="L90">
        <v>73000</v>
      </c>
      <c r="M90">
        <v>282400</v>
      </c>
      <c r="N90" s="2">
        <v>0.58054197622738168</v>
      </c>
    </row>
    <row r="91" spans="1:14" hidden="1" x14ac:dyDescent="0.25">
      <c r="A91" t="s">
        <v>80</v>
      </c>
      <c r="B91" t="s">
        <v>97</v>
      </c>
      <c r="F91">
        <v>1124</v>
      </c>
      <c r="G91">
        <v>1125</v>
      </c>
      <c r="H91">
        <v>400</v>
      </c>
      <c r="I91">
        <v>442</v>
      </c>
      <c r="J91">
        <v>400</v>
      </c>
      <c r="K91">
        <v>400</v>
      </c>
      <c r="L91">
        <v>400</v>
      </c>
      <c r="M91">
        <v>2042</v>
      </c>
      <c r="N91" s="2">
        <v>4.1978283125223559E-3</v>
      </c>
    </row>
    <row r="92" spans="1:14" hidden="1" x14ac:dyDescent="0.25">
      <c r="A92" t="s">
        <v>80</v>
      </c>
      <c r="B92" t="s">
        <v>102</v>
      </c>
      <c r="C92">
        <v>0</v>
      </c>
      <c r="D92">
        <v>0</v>
      </c>
      <c r="E92">
        <v>0</v>
      </c>
      <c r="F92">
        <v>0</v>
      </c>
      <c r="G92">
        <v>0</v>
      </c>
      <c r="H92">
        <v>1000</v>
      </c>
      <c r="I92">
        <v>1000</v>
      </c>
      <c r="J92">
        <v>1000</v>
      </c>
      <c r="K92">
        <v>1000</v>
      </c>
      <c r="L92">
        <v>1000</v>
      </c>
      <c r="M92">
        <v>5000</v>
      </c>
      <c r="N92" s="2">
        <v>1.027871770940832E-2</v>
      </c>
    </row>
    <row r="93" spans="1:14" hidden="1" x14ac:dyDescent="0.25">
      <c r="A93" t="s">
        <v>80</v>
      </c>
      <c r="B93" t="s">
        <v>107</v>
      </c>
      <c r="C93">
        <v>14856</v>
      </c>
      <c r="D93">
        <v>14403</v>
      </c>
      <c r="E93">
        <v>15125</v>
      </c>
      <c r="F93">
        <v>16196</v>
      </c>
      <c r="G93">
        <v>16886</v>
      </c>
      <c r="H93">
        <v>18636</v>
      </c>
      <c r="I93">
        <v>17052</v>
      </c>
      <c r="J93">
        <v>18380</v>
      </c>
      <c r="K93">
        <v>19533</v>
      </c>
      <c r="L93">
        <v>20058</v>
      </c>
      <c r="M93">
        <v>93659</v>
      </c>
      <c r="N93" s="2">
        <v>0.19253888438909469</v>
      </c>
    </row>
    <row r="94" spans="1:14" hidden="1" x14ac:dyDescent="0.25">
      <c r="A94" t="s">
        <v>80</v>
      </c>
      <c r="B94" t="s">
        <v>137</v>
      </c>
      <c r="C94">
        <v>19957</v>
      </c>
      <c r="D94">
        <v>21397</v>
      </c>
      <c r="E94">
        <v>21582</v>
      </c>
      <c r="F94">
        <v>17455</v>
      </c>
      <c r="G94">
        <v>15877</v>
      </c>
      <c r="H94">
        <v>14222</v>
      </c>
      <c r="I94">
        <v>14904</v>
      </c>
      <c r="J94">
        <v>14858</v>
      </c>
      <c r="K94">
        <v>14421</v>
      </c>
      <c r="L94">
        <v>15424</v>
      </c>
      <c r="M94">
        <v>73829</v>
      </c>
      <c r="N94" s="2">
        <v>0.15177348995358131</v>
      </c>
    </row>
    <row r="95" spans="1:14" hidden="1" x14ac:dyDescent="0.25">
      <c r="A95" t="s">
        <v>80</v>
      </c>
      <c r="B95" t="s">
        <v>113</v>
      </c>
      <c r="C95">
        <v>106</v>
      </c>
      <c r="D95">
        <v>591</v>
      </c>
      <c r="F95">
        <v>0</v>
      </c>
      <c r="G95">
        <v>0</v>
      </c>
      <c r="H95">
        <v>0</v>
      </c>
      <c r="I95">
        <v>0</v>
      </c>
      <c r="J95">
        <v>460</v>
      </c>
      <c r="K95">
        <v>17</v>
      </c>
      <c r="L95">
        <v>0</v>
      </c>
      <c r="M95">
        <v>477</v>
      </c>
      <c r="N95" s="2">
        <v>9.8058966947755328E-4</v>
      </c>
    </row>
    <row r="96" spans="1:14" hidden="1" x14ac:dyDescent="0.25">
      <c r="A96" t="s">
        <v>79</v>
      </c>
      <c r="B96" t="s">
        <v>83</v>
      </c>
      <c r="C96">
        <v>7010</v>
      </c>
      <c r="D96">
        <v>6393</v>
      </c>
      <c r="E96">
        <v>5100</v>
      </c>
      <c r="F96">
        <v>5656</v>
      </c>
      <c r="G96">
        <v>6235</v>
      </c>
      <c r="H96">
        <v>5713</v>
      </c>
      <c r="I96">
        <v>6562</v>
      </c>
      <c r="J96">
        <v>6553</v>
      </c>
      <c r="K96">
        <v>6168</v>
      </c>
      <c r="L96">
        <v>3794</v>
      </c>
      <c r="M96">
        <v>28790</v>
      </c>
      <c r="N96" s="2">
        <v>0.1091957292674139</v>
      </c>
    </row>
    <row r="97" spans="1:14" hidden="1" x14ac:dyDescent="0.25">
      <c r="A97" t="s">
        <v>79</v>
      </c>
      <c r="B97" t="s">
        <v>85</v>
      </c>
      <c r="C97">
        <v>326</v>
      </c>
      <c r="D97">
        <v>192</v>
      </c>
      <c r="E97">
        <v>55</v>
      </c>
      <c r="F97">
        <v>40</v>
      </c>
      <c r="G97">
        <v>44</v>
      </c>
      <c r="H97">
        <v>0</v>
      </c>
      <c r="I97">
        <v>0</v>
      </c>
      <c r="J97">
        <v>0</v>
      </c>
      <c r="K97">
        <v>15</v>
      </c>
      <c r="L97">
        <v>29</v>
      </c>
      <c r="M97">
        <v>44</v>
      </c>
      <c r="N97" s="2">
        <v>1.668847546983748E-4</v>
      </c>
    </row>
    <row r="98" spans="1:14" hidden="1" x14ac:dyDescent="0.25">
      <c r="A98" t="s">
        <v>79</v>
      </c>
      <c r="B98" t="s">
        <v>116</v>
      </c>
      <c r="C98">
        <v>8998</v>
      </c>
      <c r="D98">
        <v>9331</v>
      </c>
      <c r="E98">
        <v>9101</v>
      </c>
      <c r="F98">
        <v>13324</v>
      </c>
      <c r="G98">
        <v>14037</v>
      </c>
      <c r="H98">
        <v>12433</v>
      </c>
      <c r="I98">
        <v>7320</v>
      </c>
      <c r="J98">
        <v>6871</v>
      </c>
      <c r="K98">
        <v>4085</v>
      </c>
      <c r="L98">
        <v>4616</v>
      </c>
      <c r="M98">
        <v>35325</v>
      </c>
      <c r="N98" s="2">
        <v>0.13398190817545649</v>
      </c>
    </row>
    <row r="99" spans="1:14" hidden="1" x14ac:dyDescent="0.25">
      <c r="A99" t="s">
        <v>79</v>
      </c>
      <c r="B99" t="s">
        <v>86</v>
      </c>
      <c r="C99">
        <v>1500</v>
      </c>
      <c r="D99">
        <v>1500</v>
      </c>
      <c r="E99">
        <v>1500</v>
      </c>
      <c r="F99">
        <v>1616</v>
      </c>
      <c r="G99">
        <v>1616</v>
      </c>
      <c r="H99">
        <v>1692</v>
      </c>
      <c r="I99">
        <v>1885</v>
      </c>
      <c r="J99">
        <v>1885</v>
      </c>
      <c r="K99">
        <v>1885</v>
      </c>
      <c r="L99">
        <v>1885</v>
      </c>
      <c r="M99">
        <v>9232</v>
      </c>
      <c r="N99" s="2">
        <v>3.5015455803986267E-2</v>
      </c>
    </row>
    <row r="100" spans="1:14" hidden="1" x14ac:dyDescent="0.25">
      <c r="A100" t="s">
        <v>79</v>
      </c>
      <c r="B100" t="s">
        <v>217</v>
      </c>
      <c r="C100">
        <v>222</v>
      </c>
      <c r="D100">
        <v>232</v>
      </c>
      <c r="E100">
        <v>165</v>
      </c>
      <c r="F100">
        <v>134</v>
      </c>
      <c r="G100">
        <v>128</v>
      </c>
      <c r="H100">
        <v>59</v>
      </c>
      <c r="I100">
        <v>34</v>
      </c>
      <c r="J100">
        <v>33</v>
      </c>
      <c r="K100">
        <v>29</v>
      </c>
      <c r="L100">
        <v>27</v>
      </c>
      <c r="M100">
        <v>182</v>
      </c>
      <c r="N100" s="2">
        <v>6.9029603079782292E-4</v>
      </c>
    </row>
    <row r="101" spans="1:14" hidden="1" x14ac:dyDescent="0.25">
      <c r="A101" t="s">
        <v>79</v>
      </c>
      <c r="B101" t="s">
        <v>117</v>
      </c>
      <c r="C101">
        <v>50</v>
      </c>
      <c r="D101">
        <v>27</v>
      </c>
      <c r="E101">
        <v>33</v>
      </c>
      <c r="F101">
        <v>0</v>
      </c>
      <c r="G101">
        <v>45</v>
      </c>
      <c r="H101">
        <v>34</v>
      </c>
      <c r="I101">
        <v>0</v>
      </c>
      <c r="J101">
        <v>24</v>
      </c>
      <c r="K101">
        <v>8</v>
      </c>
      <c r="L101">
        <v>0</v>
      </c>
      <c r="M101">
        <v>66</v>
      </c>
      <c r="N101" s="2">
        <v>2.5032713204756218E-4</v>
      </c>
    </row>
    <row r="102" spans="1:14" hidden="1" x14ac:dyDescent="0.25">
      <c r="A102" t="s">
        <v>79</v>
      </c>
      <c r="B102" t="s">
        <v>97</v>
      </c>
      <c r="C102">
        <v>385</v>
      </c>
      <c r="D102">
        <v>385</v>
      </c>
      <c r="E102">
        <v>385</v>
      </c>
      <c r="F102">
        <v>385</v>
      </c>
      <c r="G102">
        <v>385</v>
      </c>
      <c r="H102">
        <v>421</v>
      </c>
      <c r="I102">
        <v>423</v>
      </c>
      <c r="J102">
        <v>308</v>
      </c>
      <c r="K102">
        <v>400</v>
      </c>
      <c r="L102">
        <v>615</v>
      </c>
      <c r="M102">
        <v>2167</v>
      </c>
      <c r="N102" s="2">
        <v>8.2190741688949569E-3</v>
      </c>
    </row>
    <row r="103" spans="1:14" hidden="1" x14ac:dyDescent="0.25">
      <c r="A103" t="s">
        <v>79</v>
      </c>
      <c r="B103" t="s">
        <v>99</v>
      </c>
      <c r="F103">
        <v>38</v>
      </c>
      <c r="G103">
        <v>0</v>
      </c>
      <c r="H103">
        <v>40</v>
      </c>
      <c r="I103">
        <v>71</v>
      </c>
      <c r="J103">
        <v>71</v>
      </c>
      <c r="K103">
        <v>71</v>
      </c>
      <c r="L103">
        <v>71</v>
      </c>
      <c r="M103">
        <v>324</v>
      </c>
      <c r="N103" s="2">
        <v>1.2288786482334869E-3</v>
      </c>
    </row>
    <row r="104" spans="1:14" hidden="1" x14ac:dyDescent="0.25">
      <c r="A104" t="s">
        <v>79</v>
      </c>
      <c r="B104" t="s">
        <v>102</v>
      </c>
      <c r="C104">
        <v>21317</v>
      </c>
      <c r="D104">
        <v>22567</v>
      </c>
      <c r="E104">
        <v>23127</v>
      </c>
      <c r="F104">
        <v>23607</v>
      </c>
      <c r="G104">
        <v>24586</v>
      </c>
      <c r="H104">
        <v>23321</v>
      </c>
      <c r="I104">
        <v>21705</v>
      </c>
      <c r="J104">
        <v>22808</v>
      </c>
      <c r="K104">
        <v>19477</v>
      </c>
      <c r="L104">
        <v>21819</v>
      </c>
      <c r="M104">
        <v>109130</v>
      </c>
      <c r="N104" s="2">
        <v>0.41391212000531002</v>
      </c>
    </row>
    <row r="105" spans="1:14" hidden="1" x14ac:dyDescent="0.25">
      <c r="A105" t="s">
        <v>79</v>
      </c>
      <c r="B105" t="s">
        <v>175</v>
      </c>
      <c r="C105">
        <v>4500</v>
      </c>
      <c r="D105">
        <v>4328</v>
      </c>
      <c r="E105">
        <v>3311</v>
      </c>
      <c r="F105">
        <v>2950</v>
      </c>
      <c r="G105">
        <v>3657</v>
      </c>
      <c r="H105">
        <v>4529</v>
      </c>
      <c r="I105">
        <v>5882</v>
      </c>
      <c r="J105">
        <v>5622</v>
      </c>
      <c r="K105">
        <v>4204</v>
      </c>
      <c r="L105">
        <v>5754</v>
      </c>
      <c r="M105">
        <v>25991</v>
      </c>
      <c r="N105" s="2">
        <v>9.8579583167396789E-2</v>
      </c>
    </row>
    <row r="106" spans="1:14" hidden="1" x14ac:dyDescent="0.25">
      <c r="A106" t="s">
        <v>79</v>
      </c>
      <c r="B106" t="s">
        <v>202</v>
      </c>
      <c r="C106">
        <v>4821</v>
      </c>
      <c r="D106">
        <v>4277</v>
      </c>
      <c r="E106">
        <v>4156</v>
      </c>
      <c r="F106">
        <v>4115</v>
      </c>
      <c r="G106">
        <v>3478</v>
      </c>
      <c r="H106">
        <v>3485</v>
      </c>
      <c r="I106">
        <v>2910</v>
      </c>
      <c r="J106">
        <v>2863</v>
      </c>
      <c r="K106">
        <v>2991</v>
      </c>
      <c r="L106">
        <v>2282</v>
      </c>
      <c r="M106">
        <v>14531</v>
      </c>
      <c r="N106" s="2">
        <v>5.5113690239138258E-2</v>
      </c>
    </row>
    <row r="107" spans="1:14" hidden="1" x14ac:dyDescent="0.25">
      <c r="A107" t="s">
        <v>79</v>
      </c>
      <c r="B107" t="s">
        <v>106</v>
      </c>
      <c r="C107">
        <v>45</v>
      </c>
      <c r="D107">
        <v>45</v>
      </c>
      <c r="E107">
        <v>45</v>
      </c>
      <c r="F107">
        <v>45</v>
      </c>
      <c r="G107">
        <v>45</v>
      </c>
      <c r="H107">
        <v>45</v>
      </c>
      <c r="I107">
        <v>45</v>
      </c>
      <c r="J107">
        <v>45</v>
      </c>
      <c r="K107">
        <v>45</v>
      </c>
      <c r="L107">
        <v>45</v>
      </c>
      <c r="M107">
        <v>225</v>
      </c>
      <c r="N107" s="2">
        <v>8.5338795016214367E-4</v>
      </c>
    </row>
    <row r="108" spans="1:14" hidden="1" x14ac:dyDescent="0.25">
      <c r="A108" t="s">
        <v>79</v>
      </c>
      <c r="B108" t="s">
        <v>107</v>
      </c>
      <c r="C108">
        <v>2862</v>
      </c>
      <c r="D108">
        <v>3135</v>
      </c>
      <c r="E108">
        <v>2990</v>
      </c>
      <c r="F108">
        <v>3055</v>
      </c>
      <c r="G108">
        <v>3005</v>
      </c>
      <c r="H108">
        <v>2917</v>
      </c>
      <c r="I108">
        <v>2904</v>
      </c>
      <c r="J108">
        <v>2911</v>
      </c>
      <c r="K108">
        <v>2846</v>
      </c>
      <c r="L108">
        <v>2635</v>
      </c>
      <c r="M108">
        <v>14213</v>
      </c>
      <c r="N108" s="2">
        <v>5.3907568602909108E-2</v>
      </c>
    </row>
    <row r="109" spans="1:14" hidden="1" x14ac:dyDescent="0.25">
      <c r="A109" t="s">
        <v>79</v>
      </c>
      <c r="B109" t="s">
        <v>137</v>
      </c>
      <c r="C109">
        <v>467</v>
      </c>
      <c r="D109">
        <v>531</v>
      </c>
      <c r="E109">
        <v>566</v>
      </c>
      <c r="F109">
        <v>448</v>
      </c>
      <c r="G109">
        <v>382</v>
      </c>
      <c r="H109">
        <v>358</v>
      </c>
      <c r="I109">
        <v>196</v>
      </c>
      <c r="J109">
        <v>163</v>
      </c>
      <c r="K109">
        <v>124</v>
      </c>
      <c r="L109">
        <v>153</v>
      </c>
      <c r="M109">
        <v>994</v>
      </c>
      <c r="N109" s="2">
        <v>3.7700783220496479E-3</v>
      </c>
    </row>
    <row r="110" spans="1:14" hidden="1" x14ac:dyDescent="0.25">
      <c r="A110" t="s">
        <v>79</v>
      </c>
      <c r="B110" t="s">
        <v>113</v>
      </c>
      <c r="C110">
        <v>1596</v>
      </c>
      <c r="D110">
        <v>1794</v>
      </c>
      <c r="E110">
        <v>1884</v>
      </c>
      <c r="F110">
        <v>1287</v>
      </c>
      <c r="G110">
        <v>1123</v>
      </c>
      <c r="H110">
        <v>940</v>
      </c>
      <c r="I110">
        <v>582</v>
      </c>
      <c r="J110">
        <v>58</v>
      </c>
      <c r="K110">
        <v>6</v>
      </c>
      <c r="L110">
        <v>8</v>
      </c>
      <c r="M110">
        <v>1594</v>
      </c>
      <c r="N110" s="2">
        <v>6.0457795224820319E-3</v>
      </c>
    </row>
    <row r="111" spans="1:14" hidden="1" x14ac:dyDescent="0.25">
      <c r="A111" t="s">
        <v>79</v>
      </c>
      <c r="B111" t="s">
        <v>122</v>
      </c>
      <c r="C111">
        <v>960</v>
      </c>
      <c r="D111">
        <v>922</v>
      </c>
      <c r="E111">
        <v>926</v>
      </c>
      <c r="F111">
        <v>1200</v>
      </c>
      <c r="G111">
        <v>808</v>
      </c>
      <c r="H111">
        <v>707</v>
      </c>
      <c r="I111">
        <v>790</v>
      </c>
      <c r="J111">
        <v>801</v>
      </c>
      <c r="K111">
        <v>744</v>
      </c>
      <c r="L111">
        <v>455</v>
      </c>
      <c r="M111">
        <v>3497</v>
      </c>
      <c r="N111" s="2">
        <v>1.326354516318674E-2</v>
      </c>
    </row>
    <row r="112" spans="1:14" hidden="1" x14ac:dyDescent="0.25">
      <c r="A112" t="s">
        <v>79</v>
      </c>
      <c r="B112" t="s">
        <v>180</v>
      </c>
      <c r="C112">
        <v>3000</v>
      </c>
      <c r="D112">
        <v>2400</v>
      </c>
      <c r="E112">
        <v>2400</v>
      </c>
      <c r="F112">
        <v>2385</v>
      </c>
      <c r="G112">
        <v>3325</v>
      </c>
      <c r="H112">
        <v>3400</v>
      </c>
      <c r="I112">
        <v>3450</v>
      </c>
      <c r="J112">
        <v>3500</v>
      </c>
      <c r="K112">
        <v>3500</v>
      </c>
      <c r="L112">
        <v>3500</v>
      </c>
      <c r="M112">
        <v>17350</v>
      </c>
      <c r="N112" s="2">
        <v>6.5805693045836416E-2</v>
      </c>
    </row>
    <row r="113" spans="1:14" hidden="1" x14ac:dyDescent="0.25">
      <c r="A113" t="s">
        <v>78</v>
      </c>
      <c r="B113" t="s">
        <v>83</v>
      </c>
      <c r="C113">
        <v>49</v>
      </c>
      <c r="D113">
        <v>296</v>
      </c>
      <c r="E113">
        <v>383</v>
      </c>
      <c r="F113">
        <v>297</v>
      </c>
      <c r="G113">
        <v>208</v>
      </c>
      <c r="H113">
        <v>5</v>
      </c>
      <c r="I113">
        <v>5</v>
      </c>
      <c r="J113">
        <v>5</v>
      </c>
      <c r="K113">
        <v>5</v>
      </c>
      <c r="L113">
        <v>5</v>
      </c>
      <c r="M113">
        <v>25</v>
      </c>
      <c r="N113" s="2">
        <v>5.5796098736776322E-5</v>
      </c>
    </row>
    <row r="114" spans="1:14" hidden="1" x14ac:dyDescent="0.25">
      <c r="A114" t="s">
        <v>78</v>
      </c>
      <c r="B114" t="s">
        <v>181</v>
      </c>
      <c r="C114">
        <v>706</v>
      </c>
      <c r="D114">
        <v>851</v>
      </c>
      <c r="E114">
        <v>830</v>
      </c>
      <c r="F114">
        <v>870</v>
      </c>
      <c r="G114">
        <v>954</v>
      </c>
      <c r="H114">
        <v>975</v>
      </c>
      <c r="I114">
        <v>936</v>
      </c>
      <c r="J114">
        <v>892</v>
      </c>
      <c r="K114">
        <v>896</v>
      </c>
      <c r="L114">
        <v>919</v>
      </c>
      <c r="M114">
        <v>4618</v>
      </c>
      <c r="N114" s="2">
        <v>1.030665535865732E-2</v>
      </c>
    </row>
    <row r="115" spans="1:14" hidden="1" x14ac:dyDescent="0.25">
      <c r="A115" t="s">
        <v>78</v>
      </c>
      <c r="B115" t="s">
        <v>144</v>
      </c>
      <c r="C115">
        <v>953</v>
      </c>
      <c r="D115">
        <v>957</v>
      </c>
      <c r="E115">
        <v>956</v>
      </c>
      <c r="F115">
        <v>1125</v>
      </c>
      <c r="G115">
        <v>848</v>
      </c>
      <c r="H115">
        <v>776</v>
      </c>
      <c r="I115">
        <v>1043</v>
      </c>
      <c r="J115">
        <v>813</v>
      </c>
      <c r="K115">
        <v>1030</v>
      </c>
      <c r="L115">
        <v>1194</v>
      </c>
      <c r="M115">
        <v>4856</v>
      </c>
      <c r="N115" s="2">
        <v>1.083783421863143E-2</v>
      </c>
    </row>
    <row r="116" spans="1:14" hidden="1" x14ac:dyDescent="0.25">
      <c r="A116" t="s">
        <v>78</v>
      </c>
      <c r="B116" t="s">
        <v>85</v>
      </c>
      <c r="C116">
        <v>381</v>
      </c>
      <c r="D116">
        <v>494</v>
      </c>
      <c r="E116">
        <v>677</v>
      </c>
      <c r="F116">
        <v>432</v>
      </c>
      <c r="G116">
        <v>323</v>
      </c>
      <c r="H116">
        <v>411</v>
      </c>
      <c r="I116">
        <v>400</v>
      </c>
      <c r="J116">
        <v>400</v>
      </c>
      <c r="K116">
        <v>400</v>
      </c>
      <c r="L116">
        <v>400</v>
      </c>
      <c r="M116">
        <v>2011</v>
      </c>
      <c r="N116" s="2">
        <v>4.4882381823862878E-3</v>
      </c>
    </row>
    <row r="117" spans="1:14" hidden="1" x14ac:dyDescent="0.25">
      <c r="A117" t="s">
        <v>78</v>
      </c>
      <c r="B117" t="s">
        <v>187</v>
      </c>
      <c r="C117">
        <v>565</v>
      </c>
      <c r="D117">
        <v>115</v>
      </c>
      <c r="E117">
        <v>49</v>
      </c>
      <c r="F117">
        <v>30</v>
      </c>
      <c r="G117">
        <v>80</v>
      </c>
      <c r="H117">
        <v>157</v>
      </c>
      <c r="I117">
        <v>118</v>
      </c>
      <c r="J117">
        <v>164</v>
      </c>
      <c r="K117">
        <v>182</v>
      </c>
      <c r="L117">
        <v>185</v>
      </c>
      <c r="M117">
        <v>806</v>
      </c>
      <c r="N117" s="2">
        <v>1.798866223273669E-3</v>
      </c>
    </row>
    <row r="118" spans="1:14" hidden="1" x14ac:dyDescent="0.25">
      <c r="A118" t="s">
        <v>78</v>
      </c>
      <c r="B118" t="s">
        <v>86</v>
      </c>
      <c r="C118">
        <v>61994</v>
      </c>
      <c r="D118">
        <v>64895</v>
      </c>
      <c r="E118">
        <v>65369</v>
      </c>
      <c r="F118">
        <v>66545</v>
      </c>
      <c r="G118">
        <v>63956</v>
      </c>
      <c r="H118">
        <v>67472</v>
      </c>
      <c r="I118">
        <v>64938</v>
      </c>
      <c r="J118">
        <v>75452</v>
      </c>
      <c r="K118">
        <v>76000</v>
      </c>
      <c r="L118">
        <v>76000</v>
      </c>
      <c r="M118">
        <v>359862</v>
      </c>
      <c r="N118" s="2">
        <v>0.80315582734455204</v>
      </c>
    </row>
    <row r="119" spans="1:14" hidden="1" x14ac:dyDescent="0.25">
      <c r="A119" t="s">
        <v>78</v>
      </c>
      <c r="B119" t="s">
        <v>159</v>
      </c>
      <c r="C119">
        <v>43</v>
      </c>
      <c r="D119">
        <v>70</v>
      </c>
      <c r="E119">
        <v>10</v>
      </c>
      <c r="F119">
        <v>65</v>
      </c>
      <c r="G119">
        <v>93</v>
      </c>
      <c r="H119">
        <v>150</v>
      </c>
      <c r="I119">
        <v>230</v>
      </c>
      <c r="J119">
        <v>246</v>
      </c>
      <c r="K119">
        <v>137</v>
      </c>
      <c r="L119">
        <v>127</v>
      </c>
      <c r="M119">
        <v>890</v>
      </c>
      <c r="N119" s="2">
        <v>1.986341115029237E-3</v>
      </c>
    </row>
    <row r="120" spans="1:14" hidden="1" x14ac:dyDescent="0.25">
      <c r="A120" t="s">
        <v>78</v>
      </c>
      <c r="B120" t="s">
        <v>149</v>
      </c>
      <c r="C120">
        <v>100</v>
      </c>
      <c r="D120">
        <v>65</v>
      </c>
      <c r="E120">
        <v>70</v>
      </c>
      <c r="F120">
        <v>70</v>
      </c>
      <c r="G120">
        <v>50</v>
      </c>
      <c r="H120">
        <v>300</v>
      </c>
      <c r="I120">
        <v>1370</v>
      </c>
      <c r="J120">
        <v>1100</v>
      </c>
      <c r="K120">
        <v>1192</v>
      </c>
      <c r="L120">
        <v>500</v>
      </c>
      <c r="M120">
        <v>4462</v>
      </c>
      <c r="N120" s="2">
        <v>9.958487702539839E-3</v>
      </c>
    </row>
    <row r="121" spans="1:14" hidden="1" x14ac:dyDescent="0.25">
      <c r="A121" t="s">
        <v>78</v>
      </c>
      <c r="B121" t="s">
        <v>170</v>
      </c>
      <c r="C121">
        <v>100</v>
      </c>
      <c r="D121">
        <v>100</v>
      </c>
      <c r="E121">
        <v>100</v>
      </c>
      <c r="F121">
        <v>100</v>
      </c>
      <c r="G121">
        <v>100</v>
      </c>
      <c r="H121">
        <v>100</v>
      </c>
      <c r="I121">
        <v>100</v>
      </c>
      <c r="J121">
        <v>100</v>
      </c>
      <c r="K121">
        <v>100</v>
      </c>
      <c r="L121">
        <v>100</v>
      </c>
      <c r="M121">
        <v>500</v>
      </c>
      <c r="N121" s="2">
        <v>1.115921974735526E-3</v>
      </c>
    </row>
    <row r="122" spans="1:14" hidden="1" x14ac:dyDescent="0.25">
      <c r="A122" t="s">
        <v>78</v>
      </c>
      <c r="B122" t="s">
        <v>150</v>
      </c>
      <c r="E122">
        <v>0</v>
      </c>
      <c r="F122">
        <v>0</v>
      </c>
      <c r="G122">
        <v>0</v>
      </c>
      <c r="H122">
        <v>0</v>
      </c>
      <c r="I122">
        <v>45</v>
      </c>
      <c r="J122">
        <v>15</v>
      </c>
      <c r="K122">
        <v>32</v>
      </c>
      <c r="L122">
        <v>40</v>
      </c>
      <c r="M122">
        <v>132</v>
      </c>
      <c r="N122" s="2">
        <v>2.9460340133017899E-4</v>
      </c>
    </row>
    <row r="123" spans="1:14" hidden="1" x14ac:dyDescent="0.25">
      <c r="A123" t="s">
        <v>78</v>
      </c>
      <c r="B123" t="s">
        <v>173</v>
      </c>
      <c r="C123">
        <v>42</v>
      </c>
      <c r="F123">
        <v>1024</v>
      </c>
      <c r="G123">
        <v>710</v>
      </c>
      <c r="H123">
        <v>660</v>
      </c>
      <c r="I123">
        <v>543</v>
      </c>
      <c r="J123">
        <v>463</v>
      </c>
      <c r="K123">
        <v>42</v>
      </c>
      <c r="L123">
        <v>40</v>
      </c>
      <c r="M123">
        <v>1748</v>
      </c>
      <c r="N123" s="2">
        <v>3.901263223675401E-3</v>
      </c>
    </row>
    <row r="124" spans="1:14" hidden="1" x14ac:dyDescent="0.25">
      <c r="A124" t="s">
        <v>78</v>
      </c>
      <c r="B124" t="s">
        <v>174</v>
      </c>
      <c r="C124">
        <v>130</v>
      </c>
      <c r="D124">
        <v>140</v>
      </c>
      <c r="E124">
        <v>143</v>
      </c>
      <c r="F124">
        <v>169</v>
      </c>
      <c r="G124">
        <v>167</v>
      </c>
      <c r="H124">
        <v>272</v>
      </c>
      <c r="I124">
        <v>303</v>
      </c>
      <c r="J124">
        <v>220</v>
      </c>
      <c r="K124">
        <v>118</v>
      </c>
      <c r="L124">
        <v>71</v>
      </c>
      <c r="M124">
        <v>984</v>
      </c>
      <c r="N124" s="2">
        <v>2.1961344462795161E-3</v>
      </c>
    </row>
    <row r="125" spans="1:14" hidden="1" x14ac:dyDescent="0.25">
      <c r="A125" t="s">
        <v>78</v>
      </c>
      <c r="B125" t="s">
        <v>203</v>
      </c>
      <c r="F125">
        <v>27</v>
      </c>
      <c r="G125">
        <v>8</v>
      </c>
      <c r="H125">
        <v>12</v>
      </c>
      <c r="I125">
        <v>66</v>
      </c>
      <c r="J125">
        <v>13</v>
      </c>
      <c r="K125">
        <v>13</v>
      </c>
      <c r="L125">
        <v>20</v>
      </c>
      <c r="M125">
        <v>124</v>
      </c>
      <c r="N125" s="2">
        <v>2.7674864973441059E-4</v>
      </c>
    </row>
    <row r="126" spans="1:14" hidden="1" x14ac:dyDescent="0.25">
      <c r="A126" t="s">
        <v>78</v>
      </c>
      <c r="B126" t="s">
        <v>178</v>
      </c>
      <c r="C126">
        <v>763</v>
      </c>
      <c r="D126">
        <v>692</v>
      </c>
      <c r="E126">
        <v>671</v>
      </c>
      <c r="F126">
        <v>474</v>
      </c>
      <c r="G126">
        <v>549</v>
      </c>
      <c r="H126">
        <v>669</v>
      </c>
      <c r="I126">
        <v>715</v>
      </c>
      <c r="J126">
        <v>518</v>
      </c>
      <c r="K126">
        <v>535</v>
      </c>
      <c r="L126">
        <v>502</v>
      </c>
      <c r="M126">
        <v>2939</v>
      </c>
      <c r="N126" s="2">
        <v>6.5593893674954244E-3</v>
      </c>
    </row>
    <row r="127" spans="1:14" hidden="1" x14ac:dyDescent="0.25">
      <c r="A127" t="s">
        <v>78</v>
      </c>
      <c r="B127" t="s">
        <v>107</v>
      </c>
      <c r="C127">
        <v>3451</v>
      </c>
      <c r="D127">
        <v>2982</v>
      </c>
      <c r="E127">
        <v>2659</v>
      </c>
      <c r="F127">
        <v>2608</v>
      </c>
      <c r="G127">
        <v>3067</v>
      </c>
      <c r="H127">
        <v>2174</v>
      </c>
      <c r="I127">
        <v>2661</v>
      </c>
      <c r="J127">
        <v>2825</v>
      </c>
      <c r="K127">
        <v>2692</v>
      </c>
      <c r="L127">
        <v>2700</v>
      </c>
      <c r="M127">
        <v>13052</v>
      </c>
      <c r="N127" s="2">
        <v>2.913002722849618E-2</v>
      </c>
    </row>
    <row r="128" spans="1:14" hidden="1" x14ac:dyDescent="0.25">
      <c r="A128" t="s">
        <v>78</v>
      </c>
      <c r="B128" t="s">
        <v>204</v>
      </c>
      <c r="C128">
        <v>1061</v>
      </c>
      <c r="D128">
        <v>1205</v>
      </c>
      <c r="E128">
        <v>1385</v>
      </c>
      <c r="F128">
        <v>1259</v>
      </c>
      <c r="G128">
        <v>997</v>
      </c>
      <c r="H128">
        <v>929</v>
      </c>
      <c r="I128">
        <v>1039</v>
      </c>
      <c r="J128">
        <v>1303</v>
      </c>
      <c r="K128">
        <v>956</v>
      </c>
      <c r="L128">
        <v>1281</v>
      </c>
      <c r="M128">
        <v>5508</v>
      </c>
      <c r="N128" s="2">
        <v>1.2292996473686559E-2</v>
      </c>
    </row>
    <row r="129" spans="1:14" hidden="1" x14ac:dyDescent="0.25">
      <c r="A129" t="s">
        <v>78</v>
      </c>
      <c r="B129" t="s">
        <v>121</v>
      </c>
      <c r="C129">
        <v>393</v>
      </c>
      <c r="D129">
        <v>487</v>
      </c>
      <c r="E129">
        <v>822</v>
      </c>
      <c r="F129">
        <v>835</v>
      </c>
      <c r="G129">
        <v>699</v>
      </c>
      <c r="H129">
        <v>564</v>
      </c>
      <c r="I129">
        <v>856</v>
      </c>
      <c r="J129">
        <v>414</v>
      </c>
      <c r="K129">
        <v>238</v>
      </c>
      <c r="L129">
        <v>643</v>
      </c>
      <c r="M129">
        <v>2715</v>
      </c>
      <c r="N129" s="2">
        <v>6.0594563228139088E-3</v>
      </c>
    </row>
    <row r="130" spans="1:14" hidden="1" x14ac:dyDescent="0.25">
      <c r="A130" t="s">
        <v>78</v>
      </c>
      <c r="B130" t="s">
        <v>215</v>
      </c>
      <c r="C130">
        <v>85</v>
      </c>
      <c r="D130">
        <v>161</v>
      </c>
      <c r="E130">
        <v>110</v>
      </c>
      <c r="F130">
        <v>38</v>
      </c>
      <c r="G130">
        <v>37</v>
      </c>
      <c r="H130">
        <v>52</v>
      </c>
      <c r="I130">
        <v>81</v>
      </c>
      <c r="J130">
        <v>45</v>
      </c>
      <c r="K130">
        <v>70</v>
      </c>
      <c r="L130">
        <v>72</v>
      </c>
      <c r="M130">
        <v>320</v>
      </c>
      <c r="N130" s="2">
        <v>7.1419006383073699E-4</v>
      </c>
    </row>
    <row r="131" spans="1:14" hidden="1" x14ac:dyDescent="0.25">
      <c r="A131" t="s">
        <v>78</v>
      </c>
      <c r="B131" t="s">
        <v>142</v>
      </c>
      <c r="C131">
        <v>26</v>
      </c>
      <c r="D131">
        <v>44</v>
      </c>
      <c r="E131">
        <v>48</v>
      </c>
      <c r="F131">
        <v>28</v>
      </c>
      <c r="G131">
        <v>32</v>
      </c>
      <c r="H131">
        <v>47</v>
      </c>
      <c r="I131">
        <v>144</v>
      </c>
      <c r="J131">
        <v>110</v>
      </c>
      <c r="K131">
        <v>9</v>
      </c>
      <c r="L131">
        <v>10</v>
      </c>
      <c r="M131">
        <v>320</v>
      </c>
      <c r="N131" s="2">
        <v>7.1419006383073699E-4</v>
      </c>
    </row>
    <row r="132" spans="1:14" hidden="1" x14ac:dyDescent="0.25">
      <c r="A132" t="s">
        <v>78</v>
      </c>
      <c r="B132" t="s">
        <v>140</v>
      </c>
      <c r="C132">
        <v>0</v>
      </c>
      <c r="D132">
        <v>0</v>
      </c>
      <c r="E132">
        <v>0</v>
      </c>
      <c r="F132">
        <v>195</v>
      </c>
      <c r="G132">
        <v>923</v>
      </c>
      <c r="H132">
        <v>1370</v>
      </c>
      <c r="I132">
        <v>1240</v>
      </c>
      <c r="J132">
        <v>0</v>
      </c>
      <c r="K132">
        <v>0</v>
      </c>
      <c r="L132">
        <v>0</v>
      </c>
      <c r="M132">
        <v>2610</v>
      </c>
      <c r="N132" s="2">
        <v>5.825112708119448E-3</v>
      </c>
    </row>
    <row r="133" spans="1:14" hidden="1" x14ac:dyDescent="0.25">
      <c r="A133" t="s">
        <v>78</v>
      </c>
      <c r="B133" t="s">
        <v>180</v>
      </c>
      <c r="C133">
        <v>300</v>
      </c>
      <c r="D133">
        <v>300</v>
      </c>
      <c r="E133">
        <v>300</v>
      </c>
      <c r="F133">
        <v>300</v>
      </c>
      <c r="G133">
        <v>300</v>
      </c>
      <c r="H133">
        <v>300</v>
      </c>
      <c r="I133">
        <v>4</v>
      </c>
      <c r="J133">
        <v>2</v>
      </c>
      <c r="K133">
        <v>2</v>
      </c>
      <c r="L133">
        <v>2</v>
      </c>
      <c r="M133">
        <v>310</v>
      </c>
      <c r="N133" s="2">
        <v>6.9187162433602639E-4</v>
      </c>
    </row>
    <row r="134" spans="1:14" hidden="1" x14ac:dyDescent="0.25">
      <c r="A134" t="s">
        <v>78</v>
      </c>
      <c r="B134" t="s">
        <v>115</v>
      </c>
      <c r="C134">
        <v>0</v>
      </c>
      <c r="D134">
        <v>0</v>
      </c>
      <c r="E134">
        <v>3278</v>
      </c>
      <c r="F134">
        <v>4063</v>
      </c>
      <c r="G134">
        <v>5041</v>
      </c>
      <c r="H134">
        <v>5178</v>
      </c>
      <c r="I134">
        <v>4350</v>
      </c>
      <c r="J134">
        <v>4816</v>
      </c>
      <c r="K134">
        <v>8066</v>
      </c>
      <c r="L134">
        <v>15858</v>
      </c>
      <c r="M134">
        <v>38268</v>
      </c>
      <c r="N134" s="2">
        <v>8.5408204258358253E-2</v>
      </c>
    </row>
    <row r="135" spans="1:14" hidden="1" x14ac:dyDescent="0.25">
      <c r="A135" t="s">
        <v>78</v>
      </c>
      <c r="B135" t="s">
        <v>158</v>
      </c>
      <c r="C135">
        <v>0</v>
      </c>
      <c r="D135">
        <v>0</v>
      </c>
      <c r="E135">
        <v>0</v>
      </c>
      <c r="F135">
        <v>200</v>
      </c>
      <c r="G135">
        <v>1248</v>
      </c>
      <c r="H135">
        <v>1000</v>
      </c>
      <c r="I135">
        <v>0</v>
      </c>
      <c r="J135">
        <v>0</v>
      </c>
      <c r="K135">
        <v>0</v>
      </c>
      <c r="L135">
        <v>0</v>
      </c>
      <c r="M135">
        <v>1000</v>
      </c>
      <c r="N135" s="2">
        <v>2.2318439494710528E-3</v>
      </c>
    </row>
    <row r="136" spans="1:14" hidden="1" x14ac:dyDescent="0.25">
      <c r="A136" t="s">
        <v>73</v>
      </c>
      <c r="B136" t="s">
        <v>83</v>
      </c>
      <c r="D136">
        <v>0</v>
      </c>
      <c r="E136">
        <v>14</v>
      </c>
      <c r="F136">
        <v>22</v>
      </c>
      <c r="G136">
        <v>41</v>
      </c>
      <c r="H136">
        <v>21</v>
      </c>
      <c r="I136">
        <v>82</v>
      </c>
      <c r="J136">
        <v>99</v>
      </c>
      <c r="K136">
        <v>112</v>
      </c>
      <c r="L136">
        <v>73</v>
      </c>
      <c r="M136">
        <v>387</v>
      </c>
      <c r="N136" s="2">
        <v>2.0758060778743739E-4</v>
      </c>
    </row>
    <row r="137" spans="1:14" hidden="1" x14ac:dyDescent="0.25">
      <c r="A137" t="s">
        <v>73</v>
      </c>
      <c r="B137" t="s">
        <v>163</v>
      </c>
      <c r="C137">
        <v>11350</v>
      </c>
      <c r="D137">
        <v>10346</v>
      </c>
      <c r="E137">
        <v>9718</v>
      </c>
      <c r="F137">
        <v>8788</v>
      </c>
      <c r="G137">
        <v>8474</v>
      </c>
      <c r="H137">
        <v>9652</v>
      </c>
      <c r="I137">
        <v>9329</v>
      </c>
      <c r="J137">
        <v>9296</v>
      </c>
      <c r="K137">
        <v>8980</v>
      </c>
      <c r="L137">
        <v>9998</v>
      </c>
      <c r="M137">
        <v>47255</v>
      </c>
      <c r="N137" s="2">
        <v>2.5346825894044848E-2</v>
      </c>
    </row>
    <row r="138" spans="1:14" hidden="1" x14ac:dyDescent="0.25">
      <c r="A138" t="s">
        <v>73</v>
      </c>
      <c r="B138" t="s">
        <v>144</v>
      </c>
      <c r="C138">
        <v>14280</v>
      </c>
      <c r="D138">
        <v>14863</v>
      </c>
      <c r="E138">
        <v>15439</v>
      </c>
      <c r="F138">
        <v>15464</v>
      </c>
      <c r="G138">
        <v>16810</v>
      </c>
      <c r="H138">
        <v>16648</v>
      </c>
      <c r="I138">
        <v>15611</v>
      </c>
      <c r="J138">
        <v>15111</v>
      </c>
      <c r="K138">
        <v>10414</v>
      </c>
      <c r="L138">
        <v>16258</v>
      </c>
      <c r="M138">
        <v>74042</v>
      </c>
      <c r="N138" s="2">
        <v>3.9714944087331901E-2</v>
      </c>
    </row>
    <row r="139" spans="1:14" hidden="1" x14ac:dyDescent="0.25">
      <c r="A139" t="s">
        <v>73</v>
      </c>
      <c r="B139" t="s">
        <v>85</v>
      </c>
      <c r="C139">
        <v>11955</v>
      </c>
      <c r="D139">
        <v>14721</v>
      </c>
      <c r="E139">
        <v>22334</v>
      </c>
      <c r="F139">
        <v>16531</v>
      </c>
      <c r="G139">
        <v>17235</v>
      </c>
      <c r="H139">
        <v>16500</v>
      </c>
      <c r="I139">
        <v>16500</v>
      </c>
      <c r="J139">
        <v>16000</v>
      </c>
      <c r="K139">
        <v>16000</v>
      </c>
      <c r="L139">
        <v>10000</v>
      </c>
      <c r="M139">
        <v>75000</v>
      </c>
      <c r="N139" s="2">
        <v>4.0228799958805711E-2</v>
      </c>
    </row>
    <row r="140" spans="1:14" hidden="1" x14ac:dyDescent="0.25">
      <c r="A140" t="s">
        <v>73</v>
      </c>
      <c r="B140" t="s">
        <v>86</v>
      </c>
      <c r="C140">
        <v>147863</v>
      </c>
      <c r="D140">
        <v>159601</v>
      </c>
      <c r="E140">
        <v>187094</v>
      </c>
      <c r="F140">
        <v>167204</v>
      </c>
      <c r="G140">
        <v>182498</v>
      </c>
      <c r="H140">
        <v>178400</v>
      </c>
      <c r="I140">
        <v>177407</v>
      </c>
      <c r="J140">
        <v>182772</v>
      </c>
      <c r="K140">
        <v>202910</v>
      </c>
      <c r="L140">
        <v>200488</v>
      </c>
      <c r="M140">
        <v>941977</v>
      </c>
      <c r="N140" s="2">
        <v>0.50526139065061237</v>
      </c>
    </row>
    <row r="141" spans="1:14" hidden="1" x14ac:dyDescent="0.25">
      <c r="A141" t="s">
        <v>73</v>
      </c>
      <c r="B141" t="s">
        <v>97</v>
      </c>
      <c r="C141">
        <v>14</v>
      </c>
      <c r="D141">
        <v>23</v>
      </c>
      <c r="E141">
        <v>9</v>
      </c>
      <c r="F141">
        <v>17</v>
      </c>
      <c r="G141">
        <v>0</v>
      </c>
      <c r="H141">
        <v>14</v>
      </c>
      <c r="I141">
        <v>7</v>
      </c>
      <c r="J141">
        <v>0</v>
      </c>
      <c r="K141">
        <v>0</v>
      </c>
      <c r="L141">
        <v>0</v>
      </c>
      <c r="M141">
        <v>21</v>
      </c>
      <c r="N141" s="2">
        <v>1.1264063988465599E-5</v>
      </c>
    </row>
    <row r="142" spans="1:14" hidden="1" x14ac:dyDescent="0.25">
      <c r="A142" t="s">
        <v>73</v>
      </c>
      <c r="B142" t="s">
        <v>98</v>
      </c>
      <c r="C142">
        <v>79800</v>
      </c>
      <c r="D142">
        <v>54800</v>
      </c>
      <c r="E142">
        <v>69800</v>
      </c>
      <c r="F142">
        <v>67400</v>
      </c>
      <c r="G142">
        <v>66900</v>
      </c>
      <c r="H142">
        <v>78070</v>
      </c>
      <c r="I142">
        <v>83015</v>
      </c>
      <c r="J142">
        <v>76389</v>
      </c>
      <c r="K142">
        <v>58790</v>
      </c>
      <c r="L142">
        <v>72400</v>
      </c>
      <c r="M142">
        <v>368664</v>
      </c>
      <c r="N142" s="2">
        <v>0.1977454707735086</v>
      </c>
    </row>
    <row r="143" spans="1:14" hidden="1" x14ac:dyDescent="0.25">
      <c r="A143" t="s">
        <v>73</v>
      </c>
      <c r="B143" t="s">
        <v>119</v>
      </c>
      <c r="C143">
        <v>1133</v>
      </c>
      <c r="D143">
        <v>1786</v>
      </c>
      <c r="E143">
        <v>1746</v>
      </c>
      <c r="F143">
        <v>1688</v>
      </c>
      <c r="G143">
        <v>1620</v>
      </c>
      <c r="H143">
        <v>1624</v>
      </c>
      <c r="I143">
        <v>1647</v>
      </c>
      <c r="J143">
        <v>1551</v>
      </c>
      <c r="K143">
        <v>1507</v>
      </c>
      <c r="L143">
        <v>1878</v>
      </c>
      <c r="M143">
        <v>8207</v>
      </c>
      <c r="N143" s="2">
        <v>4.4021034834922463E-3</v>
      </c>
    </row>
    <row r="144" spans="1:14" hidden="1" x14ac:dyDescent="0.25">
      <c r="A144" t="s">
        <v>73</v>
      </c>
      <c r="B144" t="s">
        <v>103</v>
      </c>
      <c r="C144">
        <v>37792</v>
      </c>
      <c r="D144">
        <v>32668</v>
      </c>
      <c r="E144">
        <v>34971</v>
      </c>
      <c r="F144">
        <v>30209</v>
      </c>
      <c r="G144">
        <v>26802</v>
      </c>
      <c r="H144">
        <v>27172</v>
      </c>
      <c r="I144">
        <v>27085</v>
      </c>
      <c r="J144">
        <v>25752</v>
      </c>
      <c r="K144">
        <v>22325</v>
      </c>
      <c r="L144">
        <v>16619</v>
      </c>
      <c r="M144">
        <v>118953</v>
      </c>
      <c r="N144" s="2">
        <v>6.3804485886664208E-2</v>
      </c>
    </row>
    <row r="145" spans="1:14" hidden="1" x14ac:dyDescent="0.25">
      <c r="A145" t="s">
        <v>73</v>
      </c>
      <c r="B145" t="s">
        <v>146</v>
      </c>
      <c r="C145">
        <v>24811</v>
      </c>
      <c r="D145">
        <v>24181</v>
      </c>
      <c r="E145">
        <v>24460</v>
      </c>
      <c r="F145">
        <v>20396</v>
      </c>
      <c r="G145">
        <v>19390</v>
      </c>
      <c r="H145">
        <v>17906</v>
      </c>
      <c r="I145">
        <v>18255</v>
      </c>
      <c r="J145">
        <v>19555</v>
      </c>
      <c r="K145">
        <v>19585</v>
      </c>
      <c r="L145">
        <v>25947</v>
      </c>
      <c r="M145">
        <v>101248</v>
      </c>
      <c r="N145" s="2">
        <v>5.4307807176388813E-2</v>
      </c>
    </row>
    <row r="146" spans="1:14" hidden="1" x14ac:dyDescent="0.25">
      <c r="A146" t="s">
        <v>73</v>
      </c>
      <c r="B146" t="s">
        <v>151</v>
      </c>
      <c r="C146">
        <v>1375</v>
      </c>
      <c r="D146">
        <v>1900</v>
      </c>
      <c r="E146">
        <v>2263</v>
      </c>
      <c r="F146">
        <v>2059</v>
      </c>
      <c r="G146">
        <v>2903</v>
      </c>
      <c r="H146">
        <v>3380</v>
      </c>
      <c r="I146">
        <v>3817</v>
      </c>
      <c r="J146">
        <v>4099</v>
      </c>
      <c r="K146">
        <v>3915</v>
      </c>
      <c r="L146">
        <v>4617</v>
      </c>
      <c r="M146">
        <v>19828</v>
      </c>
      <c r="N146" s="2">
        <v>1.063542194110933E-2</v>
      </c>
    </row>
    <row r="147" spans="1:14" hidden="1" x14ac:dyDescent="0.25">
      <c r="A147" t="s">
        <v>73</v>
      </c>
      <c r="B147" t="s">
        <v>107</v>
      </c>
      <c r="C147">
        <v>900</v>
      </c>
      <c r="D147">
        <v>800</v>
      </c>
      <c r="E147">
        <v>0</v>
      </c>
      <c r="F147">
        <v>0</v>
      </c>
      <c r="G147">
        <v>0</v>
      </c>
      <c r="H147">
        <v>800</v>
      </c>
      <c r="I147">
        <v>1100</v>
      </c>
      <c r="J147">
        <v>1400</v>
      </c>
      <c r="K147">
        <v>1600</v>
      </c>
      <c r="L147">
        <v>1800</v>
      </c>
      <c r="M147">
        <v>6700</v>
      </c>
      <c r="N147" s="2">
        <v>3.5937727963199768E-3</v>
      </c>
    </row>
    <row r="148" spans="1:14" hidden="1" x14ac:dyDescent="0.25">
      <c r="A148" t="s">
        <v>73</v>
      </c>
      <c r="B148" t="s">
        <v>204</v>
      </c>
      <c r="C148">
        <v>0</v>
      </c>
      <c r="D148">
        <v>0</v>
      </c>
      <c r="F148">
        <v>0</v>
      </c>
      <c r="G148">
        <v>0</v>
      </c>
      <c r="H148">
        <v>0</v>
      </c>
      <c r="I148">
        <v>0</v>
      </c>
      <c r="J148">
        <v>800</v>
      </c>
      <c r="K148">
        <v>900</v>
      </c>
      <c r="L148">
        <v>1300</v>
      </c>
      <c r="M148">
        <v>3000</v>
      </c>
      <c r="N148" s="2">
        <v>1.609151998352228E-3</v>
      </c>
    </row>
    <row r="149" spans="1:14" hidden="1" x14ac:dyDescent="0.25">
      <c r="A149" t="s">
        <v>73</v>
      </c>
      <c r="B149" t="s">
        <v>208</v>
      </c>
      <c r="D149">
        <v>2400</v>
      </c>
      <c r="E149">
        <v>2600</v>
      </c>
      <c r="F149">
        <v>2700</v>
      </c>
      <c r="G149">
        <v>2800</v>
      </c>
      <c r="H149">
        <v>2800</v>
      </c>
      <c r="I149">
        <v>2800</v>
      </c>
      <c r="J149">
        <v>3800</v>
      </c>
      <c r="K149">
        <v>3700</v>
      </c>
      <c r="L149">
        <v>4000</v>
      </c>
      <c r="M149">
        <v>17100</v>
      </c>
      <c r="N149" s="2">
        <v>9.1721663906077014E-3</v>
      </c>
    </row>
    <row r="150" spans="1:14" hidden="1" x14ac:dyDescent="0.25">
      <c r="A150" t="s">
        <v>73</v>
      </c>
      <c r="B150" t="s">
        <v>215</v>
      </c>
      <c r="C150">
        <v>22992</v>
      </c>
      <c r="D150">
        <v>23087</v>
      </c>
      <c r="E150">
        <v>16661</v>
      </c>
      <c r="F150">
        <v>10502</v>
      </c>
      <c r="G150">
        <v>11088</v>
      </c>
      <c r="H150">
        <v>10601</v>
      </c>
      <c r="I150">
        <v>10880</v>
      </c>
      <c r="J150">
        <v>9597</v>
      </c>
      <c r="K150">
        <v>11307</v>
      </c>
      <c r="L150">
        <v>12069</v>
      </c>
      <c r="M150">
        <v>54454</v>
      </c>
      <c r="N150" s="2">
        <v>2.9208254306090749E-2</v>
      </c>
    </row>
    <row r="151" spans="1:14" hidden="1" x14ac:dyDescent="0.25">
      <c r="A151" t="s">
        <v>73</v>
      </c>
      <c r="B151" t="s">
        <v>115</v>
      </c>
      <c r="C151">
        <v>3095</v>
      </c>
      <c r="D151">
        <v>4961</v>
      </c>
      <c r="E151">
        <v>4688</v>
      </c>
      <c r="F151">
        <v>5500</v>
      </c>
      <c r="G151">
        <v>5500</v>
      </c>
      <c r="H151">
        <v>5500</v>
      </c>
      <c r="I151">
        <v>5500</v>
      </c>
      <c r="J151">
        <v>5500</v>
      </c>
      <c r="K151">
        <v>5500</v>
      </c>
      <c r="L151">
        <v>5500</v>
      </c>
      <c r="M151">
        <v>27500</v>
      </c>
      <c r="N151" s="2">
        <v>1.4750559984895431E-2</v>
      </c>
    </row>
    <row r="152" spans="1:14" hidden="1" x14ac:dyDescent="0.25">
      <c r="A152" t="s">
        <v>72</v>
      </c>
      <c r="B152" t="s">
        <v>83</v>
      </c>
      <c r="C152">
        <v>6158</v>
      </c>
      <c r="D152">
        <v>6472</v>
      </c>
      <c r="E152">
        <v>6898</v>
      </c>
      <c r="F152">
        <v>7158</v>
      </c>
      <c r="G152">
        <v>6635</v>
      </c>
      <c r="H152">
        <v>7402</v>
      </c>
      <c r="I152">
        <v>6871</v>
      </c>
      <c r="J152">
        <v>7738</v>
      </c>
      <c r="K152">
        <v>8118</v>
      </c>
      <c r="L152">
        <v>8772</v>
      </c>
      <c r="M152">
        <v>38901</v>
      </c>
      <c r="N152" s="2">
        <v>2.548286828840101E-2</v>
      </c>
    </row>
    <row r="153" spans="1:14" hidden="1" x14ac:dyDescent="0.25">
      <c r="A153" t="s">
        <v>72</v>
      </c>
      <c r="B153" t="s">
        <v>144</v>
      </c>
      <c r="C153">
        <v>19702</v>
      </c>
      <c r="D153">
        <v>19287</v>
      </c>
      <c r="E153">
        <v>19791</v>
      </c>
      <c r="F153">
        <v>20175</v>
      </c>
      <c r="G153">
        <v>17804</v>
      </c>
      <c r="H153">
        <v>18385</v>
      </c>
      <c r="I153">
        <v>17251</v>
      </c>
      <c r="J153">
        <v>17147</v>
      </c>
      <c r="K153">
        <v>14709</v>
      </c>
      <c r="L153">
        <v>19628</v>
      </c>
      <c r="M153">
        <v>87120</v>
      </c>
      <c r="N153" s="2">
        <v>5.7069676493804677E-2</v>
      </c>
    </row>
    <row r="154" spans="1:14" hidden="1" x14ac:dyDescent="0.25">
      <c r="A154" t="s">
        <v>72</v>
      </c>
      <c r="B154" t="s">
        <v>85</v>
      </c>
      <c r="C154">
        <v>13667</v>
      </c>
      <c r="D154">
        <v>16830</v>
      </c>
      <c r="E154">
        <v>25534</v>
      </c>
      <c r="F154">
        <v>25000</v>
      </c>
      <c r="G154">
        <v>26000</v>
      </c>
      <c r="H154">
        <v>18000</v>
      </c>
      <c r="I154">
        <v>17600</v>
      </c>
      <c r="J154">
        <v>14900</v>
      </c>
      <c r="K154">
        <v>16900</v>
      </c>
      <c r="L154">
        <v>15517</v>
      </c>
      <c r="M154">
        <v>82917</v>
      </c>
      <c r="N154" s="2">
        <v>5.4316418340642818E-2</v>
      </c>
    </row>
    <row r="155" spans="1:14" hidden="1" x14ac:dyDescent="0.25">
      <c r="A155" t="s">
        <v>72</v>
      </c>
      <c r="B155" t="s">
        <v>187</v>
      </c>
      <c r="C155">
        <v>117</v>
      </c>
      <c r="D155">
        <v>56</v>
      </c>
      <c r="E155">
        <v>81</v>
      </c>
      <c r="F155">
        <v>55</v>
      </c>
      <c r="G155">
        <v>51</v>
      </c>
      <c r="H155">
        <v>123</v>
      </c>
      <c r="I155">
        <v>126</v>
      </c>
      <c r="J155">
        <v>143</v>
      </c>
      <c r="K155">
        <v>121</v>
      </c>
      <c r="L155">
        <v>127</v>
      </c>
      <c r="M155">
        <v>640</v>
      </c>
      <c r="N155" s="2">
        <v>4.1924463907294532E-4</v>
      </c>
    </row>
    <row r="156" spans="1:14" hidden="1" x14ac:dyDescent="0.25">
      <c r="A156" t="s">
        <v>72</v>
      </c>
      <c r="B156" t="s">
        <v>86</v>
      </c>
      <c r="C156">
        <v>115700</v>
      </c>
      <c r="D156">
        <v>101236</v>
      </c>
      <c r="E156">
        <v>102052</v>
      </c>
      <c r="F156">
        <v>110156</v>
      </c>
      <c r="G156">
        <v>97165</v>
      </c>
      <c r="H156">
        <v>95549</v>
      </c>
      <c r="I156">
        <v>94838</v>
      </c>
      <c r="J156">
        <v>85840</v>
      </c>
      <c r="K156">
        <v>94463</v>
      </c>
      <c r="L156">
        <v>80000</v>
      </c>
      <c r="M156">
        <v>450690</v>
      </c>
      <c r="N156" s="2">
        <v>0.29523338497466523</v>
      </c>
    </row>
    <row r="157" spans="1:14" hidden="1" x14ac:dyDescent="0.25">
      <c r="A157" t="s">
        <v>72</v>
      </c>
      <c r="B157" t="s">
        <v>87</v>
      </c>
      <c r="C157">
        <v>0</v>
      </c>
      <c r="D157">
        <v>0</v>
      </c>
      <c r="E157">
        <v>5</v>
      </c>
      <c r="F157">
        <v>2</v>
      </c>
      <c r="G157">
        <v>0</v>
      </c>
      <c r="H157">
        <v>0</v>
      </c>
      <c r="I157">
        <v>0</v>
      </c>
      <c r="J157">
        <v>22</v>
      </c>
      <c r="K157">
        <v>10</v>
      </c>
      <c r="L157">
        <v>0</v>
      </c>
      <c r="M157">
        <v>32</v>
      </c>
      <c r="N157" s="2">
        <v>2.0962231953647269E-5</v>
      </c>
    </row>
    <row r="158" spans="1:14" hidden="1" x14ac:dyDescent="0.25">
      <c r="A158" t="s">
        <v>72</v>
      </c>
      <c r="B158" t="s">
        <v>159</v>
      </c>
      <c r="C158">
        <v>10439</v>
      </c>
      <c r="D158">
        <v>3427</v>
      </c>
      <c r="E158">
        <v>4012</v>
      </c>
      <c r="F158">
        <v>4567</v>
      </c>
      <c r="G158">
        <v>6503</v>
      </c>
      <c r="H158">
        <v>9725</v>
      </c>
      <c r="I158">
        <v>8950</v>
      </c>
      <c r="J158">
        <v>10991</v>
      </c>
      <c r="K158">
        <v>14673</v>
      </c>
      <c r="L158">
        <v>15963</v>
      </c>
      <c r="M158">
        <v>60302</v>
      </c>
      <c r="N158" s="2">
        <v>3.9502015977151167E-2</v>
      </c>
    </row>
    <row r="159" spans="1:14" hidden="1" x14ac:dyDescent="0.25">
      <c r="A159" t="s">
        <v>72</v>
      </c>
      <c r="B159" t="s">
        <v>97</v>
      </c>
      <c r="C159">
        <v>36</v>
      </c>
      <c r="D159">
        <v>26</v>
      </c>
      <c r="E159">
        <v>19</v>
      </c>
      <c r="F159">
        <v>10</v>
      </c>
      <c r="G159">
        <v>9</v>
      </c>
      <c r="H159">
        <v>13</v>
      </c>
      <c r="I159">
        <v>6</v>
      </c>
      <c r="J159">
        <v>5</v>
      </c>
      <c r="K159">
        <v>3</v>
      </c>
      <c r="L159">
        <v>15</v>
      </c>
      <c r="M159">
        <v>42</v>
      </c>
      <c r="N159" s="2">
        <v>2.7512929439162031E-5</v>
      </c>
    </row>
    <row r="160" spans="1:14" hidden="1" x14ac:dyDescent="0.25">
      <c r="A160" t="s">
        <v>72</v>
      </c>
      <c r="B160" t="s">
        <v>98</v>
      </c>
      <c r="C160">
        <v>103324</v>
      </c>
      <c r="D160">
        <v>92491</v>
      </c>
      <c r="E160">
        <v>88300</v>
      </c>
      <c r="F160">
        <v>70400</v>
      </c>
      <c r="G160">
        <v>69500</v>
      </c>
      <c r="H160">
        <v>78070</v>
      </c>
      <c r="I160">
        <v>82809</v>
      </c>
      <c r="J160">
        <v>86947</v>
      </c>
      <c r="K160">
        <v>65127</v>
      </c>
      <c r="L160">
        <v>34466</v>
      </c>
      <c r="M160">
        <v>347419</v>
      </c>
      <c r="N160" s="2">
        <v>0.2275836769720056</v>
      </c>
    </row>
    <row r="161" spans="1:14" hidden="1" x14ac:dyDescent="0.25">
      <c r="A161" t="s">
        <v>72</v>
      </c>
      <c r="B161" t="s">
        <v>148</v>
      </c>
      <c r="D161">
        <v>20</v>
      </c>
      <c r="E161">
        <v>68</v>
      </c>
      <c r="F161">
        <v>7</v>
      </c>
      <c r="G161">
        <v>63</v>
      </c>
      <c r="H161">
        <v>8</v>
      </c>
      <c r="I161">
        <v>10</v>
      </c>
      <c r="J161">
        <v>17</v>
      </c>
      <c r="K161">
        <v>1</v>
      </c>
      <c r="L161">
        <v>1</v>
      </c>
      <c r="M161">
        <v>37</v>
      </c>
      <c r="N161" s="2">
        <v>2.423758069640465E-5</v>
      </c>
    </row>
    <row r="162" spans="1:14" hidden="1" x14ac:dyDescent="0.25">
      <c r="A162" t="s">
        <v>72</v>
      </c>
      <c r="B162" t="s">
        <v>171</v>
      </c>
      <c r="C162">
        <v>468</v>
      </c>
      <c r="D162">
        <v>521</v>
      </c>
      <c r="E162">
        <v>782</v>
      </c>
      <c r="F162">
        <v>692</v>
      </c>
      <c r="G162">
        <v>1005</v>
      </c>
      <c r="H162">
        <v>975</v>
      </c>
      <c r="I162">
        <v>432</v>
      </c>
      <c r="J162">
        <v>526</v>
      </c>
      <c r="K162">
        <v>601</v>
      </c>
      <c r="L162">
        <v>891</v>
      </c>
      <c r="M162">
        <v>3425</v>
      </c>
      <c r="N162" s="2">
        <v>2.2436138887888088E-3</v>
      </c>
    </row>
    <row r="163" spans="1:14" hidden="1" x14ac:dyDescent="0.25">
      <c r="A163" t="s">
        <v>72</v>
      </c>
      <c r="B163" t="s">
        <v>103</v>
      </c>
      <c r="C163">
        <v>3725</v>
      </c>
      <c r="D163">
        <v>3697</v>
      </c>
      <c r="E163">
        <v>3777</v>
      </c>
      <c r="F163">
        <v>4125</v>
      </c>
      <c r="G163">
        <v>4158</v>
      </c>
      <c r="H163">
        <v>3894</v>
      </c>
      <c r="I163">
        <v>3868</v>
      </c>
      <c r="J163">
        <v>3611</v>
      </c>
      <c r="K163">
        <v>2963</v>
      </c>
      <c r="L163">
        <v>3013</v>
      </c>
      <c r="M163">
        <v>17349</v>
      </c>
      <c r="N163" s="2">
        <v>1.136480506761958E-2</v>
      </c>
    </row>
    <row r="164" spans="1:14" hidden="1" x14ac:dyDescent="0.25">
      <c r="A164" t="s">
        <v>72</v>
      </c>
      <c r="B164" t="s">
        <v>173</v>
      </c>
      <c r="C164">
        <v>54</v>
      </c>
      <c r="D164">
        <v>60</v>
      </c>
      <c r="E164">
        <v>60</v>
      </c>
      <c r="F164">
        <v>3</v>
      </c>
      <c r="G164">
        <v>25</v>
      </c>
      <c r="H164">
        <v>16</v>
      </c>
      <c r="I164">
        <v>26</v>
      </c>
      <c r="J164">
        <v>20</v>
      </c>
      <c r="K164">
        <v>40</v>
      </c>
      <c r="L164">
        <v>10</v>
      </c>
      <c r="M164">
        <v>112</v>
      </c>
      <c r="N164" s="2">
        <v>7.336781183776542E-5</v>
      </c>
    </row>
    <row r="165" spans="1:14" hidden="1" x14ac:dyDescent="0.25">
      <c r="A165" t="s">
        <v>72</v>
      </c>
      <c r="B165" t="s">
        <v>174</v>
      </c>
      <c r="C165">
        <v>5000</v>
      </c>
      <c r="D165">
        <v>19000</v>
      </c>
      <c r="E165">
        <v>26000</v>
      </c>
      <c r="F165">
        <v>43000</v>
      </c>
      <c r="G165">
        <v>57000</v>
      </c>
      <c r="H165">
        <v>68000</v>
      </c>
      <c r="I165">
        <v>55000</v>
      </c>
      <c r="J165">
        <v>50000</v>
      </c>
      <c r="K165">
        <v>36000</v>
      </c>
      <c r="L165">
        <v>32000</v>
      </c>
      <c r="M165">
        <v>241000</v>
      </c>
      <c r="N165" s="2">
        <v>0.15787180940090589</v>
      </c>
    </row>
    <row r="166" spans="1:14" hidden="1" x14ac:dyDescent="0.25">
      <c r="A166" t="s">
        <v>72</v>
      </c>
      <c r="B166" t="s">
        <v>175</v>
      </c>
      <c r="F166">
        <v>0</v>
      </c>
      <c r="G166">
        <v>0</v>
      </c>
      <c r="H166">
        <v>0</v>
      </c>
      <c r="I166">
        <v>0</v>
      </c>
      <c r="J166">
        <v>4</v>
      </c>
      <c r="K166">
        <v>284</v>
      </c>
      <c r="L166">
        <v>470</v>
      </c>
      <c r="M166">
        <v>758</v>
      </c>
      <c r="N166" s="2">
        <v>4.9654286940201955E-4</v>
      </c>
    </row>
    <row r="167" spans="1:14" hidden="1" x14ac:dyDescent="0.25">
      <c r="A167" t="s">
        <v>72</v>
      </c>
      <c r="B167" t="s">
        <v>203</v>
      </c>
      <c r="C167">
        <v>2408</v>
      </c>
      <c r="D167">
        <v>2516</v>
      </c>
      <c r="E167">
        <v>2485</v>
      </c>
      <c r="F167">
        <v>2298</v>
      </c>
      <c r="G167">
        <v>3443</v>
      </c>
      <c r="H167">
        <v>8626</v>
      </c>
      <c r="I167">
        <v>7852</v>
      </c>
      <c r="J167">
        <v>7020</v>
      </c>
      <c r="K167">
        <v>5848</v>
      </c>
      <c r="L167">
        <v>6900</v>
      </c>
      <c r="M167">
        <v>36246</v>
      </c>
      <c r="N167" s="2">
        <v>2.3743658105996841E-2</v>
      </c>
    </row>
    <row r="168" spans="1:14" hidden="1" x14ac:dyDescent="0.25">
      <c r="A168" t="s">
        <v>72</v>
      </c>
      <c r="B168" t="s">
        <v>146</v>
      </c>
      <c r="C168">
        <v>26105</v>
      </c>
      <c r="D168">
        <v>23668</v>
      </c>
      <c r="E168">
        <v>23105</v>
      </c>
      <c r="F168">
        <v>19511</v>
      </c>
      <c r="G168">
        <v>18789</v>
      </c>
      <c r="H168">
        <v>17790</v>
      </c>
      <c r="I168">
        <v>18601</v>
      </c>
      <c r="J168">
        <v>19853</v>
      </c>
      <c r="K168">
        <v>20647</v>
      </c>
      <c r="L168">
        <v>26995</v>
      </c>
      <c r="M168">
        <v>103886</v>
      </c>
      <c r="N168" s="2">
        <v>6.8052575898018747E-2</v>
      </c>
    </row>
    <row r="169" spans="1:14" hidden="1" x14ac:dyDescent="0.25">
      <c r="A169" t="s">
        <v>72</v>
      </c>
      <c r="B169" t="s">
        <v>178</v>
      </c>
      <c r="C169">
        <v>42</v>
      </c>
      <c r="D169">
        <v>84</v>
      </c>
      <c r="E169">
        <v>75</v>
      </c>
      <c r="F169">
        <v>42</v>
      </c>
      <c r="G169">
        <v>54</v>
      </c>
      <c r="H169">
        <v>81</v>
      </c>
      <c r="I169">
        <v>111</v>
      </c>
      <c r="J169">
        <v>108</v>
      </c>
      <c r="K169">
        <v>104</v>
      </c>
      <c r="L169">
        <v>60</v>
      </c>
      <c r="M169">
        <v>464</v>
      </c>
      <c r="N169" s="2">
        <v>3.0395236332788532E-4</v>
      </c>
    </row>
    <row r="170" spans="1:14" hidden="1" x14ac:dyDescent="0.25">
      <c r="A170" t="s">
        <v>72</v>
      </c>
      <c r="B170" t="s">
        <v>107</v>
      </c>
      <c r="C170">
        <v>249</v>
      </c>
      <c r="D170">
        <v>156</v>
      </c>
      <c r="E170">
        <v>321</v>
      </c>
      <c r="F170">
        <v>575</v>
      </c>
      <c r="G170">
        <v>627</v>
      </c>
      <c r="H170">
        <v>1011</v>
      </c>
      <c r="I170">
        <v>1530</v>
      </c>
      <c r="J170">
        <v>2471</v>
      </c>
      <c r="K170">
        <v>2539</v>
      </c>
      <c r="L170">
        <v>2908</v>
      </c>
      <c r="M170">
        <v>10459</v>
      </c>
      <c r="N170" s="2">
        <v>6.8513745000998976E-3</v>
      </c>
    </row>
    <row r="171" spans="1:14" hidden="1" x14ac:dyDescent="0.25">
      <c r="A171" t="s">
        <v>72</v>
      </c>
      <c r="B171" t="s">
        <v>204</v>
      </c>
      <c r="C171">
        <v>3477</v>
      </c>
      <c r="D171">
        <v>2943</v>
      </c>
      <c r="E171">
        <v>3560</v>
      </c>
      <c r="F171">
        <v>3071</v>
      </c>
      <c r="G171">
        <v>2200</v>
      </c>
      <c r="H171">
        <v>2592</v>
      </c>
      <c r="I171">
        <v>3190</v>
      </c>
      <c r="J171">
        <v>2688</v>
      </c>
      <c r="K171">
        <v>1728</v>
      </c>
      <c r="L171">
        <v>2158</v>
      </c>
      <c r="M171">
        <v>12356</v>
      </c>
      <c r="N171" s="2">
        <v>8.0940418131020507E-3</v>
      </c>
    </row>
    <row r="172" spans="1:14" hidden="1" x14ac:dyDescent="0.25">
      <c r="A172" t="s">
        <v>72</v>
      </c>
      <c r="B172" t="s">
        <v>121</v>
      </c>
      <c r="C172">
        <v>69</v>
      </c>
      <c r="D172">
        <v>0</v>
      </c>
      <c r="E172">
        <v>0</v>
      </c>
      <c r="F172">
        <v>0</v>
      </c>
      <c r="G172">
        <v>7</v>
      </c>
      <c r="H172">
        <v>23</v>
      </c>
      <c r="I172">
        <v>81</v>
      </c>
      <c r="J172">
        <v>101</v>
      </c>
      <c r="K172">
        <v>115</v>
      </c>
      <c r="L172">
        <v>220</v>
      </c>
      <c r="M172">
        <v>540</v>
      </c>
      <c r="N172" s="2">
        <v>3.5373766421779759E-4</v>
      </c>
    </row>
    <row r="173" spans="1:14" hidden="1" x14ac:dyDescent="0.25">
      <c r="A173" t="s">
        <v>72</v>
      </c>
      <c r="B173" t="s">
        <v>111</v>
      </c>
      <c r="C173">
        <v>68</v>
      </c>
      <c r="D173">
        <v>118</v>
      </c>
      <c r="E173">
        <v>59</v>
      </c>
      <c r="F173">
        <v>134</v>
      </c>
      <c r="G173">
        <v>104</v>
      </c>
      <c r="H173">
        <v>68</v>
      </c>
      <c r="I173">
        <v>6</v>
      </c>
      <c r="J173">
        <v>18</v>
      </c>
      <c r="K173">
        <v>35</v>
      </c>
      <c r="L173">
        <v>158</v>
      </c>
      <c r="M173">
        <v>285</v>
      </c>
      <c r="N173" s="2">
        <v>1.8669487833717101E-4</v>
      </c>
    </row>
    <row r="174" spans="1:14" hidden="1" x14ac:dyDescent="0.25">
      <c r="A174" t="s">
        <v>72</v>
      </c>
      <c r="B174" t="s">
        <v>215</v>
      </c>
      <c r="C174">
        <v>199</v>
      </c>
      <c r="D174">
        <v>83</v>
      </c>
      <c r="E174">
        <v>98</v>
      </c>
      <c r="F174">
        <v>45</v>
      </c>
      <c r="G174">
        <v>59</v>
      </c>
      <c r="H174">
        <v>341</v>
      </c>
      <c r="I174">
        <v>47</v>
      </c>
      <c r="J174">
        <v>46</v>
      </c>
      <c r="K174">
        <v>194</v>
      </c>
      <c r="L174">
        <v>216</v>
      </c>
      <c r="M174">
        <v>844</v>
      </c>
      <c r="N174" s="2">
        <v>5.5287886777744661E-4</v>
      </c>
    </row>
    <row r="175" spans="1:14" hidden="1" x14ac:dyDescent="0.25">
      <c r="A175" t="s">
        <v>72</v>
      </c>
      <c r="B175" t="s">
        <v>142</v>
      </c>
      <c r="C175">
        <v>0</v>
      </c>
      <c r="D175">
        <v>19</v>
      </c>
      <c r="E175">
        <v>33</v>
      </c>
      <c r="F175">
        <v>135</v>
      </c>
      <c r="G175">
        <v>63</v>
      </c>
      <c r="H175">
        <v>66</v>
      </c>
      <c r="I175">
        <v>53</v>
      </c>
      <c r="J175">
        <v>15</v>
      </c>
      <c r="K175">
        <v>0</v>
      </c>
      <c r="L175">
        <v>0</v>
      </c>
      <c r="M175">
        <v>134</v>
      </c>
      <c r="N175" s="2">
        <v>8.7779346305897927E-5</v>
      </c>
    </row>
    <row r="176" spans="1:14" hidden="1" x14ac:dyDescent="0.25">
      <c r="A176" t="s">
        <v>72</v>
      </c>
      <c r="B176" t="s">
        <v>140</v>
      </c>
      <c r="C176">
        <v>0</v>
      </c>
      <c r="D176">
        <v>0</v>
      </c>
      <c r="E176">
        <v>0</v>
      </c>
      <c r="F176">
        <v>0</v>
      </c>
      <c r="G176">
        <v>160</v>
      </c>
      <c r="H176">
        <v>255</v>
      </c>
      <c r="I176">
        <v>230</v>
      </c>
      <c r="J176">
        <v>0</v>
      </c>
      <c r="K176">
        <v>0</v>
      </c>
      <c r="L176">
        <v>0</v>
      </c>
      <c r="M176">
        <v>485</v>
      </c>
      <c r="N176" s="2">
        <v>3.1770882804746641E-4</v>
      </c>
    </row>
    <row r="177" spans="1:14" hidden="1" x14ac:dyDescent="0.25">
      <c r="A177" t="s">
        <v>72</v>
      </c>
      <c r="B177" t="s">
        <v>115</v>
      </c>
      <c r="C177">
        <v>3191</v>
      </c>
      <c r="D177">
        <v>5129</v>
      </c>
      <c r="E177">
        <v>4072</v>
      </c>
      <c r="F177">
        <v>4399</v>
      </c>
      <c r="G177">
        <v>4468</v>
      </c>
      <c r="H177">
        <v>5200</v>
      </c>
      <c r="I177">
        <v>5745</v>
      </c>
      <c r="J177">
        <v>6369</v>
      </c>
      <c r="K177">
        <v>6798</v>
      </c>
      <c r="L177">
        <v>6000</v>
      </c>
      <c r="M177">
        <v>30112</v>
      </c>
      <c r="N177" s="2">
        <v>1.9725460268382081E-2</v>
      </c>
    </row>
    <row r="178" spans="1:14" hidden="1" x14ac:dyDescent="0.25">
      <c r="A178" t="s">
        <v>71</v>
      </c>
      <c r="B178" t="s">
        <v>147</v>
      </c>
      <c r="E178">
        <v>5</v>
      </c>
      <c r="F178">
        <v>4</v>
      </c>
      <c r="G178">
        <v>4</v>
      </c>
      <c r="H178">
        <v>5</v>
      </c>
      <c r="I178">
        <v>4</v>
      </c>
      <c r="J178">
        <v>3</v>
      </c>
      <c r="K178">
        <v>3</v>
      </c>
      <c r="L178">
        <v>3</v>
      </c>
      <c r="M178">
        <v>18</v>
      </c>
      <c r="N178" s="2">
        <v>6.7950169875424689E-3</v>
      </c>
    </row>
    <row r="179" spans="1:14" hidden="1" x14ac:dyDescent="0.25">
      <c r="A179" t="s">
        <v>71</v>
      </c>
      <c r="B179" t="s">
        <v>116</v>
      </c>
      <c r="C179">
        <v>11</v>
      </c>
      <c r="D179">
        <v>12</v>
      </c>
      <c r="E179">
        <v>9</v>
      </c>
      <c r="F179">
        <v>9</v>
      </c>
      <c r="G179">
        <v>18</v>
      </c>
      <c r="H179">
        <v>17</v>
      </c>
      <c r="I179">
        <v>17</v>
      </c>
      <c r="J179">
        <v>15</v>
      </c>
      <c r="K179">
        <v>23</v>
      </c>
      <c r="L179">
        <v>25</v>
      </c>
      <c r="M179">
        <v>97</v>
      </c>
      <c r="N179" s="2">
        <v>3.661759154397886E-2</v>
      </c>
    </row>
    <row r="180" spans="1:14" hidden="1" x14ac:dyDescent="0.25">
      <c r="A180" t="s">
        <v>71</v>
      </c>
      <c r="B180" t="s">
        <v>86</v>
      </c>
      <c r="C180">
        <v>110</v>
      </c>
      <c r="D180">
        <v>150</v>
      </c>
      <c r="E180">
        <v>180</v>
      </c>
      <c r="F180">
        <v>210</v>
      </c>
      <c r="G180">
        <v>279</v>
      </c>
      <c r="H180">
        <v>291</v>
      </c>
      <c r="I180">
        <v>357</v>
      </c>
      <c r="J180">
        <v>461</v>
      </c>
      <c r="K180">
        <v>330</v>
      </c>
      <c r="L180">
        <v>349</v>
      </c>
      <c r="M180">
        <v>1788</v>
      </c>
      <c r="N180" s="2">
        <v>0.67497168742921854</v>
      </c>
    </row>
    <row r="181" spans="1:14" hidden="1" x14ac:dyDescent="0.25">
      <c r="A181" t="s">
        <v>71</v>
      </c>
      <c r="B181" t="s">
        <v>119</v>
      </c>
      <c r="C181">
        <v>43</v>
      </c>
      <c r="D181">
        <v>31</v>
      </c>
      <c r="E181">
        <v>32</v>
      </c>
      <c r="F181">
        <v>34</v>
      </c>
      <c r="G181">
        <v>28</v>
      </c>
      <c r="H181">
        <v>38</v>
      </c>
      <c r="I181">
        <v>58</v>
      </c>
      <c r="J181">
        <v>50</v>
      </c>
      <c r="K181">
        <v>70</v>
      </c>
      <c r="L181">
        <v>75</v>
      </c>
      <c r="M181">
        <v>291</v>
      </c>
      <c r="N181" s="2">
        <v>0.1098527746319366</v>
      </c>
    </row>
    <row r="182" spans="1:14" hidden="1" x14ac:dyDescent="0.25">
      <c r="A182" t="s">
        <v>71</v>
      </c>
      <c r="B182" t="s">
        <v>107</v>
      </c>
      <c r="C182">
        <v>30</v>
      </c>
      <c r="D182">
        <v>31</v>
      </c>
      <c r="E182">
        <v>33</v>
      </c>
      <c r="F182">
        <v>34</v>
      </c>
      <c r="G182">
        <v>40</v>
      </c>
      <c r="H182">
        <v>44</v>
      </c>
      <c r="I182">
        <v>46</v>
      </c>
      <c r="J182">
        <v>50</v>
      </c>
      <c r="K182">
        <v>55</v>
      </c>
      <c r="L182">
        <v>56</v>
      </c>
      <c r="M182">
        <v>251</v>
      </c>
      <c r="N182" s="2">
        <v>9.4752736881842201E-2</v>
      </c>
    </row>
    <row r="183" spans="1:14" hidden="1" x14ac:dyDescent="0.25">
      <c r="A183" t="s">
        <v>71</v>
      </c>
      <c r="B183" t="s">
        <v>138</v>
      </c>
      <c r="C183">
        <v>7</v>
      </c>
      <c r="D183">
        <v>24</v>
      </c>
      <c r="E183">
        <v>31</v>
      </c>
      <c r="F183">
        <v>33</v>
      </c>
      <c r="G183">
        <v>39</v>
      </c>
      <c r="H183">
        <v>35</v>
      </c>
      <c r="I183">
        <v>45</v>
      </c>
      <c r="J183">
        <v>41</v>
      </c>
      <c r="K183">
        <v>42</v>
      </c>
      <c r="L183">
        <v>41</v>
      </c>
      <c r="M183">
        <v>204</v>
      </c>
      <c r="N183" s="2">
        <v>7.7010192525481316E-2</v>
      </c>
    </row>
    <row r="184" spans="1:14" hidden="1" x14ac:dyDescent="0.25">
      <c r="A184" t="s">
        <v>70</v>
      </c>
      <c r="B184" t="s">
        <v>83</v>
      </c>
      <c r="C184">
        <v>100</v>
      </c>
      <c r="D184">
        <v>0</v>
      </c>
      <c r="E184">
        <v>0</v>
      </c>
      <c r="F184">
        <v>250</v>
      </c>
      <c r="G184">
        <v>38</v>
      </c>
      <c r="H184">
        <v>74</v>
      </c>
      <c r="I184">
        <v>117</v>
      </c>
      <c r="J184">
        <v>247</v>
      </c>
      <c r="K184">
        <v>153</v>
      </c>
      <c r="L184">
        <v>208</v>
      </c>
      <c r="M184">
        <v>799</v>
      </c>
      <c r="N184" s="2">
        <v>4.924890792549916E-4</v>
      </c>
    </row>
    <row r="185" spans="1:14" hidden="1" x14ac:dyDescent="0.25">
      <c r="A185" t="s">
        <v>70</v>
      </c>
      <c r="B185" t="s">
        <v>83</v>
      </c>
      <c r="H185">
        <v>44</v>
      </c>
      <c r="I185">
        <v>70</v>
      </c>
      <c r="J185">
        <v>148</v>
      </c>
      <c r="K185">
        <v>92</v>
      </c>
      <c r="L185">
        <v>65</v>
      </c>
      <c r="M185">
        <v>419</v>
      </c>
      <c r="N185" s="2">
        <v>2.5826398524135362E-4</v>
      </c>
    </row>
    <row r="186" spans="1:14" hidden="1" x14ac:dyDescent="0.25">
      <c r="A186" t="s">
        <v>70</v>
      </c>
      <c r="B186" t="s">
        <v>144</v>
      </c>
      <c r="C186">
        <v>0</v>
      </c>
      <c r="D186">
        <v>0</v>
      </c>
      <c r="E186">
        <v>23</v>
      </c>
      <c r="F186">
        <v>1</v>
      </c>
      <c r="G186">
        <v>0</v>
      </c>
      <c r="H186">
        <v>9</v>
      </c>
      <c r="I186">
        <v>59</v>
      </c>
      <c r="J186">
        <v>40</v>
      </c>
      <c r="K186">
        <v>40</v>
      </c>
      <c r="L186">
        <v>2</v>
      </c>
      <c r="M186">
        <v>150</v>
      </c>
      <c r="N186" s="2">
        <v>9.2457273952751867E-5</v>
      </c>
    </row>
    <row r="187" spans="1:14" hidden="1" x14ac:dyDescent="0.25">
      <c r="A187" t="s">
        <v>70</v>
      </c>
      <c r="B187" t="s">
        <v>144</v>
      </c>
      <c r="H187">
        <v>5</v>
      </c>
      <c r="I187">
        <v>35</v>
      </c>
      <c r="J187">
        <v>24</v>
      </c>
      <c r="K187">
        <v>24</v>
      </c>
      <c r="L187">
        <v>1</v>
      </c>
      <c r="M187">
        <v>89</v>
      </c>
      <c r="N187" s="2">
        <v>5.4857982545299442E-5</v>
      </c>
    </row>
    <row r="188" spans="1:14" hidden="1" x14ac:dyDescent="0.25">
      <c r="A188" t="s">
        <v>70</v>
      </c>
      <c r="B188" t="s">
        <v>85</v>
      </c>
      <c r="C188">
        <v>210</v>
      </c>
      <c r="D188">
        <v>10000</v>
      </c>
      <c r="E188">
        <v>10000</v>
      </c>
      <c r="F188">
        <v>21975</v>
      </c>
      <c r="G188">
        <v>10518</v>
      </c>
      <c r="H188">
        <v>12455</v>
      </c>
      <c r="I188">
        <v>12348</v>
      </c>
      <c r="J188">
        <v>10276</v>
      </c>
      <c r="K188">
        <v>9963</v>
      </c>
      <c r="L188">
        <v>10523</v>
      </c>
      <c r="M188">
        <v>55565</v>
      </c>
      <c r="N188" s="2">
        <v>3.424925618123105E-2</v>
      </c>
    </row>
    <row r="189" spans="1:14" hidden="1" x14ac:dyDescent="0.25">
      <c r="A189" t="s">
        <v>70</v>
      </c>
      <c r="B189" t="s">
        <v>85</v>
      </c>
      <c r="C189">
        <v>112631</v>
      </c>
      <c r="H189">
        <v>6228</v>
      </c>
      <c r="I189">
        <v>6174</v>
      </c>
      <c r="J189">
        <v>5138</v>
      </c>
      <c r="K189">
        <v>4982</v>
      </c>
      <c r="L189">
        <v>5262</v>
      </c>
      <c r="M189">
        <v>27784</v>
      </c>
      <c r="N189" s="2">
        <v>1.712555266335505E-2</v>
      </c>
    </row>
    <row r="190" spans="1:14" hidden="1" x14ac:dyDescent="0.25">
      <c r="A190" t="s">
        <v>70</v>
      </c>
      <c r="B190" t="s">
        <v>85</v>
      </c>
      <c r="C190">
        <v>268000</v>
      </c>
      <c r="D190">
        <v>150000</v>
      </c>
      <c r="E190">
        <v>170000</v>
      </c>
      <c r="F190">
        <v>152709</v>
      </c>
      <c r="G190">
        <v>80700</v>
      </c>
      <c r="H190">
        <v>153169</v>
      </c>
      <c r="I190">
        <v>158489</v>
      </c>
      <c r="J190">
        <v>228885</v>
      </c>
      <c r="K190">
        <v>154049</v>
      </c>
      <c r="L190">
        <v>198777</v>
      </c>
      <c r="M190">
        <v>893369</v>
      </c>
      <c r="N190" s="2">
        <v>0.55065641582597324</v>
      </c>
    </row>
    <row r="191" spans="1:14" hidden="1" x14ac:dyDescent="0.25">
      <c r="A191" t="s">
        <v>70</v>
      </c>
      <c r="B191" t="s">
        <v>85</v>
      </c>
      <c r="H191">
        <v>80459</v>
      </c>
      <c r="I191">
        <v>95717</v>
      </c>
      <c r="J191">
        <v>123560</v>
      </c>
      <c r="K191">
        <v>82003</v>
      </c>
      <c r="L191">
        <v>108826</v>
      </c>
      <c r="M191">
        <v>490565</v>
      </c>
      <c r="N191" s="2">
        <v>0.30237535064421139</v>
      </c>
    </row>
    <row r="192" spans="1:14" hidden="1" x14ac:dyDescent="0.25">
      <c r="A192" t="s">
        <v>70</v>
      </c>
      <c r="B192" t="s">
        <v>187</v>
      </c>
      <c r="C192">
        <v>259</v>
      </c>
      <c r="D192">
        <v>74</v>
      </c>
      <c r="E192">
        <v>106</v>
      </c>
      <c r="F192">
        <v>53</v>
      </c>
      <c r="G192">
        <v>32</v>
      </c>
      <c r="H192">
        <v>74</v>
      </c>
      <c r="I192">
        <v>22</v>
      </c>
      <c r="J192">
        <v>22</v>
      </c>
      <c r="K192">
        <v>21</v>
      </c>
      <c r="L192">
        <v>21</v>
      </c>
      <c r="M192">
        <v>160</v>
      </c>
      <c r="N192" s="2">
        <v>9.8621092216268655E-5</v>
      </c>
    </row>
    <row r="193" spans="1:14" hidden="1" x14ac:dyDescent="0.25">
      <c r="A193" t="s">
        <v>70</v>
      </c>
      <c r="B193" t="s">
        <v>187</v>
      </c>
      <c r="H193">
        <v>41</v>
      </c>
      <c r="I193">
        <v>12</v>
      </c>
      <c r="J193">
        <v>12</v>
      </c>
      <c r="K193">
        <v>12</v>
      </c>
      <c r="L193">
        <v>12</v>
      </c>
      <c r="M193">
        <v>89</v>
      </c>
      <c r="N193" s="2">
        <v>5.4857982545299442E-5</v>
      </c>
    </row>
    <row r="194" spans="1:14" hidden="1" x14ac:dyDescent="0.25">
      <c r="A194" t="s">
        <v>70</v>
      </c>
      <c r="B194" t="s">
        <v>187</v>
      </c>
      <c r="H194">
        <v>14</v>
      </c>
      <c r="I194">
        <v>4</v>
      </c>
      <c r="J194">
        <v>4</v>
      </c>
      <c r="K194">
        <v>4</v>
      </c>
      <c r="L194">
        <v>4</v>
      </c>
      <c r="M194">
        <v>30</v>
      </c>
      <c r="N194" s="2">
        <v>1.8491454790550369E-5</v>
      </c>
    </row>
    <row r="195" spans="1:14" hidden="1" x14ac:dyDescent="0.25">
      <c r="A195" t="s">
        <v>70</v>
      </c>
      <c r="B195" t="s">
        <v>116</v>
      </c>
      <c r="C195">
        <v>10900</v>
      </c>
      <c r="D195">
        <v>12300</v>
      </c>
      <c r="E195">
        <v>13000</v>
      </c>
      <c r="F195">
        <v>11600</v>
      </c>
      <c r="G195">
        <v>11600</v>
      </c>
      <c r="H195">
        <v>12900</v>
      </c>
      <c r="I195">
        <v>14100</v>
      </c>
      <c r="J195">
        <v>12600</v>
      </c>
      <c r="K195">
        <v>11900</v>
      </c>
      <c r="L195">
        <v>13900</v>
      </c>
      <c r="M195">
        <v>65400</v>
      </c>
      <c r="N195" s="2">
        <v>4.0311371443399822E-2</v>
      </c>
    </row>
    <row r="196" spans="1:14" hidden="1" x14ac:dyDescent="0.25">
      <c r="A196" t="s">
        <v>70</v>
      </c>
      <c r="B196" t="s">
        <v>116</v>
      </c>
      <c r="H196">
        <v>6981</v>
      </c>
      <c r="I196">
        <v>7600</v>
      </c>
      <c r="J196">
        <v>6800</v>
      </c>
      <c r="K196">
        <v>6400</v>
      </c>
      <c r="L196">
        <v>7500</v>
      </c>
      <c r="M196">
        <v>35281</v>
      </c>
      <c r="N196" s="2">
        <v>2.1746567215513591E-2</v>
      </c>
    </row>
    <row r="197" spans="1:14" hidden="1" x14ac:dyDescent="0.25">
      <c r="A197" t="s">
        <v>70</v>
      </c>
      <c r="B197" t="s">
        <v>86</v>
      </c>
      <c r="C197">
        <v>180</v>
      </c>
      <c r="D197">
        <v>190</v>
      </c>
      <c r="E197">
        <v>240</v>
      </c>
      <c r="F197">
        <v>250</v>
      </c>
      <c r="G197">
        <v>260</v>
      </c>
      <c r="H197">
        <v>300</v>
      </c>
      <c r="I197">
        <v>360</v>
      </c>
      <c r="J197">
        <v>304</v>
      </c>
      <c r="K197">
        <v>296</v>
      </c>
      <c r="L197">
        <v>304</v>
      </c>
      <c r="M197">
        <v>1564</v>
      </c>
      <c r="N197" s="2">
        <v>9.6402117641402609E-4</v>
      </c>
    </row>
    <row r="198" spans="1:14" hidden="1" x14ac:dyDescent="0.25">
      <c r="A198" t="s">
        <v>70</v>
      </c>
      <c r="B198" t="s">
        <v>86</v>
      </c>
      <c r="H198">
        <v>167</v>
      </c>
      <c r="I198">
        <v>201</v>
      </c>
      <c r="J198">
        <v>169</v>
      </c>
      <c r="K198">
        <v>165</v>
      </c>
      <c r="L198">
        <v>169</v>
      </c>
      <c r="M198">
        <v>871</v>
      </c>
      <c r="N198" s="2">
        <v>5.3686857075231252E-4</v>
      </c>
    </row>
    <row r="199" spans="1:14" hidden="1" x14ac:dyDescent="0.25">
      <c r="A199" t="s">
        <v>70</v>
      </c>
      <c r="B199" t="s">
        <v>86</v>
      </c>
      <c r="H199">
        <v>57</v>
      </c>
      <c r="I199">
        <v>68</v>
      </c>
      <c r="J199">
        <v>58</v>
      </c>
      <c r="K199">
        <v>56</v>
      </c>
      <c r="L199">
        <v>58</v>
      </c>
      <c r="M199">
        <v>297</v>
      </c>
      <c r="N199" s="2">
        <v>1.8306540242644869E-4</v>
      </c>
    </row>
    <row r="200" spans="1:14" hidden="1" x14ac:dyDescent="0.25">
      <c r="A200" t="s">
        <v>70</v>
      </c>
      <c r="B200" t="s">
        <v>159</v>
      </c>
      <c r="C200">
        <v>586</v>
      </c>
      <c r="D200">
        <v>500</v>
      </c>
      <c r="E200">
        <v>1140</v>
      </c>
      <c r="F200">
        <v>2102</v>
      </c>
      <c r="G200">
        <v>2414</v>
      </c>
      <c r="H200">
        <v>1996</v>
      </c>
      <c r="I200">
        <v>2267</v>
      </c>
      <c r="J200">
        <v>1256</v>
      </c>
      <c r="K200">
        <v>1712</v>
      </c>
      <c r="L200">
        <v>2422</v>
      </c>
      <c r="M200">
        <v>9653</v>
      </c>
      <c r="N200" s="2">
        <v>5.9499337697727587E-3</v>
      </c>
    </row>
    <row r="201" spans="1:14" hidden="1" x14ac:dyDescent="0.25">
      <c r="A201" t="s">
        <v>70</v>
      </c>
      <c r="B201" t="s">
        <v>159</v>
      </c>
      <c r="H201">
        <v>838</v>
      </c>
      <c r="I201">
        <v>952</v>
      </c>
      <c r="J201">
        <v>528</v>
      </c>
      <c r="K201">
        <v>719</v>
      </c>
      <c r="L201">
        <v>1017</v>
      </c>
      <c r="M201">
        <v>4054</v>
      </c>
      <c r="N201" s="2">
        <v>2.498811924029707E-3</v>
      </c>
    </row>
    <row r="202" spans="1:14" hidden="1" x14ac:dyDescent="0.25">
      <c r="A202" t="s">
        <v>70</v>
      </c>
      <c r="B202" t="s">
        <v>159</v>
      </c>
      <c r="H202">
        <v>699</v>
      </c>
      <c r="I202">
        <v>793</v>
      </c>
      <c r="J202">
        <v>440</v>
      </c>
      <c r="K202">
        <v>599</v>
      </c>
      <c r="L202">
        <v>848</v>
      </c>
      <c r="M202">
        <v>3379</v>
      </c>
      <c r="N202" s="2">
        <v>2.0827541912423241E-3</v>
      </c>
    </row>
    <row r="203" spans="1:14" hidden="1" x14ac:dyDescent="0.25">
      <c r="A203" t="s">
        <v>70</v>
      </c>
      <c r="B203" t="s">
        <v>193</v>
      </c>
      <c r="H203">
        <v>22</v>
      </c>
      <c r="I203">
        <v>26</v>
      </c>
      <c r="J203">
        <v>7</v>
      </c>
      <c r="K203">
        <v>7</v>
      </c>
      <c r="L203">
        <v>12</v>
      </c>
      <c r="M203">
        <v>74</v>
      </c>
      <c r="N203" s="2">
        <v>4.5612255150024247E-5</v>
      </c>
    </row>
    <row r="204" spans="1:14" hidden="1" x14ac:dyDescent="0.25">
      <c r="A204" t="s">
        <v>70</v>
      </c>
      <c r="B204" t="s">
        <v>193</v>
      </c>
      <c r="H204">
        <v>48</v>
      </c>
      <c r="I204">
        <v>37</v>
      </c>
      <c r="J204">
        <v>25</v>
      </c>
      <c r="K204">
        <v>10</v>
      </c>
      <c r="L204">
        <v>19</v>
      </c>
      <c r="M204">
        <v>139</v>
      </c>
      <c r="N204" s="2">
        <v>8.5677073862883393E-5</v>
      </c>
    </row>
    <row r="205" spans="1:14" hidden="1" x14ac:dyDescent="0.25">
      <c r="A205" t="s">
        <v>70</v>
      </c>
      <c r="B205" t="s">
        <v>103</v>
      </c>
      <c r="C205">
        <v>262</v>
      </c>
      <c r="D205">
        <v>190</v>
      </c>
      <c r="E205">
        <v>255</v>
      </c>
      <c r="F205">
        <v>86</v>
      </c>
      <c r="G205">
        <v>77</v>
      </c>
      <c r="H205">
        <v>61</v>
      </c>
      <c r="I205">
        <v>274</v>
      </c>
      <c r="J205">
        <v>12</v>
      </c>
      <c r="K205">
        <v>9</v>
      </c>
      <c r="L205">
        <v>0</v>
      </c>
      <c r="M205">
        <v>356</v>
      </c>
      <c r="N205" s="2">
        <v>2.1943193018119779E-4</v>
      </c>
    </row>
    <row r="206" spans="1:14" hidden="1" x14ac:dyDescent="0.25">
      <c r="A206" t="s">
        <v>70</v>
      </c>
      <c r="B206" t="s">
        <v>103</v>
      </c>
      <c r="G206">
        <v>0</v>
      </c>
      <c r="H206">
        <v>7</v>
      </c>
      <c r="I206">
        <v>33</v>
      </c>
      <c r="J206">
        <v>1</v>
      </c>
      <c r="K206">
        <v>1</v>
      </c>
      <c r="L206">
        <v>0</v>
      </c>
      <c r="M206">
        <v>42</v>
      </c>
      <c r="N206" s="2">
        <v>2.5888036706770521E-5</v>
      </c>
    </row>
    <row r="207" spans="1:14" hidden="1" x14ac:dyDescent="0.25">
      <c r="A207" t="s">
        <v>70</v>
      </c>
      <c r="B207" t="s">
        <v>105</v>
      </c>
      <c r="C207">
        <v>83</v>
      </c>
      <c r="D207">
        <v>43</v>
      </c>
      <c r="F207">
        <v>62606</v>
      </c>
      <c r="G207">
        <v>92</v>
      </c>
      <c r="H207">
        <v>127</v>
      </c>
      <c r="I207">
        <v>146</v>
      </c>
      <c r="J207">
        <v>132</v>
      </c>
      <c r="K207">
        <v>209</v>
      </c>
      <c r="L207">
        <v>175</v>
      </c>
      <c r="M207">
        <v>789</v>
      </c>
      <c r="N207" s="2">
        <v>4.8632526099147481E-4</v>
      </c>
    </row>
    <row r="208" spans="1:14" hidden="1" x14ac:dyDescent="0.25">
      <c r="A208" t="s">
        <v>70</v>
      </c>
      <c r="B208" t="s">
        <v>105</v>
      </c>
      <c r="H208">
        <v>76</v>
      </c>
      <c r="I208">
        <v>88</v>
      </c>
      <c r="J208">
        <v>79</v>
      </c>
      <c r="K208">
        <v>125</v>
      </c>
      <c r="L208">
        <v>105</v>
      </c>
      <c r="M208">
        <v>473</v>
      </c>
      <c r="N208" s="2">
        <v>2.915486038643442E-4</v>
      </c>
    </row>
    <row r="209" spans="1:14" hidden="1" x14ac:dyDescent="0.25">
      <c r="A209" t="s">
        <v>70</v>
      </c>
      <c r="B209" t="s">
        <v>203</v>
      </c>
      <c r="C209">
        <v>22</v>
      </c>
      <c r="D209">
        <v>21</v>
      </c>
      <c r="E209">
        <v>22</v>
      </c>
      <c r="F209">
        <v>22</v>
      </c>
      <c r="G209">
        <v>264</v>
      </c>
      <c r="H209">
        <v>1222</v>
      </c>
      <c r="I209">
        <v>1814</v>
      </c>
      <c r="J209">
        <v>1721</v>
      </c>
      <c r="K209">
        <v>1700</v>
      </c>
      <c r="L209">
        <v>1378</v>
      </c>
      <c r="M209">
        <v>7835</v>
      </c>
      <c r="N209" s="2">
        <v>4.8293516094654061E-3</v>
      </c>
    </row>
    <row r="210" spans="1:14" hidden="1" x14ac:dyDescent="0.25">
      <c r="A210" t="s">
        <v>70</v>
      </c>
      <c r="B210" t="s">
        <v>203</v>
      </c>
      <c r="H210">
        <v>681</v>
      </c>
      <c r="I210">
        <v>1010</v>
      </c>
      <c r="J210">
        <v>959</v>
      </c>
      <c r="K210">
        <v>947</v>
      </c>
      <c r="L210">
        <v>768</v>
      </c>
      <c r="M210">
        <v>4365</v>
      </c>
      <c r="N210" s="2">
        <v>2.6905066720250789E-3</v>
      </c>
    </row>
    <row r="211" spans="1:14" hidden="1" x14ac:dyDescent="0.25">
      <c r="A211" t="s">
        <v>70</v>
      </c>
      <c r="B211" t="s">
        <v>203</v>
      </c>
      <c r="H211">
        <v>231</v>
      </c>
      <c r="I211">
        <v>1037</v>
      </c>
      <c r="J211">
        <v>325</v>
      </c>
      <c r="K211">
        <v>321</v>
      </c>
      <c r="L211">
        <v>260</v>
      </c>
      <c r="M211">
        <v>2174</v>
      </c>
      <c r="N211" s="2">
        <v>1.3400140904885501E-3</v>
      </c>
    </row>
    <row r="212" spans="1:14" hidden="1" x14ac:dyDescent="0.25">
      <c r="A212" t="s">
        <v>70</v>
      </c>
      <c r="B212" t="s">
        <v>203</v>
      </c>
      <c r="C212">
        <v>63</v>
      </c>
      <c r="D212">
        <v>60</v>
      </c>
      <c r="E212">
        <v>60</v>
      </c>
      <c r="F212">
        <v>60</v>
      </c>
      <c r="G212">
        <v>28</v>
      </c>
      <c r="H212">
        <v>19</v>
      </c>
      <c r="I212">
        <v>0</v>
      </c>
      <c r="J212">
        <v>1</v>
      </c>
      <c r="K212">
        <v>1</v>
      </c>
      <c r="L212">
        <v>44</v>
      </c>
      <c r="M212">
        <v>65</v>
      </c>
      <c r="N212" s="2">
        <v>4.0064818712859139E-5</v>
      </c>
    </row>
    <row r="213" spans="1:14" hidden="1" x14ac:dyDescent="0.25">
      <c r="A213" t="s">
        <v>70</v>
      </c>
      <c r="B213" t="s">
        <v>203</v>
      </c>
      <c r="H213">
        <v>11</v>
      </c>
      <c r="I213">
        <v>0</v>
      </c>
      <c r="J213">
        <v>1</v>
      </c>
      <c r="K213">
        <v>1</v>
      </c>
      <c r="L213">
        <v>26</v>
      </c>
      <c r="M213">
        <v>39</v>
      </c>
      <c r="N213" s="2">
        <v>2.403889122771549E-5</v>
      </c>
    </row>
    <row r="214" spans="1:14" hidden="1" x14ac:dyDescent="0.25">
      <c r="A214" t="s">
        <v>70</v>
      </c>
      <c r="B214" t="s">
        <v>107</v>
      </c>
      <c r="H214">
        <v>648</v>
      </c>
      <c r="I214">
        <v>669</v>
      </c>
      <c r="J214">
        <v>659</v>
      </c>
      <c r="K214">
        <v>617</v>
      </c>
      <c r="L214">
        <v>650</v>
      </c>
      <c r="M214">
        <v>3243</v>
      </c>
      <c r="N214" s="2">
        <v>1.9989262628584952E-3</v>
      </c>
    </row>
    <row r="215" spans="1:14" hidden="1" x14ac:dyDescent="0.25">
      <c r="A215" t="s">
        <v>70</v>
      </c>
      <c r="B215" t="s">
        <v>107</v>
      </c>
      <c r="H215">
        <v>45</v>
      </c>
      <c r="I215">
        <v>44</v>
      </c>
      <c r="J215">
        <v>32</v>
      </c>
      <c r="K215">
        <v>60</v>
      </c>
      <c r="L215">
        <v>42</v>
      </c>
      <c r="M215">
        <v>223</v>
      </c>
      <c r="N215" s="2">
        <v>1.3745314727642451E-4</v>
      </c>
    </row>
    <row r="216" spans="1:14" hidden="1" x14ac:dyDescent="0.25">
      <c r="A216" t="s">
        <v>70</v>
      </c>
      <c r="B216" t="s">
        <v>204</v>
      </c>
      <c r="C216">
        <v>1145</v>
      </c>
      <c r="D216">
        <v>1753</v>
      </c>
      <c r="E216">
        <v>2295</v>
      </c>
      <c r="F216">
        <v>2086</v>
      </c>
      <c r="G216">
        <v>1485</v>
      </c>
      <c r="H216">
        <v>1327</v>
      </c>
      <c r="I216">
        <v>1861</v>
      </c>
      <c r="J216">
        <v>1519</v>
      </c>
      <c r="K216">
        <v>1201</v>
      </c>
      <c r="L216">
        <v>1118</v>
      </c>
      <c r="M216">
        <v>7026</v>
      </c>
      <c r="N216" s="2">
        <v>4.3306987119468973E-3</v>
      </c>
    </row>
    <row r="217" spans="1:14" hidden="1" x14ac:dyDescent="0.25">
      <c r="A217" t="s">
        <v>70</v>
      </c>
      <c r="B217" t="s">
        <v>204</v>
      </c>
      <c r="H217">
        <v>739</v>
      </c>
      <c r="I217">
        <v>1037</v>
      </c>
      <c r="J217">
        <v>846</v>
      </c>
      <c r="K217">
        <v>669</v>
      </c>
      <c r="L217">
        <v>623</v>
      </c>
      <c r="M217">
        <v>3914</v>
      </c>
      <c r="N217" s="2">
        <v>2.4125184683404721E-3</v>
      </c>
    </row>
    <row r="218" spans="1:14" hidden="1" x14ac:dyDescent="0.25">
      <c r="A218" t="s">
        <v>70</v>
      </c>
      <c r="B218" t="s">
        <v>204</v>
      </c>
      <c r="H218">
        <v>251</v>
      </c>
      <c r="I218">
        <v>352</v>
      </c>
      <c r="J218">
        <v>287</v>
      </c>
      <c r="K218">
        <v>227</v>
      </c>
      <c r="L218">
        <v>211</v>
      </c>
      <c r="M218">
        <v>1328</v>
      </c>
      <c r="N218" s="2">
        <v>8.1855506539502988E-4</v>
      </c>
    </row>
    <row r="219" spans="1:14" hidden="1" x14ac:dyDescent="0.25">
      <c r="A219" t="s">
        <v>70</v>
      </c>
      <c r="B219" t="s">
        <v>121</v>
      </c>
      <c r="H219">
        <v>0</v>
      </c>
      <c r="I219">
        <v>0</v>
      </c>
      <c r="J219">
        <v>15</v>
      </c>
      <c r="K219">
        <v>13</v>
      </c>
      <c r="L219">
        <v>15</v>
      </c>
      <c r="M219">
        <v>43</v>
      </c>
      <c r="N219" s="2">
        <v>2.6504418533122201E-5</v>
      </c>
    </row>
    <row r="220" spans="1:14" hidden="1" x14ac:dyDescent="0.25">
      <c r="A220" t="s">
        <v>70</v>
      </c>
      <c r="B220" t="s">
        <v>142</v>
      </c>
      <c r="C220">
        <v>0</v>
      </c>
      <c r="D220">
        <v>0</v>
      </c>
      <c r="E220">
        <v>0</v>
      </c>
      <c r="F220">
        <v>0</v>
      </c>
      <c r="G220">
        <v>13</v>
      </c>
      <c r="H220">
        <v>11</v>
      </c>
      <c r="I220">
        <v>7</v>
      </c>
      <c r="J220">
        <v>7</v>
      </c>
      <c r="K220">
        <v>173</v>
      </c>
      <c r="L220">
        <v>170</v>
      </c>
      <c r="M220">
        <v>368</v>
      </c>
      <c r="N220" s="2">
        <v>2.268285120974179E-4</v>
      </c>
    </row>
    <row r="221" spans="1:14" hidden="1" x14ac:dyDescent="0.25">
      <c r="A221" t="s">
        <v>70</v>
      </c>
      <c r="B221" t="s">
        <v>142</v>
      </c>
      <c r="H221">
        <v>6</v>
      </c>
      <c r="I221">
        <v>4</v>
      </c>
      <c r="J221">
        <v>4</v>
      </c>
      <c r="K221">
        <v>99</v>
      </c>
      <c r="L221">
        <v>97</v>
      </c>
      <c r="M221">
        <v>210</v>
      </c>
      <c r="N221" s="2">
        <v>1.2944018353385259E-4</v>
      </c>
    </row>
    <row r="222" spans="1:14" hidden="1" x14ac:dyDescent="0.25">
      <c r="A222" t="s">
        <v>70</v>
      </c>
      <c r="B222" t="s">
        <v>142</v>
      </c>
      <c r="H222">
        <v>2</v>
      </c>
      <c r="I222">
        <v>1</v>
      </c>
      <c r="J222">
        <v>1</v>
      </c>
      <c r="K222">
        <v>26</v>
      </c>
      <c r="L222">
        <v>26</v>
      </c>
      <c r="M222">
        <v>56</v>
      </c>
      <c r="N222" s="2">
        <v>3.4517382275694032E-5</v>
      </c>
    </row>
    <row r="223" spans="1:14" hidden="1" x14ac:dyDescent="0.25">
      <c r="A223" t="s">
        <v>70</v>
      </c>
      <c r="B223" t="s">
        <v>158</v>
      </c>
      <c r="H223">
        <v>27</v>
      </c>
      <c r="I223">
        <v>14</v>
      </c>
      <c r="J223">
        <v>7</v>
      </c>
      <c r="K223">
        <v>4</v>
      </c>
      <c r="L223">
        <v>0</v>
      </c>
      <c r="M223">
        <v>52</v>
      </c>
      <c r="N223" s="2">
        <v>3.2051854970287311E-5</v>
      </c>
    </row>
    <row r="224" spans="1:14" hidden="1" x14ac:dyDescent="0.25">
      <c r="A224" t="s">
        <v>70</v>
      </c>
      <c r="B224" t="s">
        <v>158</v>
      </c>
      <c r="H224">
        <v>15</v>
      </c>
      <c r="I224">
        <v>8</v>
      </c>
      <c r="J224">
        <v>4</v>
      </c>
      <c r="K224">
        <v>2</v>
      </c>
      <c r="L224">
        <v>0</v>
      </c>
      <c r="M224">
        <v>29</v>
      </c>
      <c r="N224" s="2">
        <v>1.7875072964198689E-5</v>
      </c>
    </row>
    <row r="225" spans="1:14" hidden="1" x14ac:dyDescent="0.25">
      <c r="A225" t="s">
        <v>70</v>
      </c>
      <c r="B225" t="s">
        <v>158</v>
      </c>
      <c r="H225">
        <v>5</v>
      </c>
      <c r="I225">
        <v>3</v>
      </c>
      <c r="J225">
        <v>1</v>
      </c>
      <c r="K225">
        <v>1</v>
      </c>
      <c r="L225">
        <v>0</v>
      </c>
      <c r="M225">
        <v>10</v>
      </c>
      <c r="N225" s="2">
        <v>6.1638182635167909E-6</v>
      </c>
    </row>
    <row r="226" spans="1:14" hidden="1" x14ac:dyDescent="0.25">
      <c r="A226" t="s">
        <v>69</v>
      </c>
      <c r="B226" t="s">
        <v>124</v>
      </c>
      <c r="C226">
        <v>22750</v>
      </c>
      <c r="D226">
        <v>5246</v>
      </c>
      <c r="E226">
        <v>5000</v>
      </c>
      <c r="F226">
        <v>5000</v>
      </c>
      <c r="G226">
        <v>5000</v>
      </c>
      <c r="H226">
        <v>5000</v>
      </c>
      <c r="I226">
        <v>700</v>
      </c>
      <c r="J226">
        <v>700</v>
      </c>
      <c r="K226">
        <v>700</v>
      </c>
      <c r="L226">
        <v>700</v>
      </c>
      <c r="M226">
        <v>7800</v>
      </c>
      <c r="N226" s="2">
        <v>3.9611241060809347E-3</v>
      </c>
    </row>
    <row r="227" spans="1:14" hidden="1" x14ac:dyDescent="0.25">
      <c r="A227" t="s">
        <v>69</v>
      </c>
      <c r="B227" t="s">
        <v>86</v>
      </c>
      <c r="C227">
        <v>96000</v>
      </c>
      <c r="D227">
        <v>76000</v>
      </c>
      <c r="E227">
        <v>50600</v>
      </c>
      <c r="F227">
        <v>53200</v>
      </c>
      <c r="G227">
        <v>65300</v>
      </c>
      <c r="H227">
        <v>53700</v>
      </c>
      <c r="I227">
        <v>50000</v>
      </c>
      <c r="J227">
        <v>50000</v>
      </c>
      <c r="K227">
        <v>80000</v>
      </c>
      <c r="L227">
        <v>80000</v>
      </c>
      <c r="M227">
        <v>313700</v>
      </c>
      <c r="N227" s="2">
        <v>0.1593082861637935</v>
      </c>
    </row>
    <row r="228" spans="1:14" hidden="1" x14ac:dyDescent="0.25">
      <c r="A228" t="s">
        <v>69</v>
      </c>
      <c r="B228" t="s">
        <v>99</v>
      </c>
      <c r="C228">
        <v>188790</v>
      </c>
      <c r="D228">
        <v>46240</v>
      </c>
      <c r="E228">
        <v>41050</v>
      </c>
      <c r="F228">
        <v>36760</v>
      </c>
      <c r="G228">
        <v>196689</v>
      </c>
      <c r="H228">
        <v>94610</v>
      </c>
      <c r="I228">
        <v>94200</v>
      </c>
      <c r="J228">
        <v>129040</v>
      </c>
      <c r="K228">
        <v>198779</v>
      </c>
      <c r="L228">
        <v>200000</v>
      </c>
      <c r="M228">
        <v>716629</v>
      </c>
      <c r="N228" s="2">
        <v>0.3639303085918813</v>
      </c>
    </row>
    <row r="229" spans="1:14" hidden="1" x14ac:dyDescent="0.25">
      <c r="A229" t="s">
        <v>69</v>
      </c>
      <c r="B229" t="s">
        <v>150</v>
      </c>
      <c r="C229">
        <v>46190</v>
      </c>
      <c r="D229">
        <v>67778</v>
      </c>
      <c r="E229">
        <v>64931</v>
      </c>
      <c r="F229">
        <v>79022</v>
      </c>
      <c r="G229">
        <v>33230</v>
      </c>
      <c r="H229">
        <v>40699</v>
      </c>
      <c r="I229">
        <v>35489</v>
      </c>
      <c r="J229">
        <v>39215</v>
      </c>
      <c r="K229">
        <v>38304</v>
      </c>
      <c r="L229">
        <v>21351</v>
      </c>
      <c r="M229">
        <v>175058</v>
      </c>
      <c r="N229" s="2">
        <v>8.8900828687476452E-2</v>
      </c>
    </row>
    <row r="230" spans="1:14" hidden="1" x14ac:dyDescent="0.25">
      <c r="A230" t="s">
        <v>69</v>
      </c>
      <c r="B230" t="s">
        <v>121</v>
      </c>
      <c r="C230">
        <v>96888</v>
      </c>
      <c r="D230">
        <v>90972</v>
      </c>
      <c r="E230">
        <v>128077</v>
      </c>
      <c r="F230">
        <v>116765</v>
      </c>
      <c r="G230">
        <v>85599</v>
      </c>
      <c r="H230">
        <v>99663</v>
      </c>
      <c r="I230">
        <v>90506</v>
      </c>
      <c r="J230">
        <v>162327</v>
      </c>
      <c r="K230">
        <v>121920</v>
      </c>
      <c r="L230">
        <v>281535</v>
      </c>
      <c r="M230">
        <v>755951</v>
      </c>
      <c r="N230" s="2">
        <v>0.38389945245076779</v>
      </c>
    </row>
    <row r="231" spans="1:14" hidden="1" x14ac:dyDescent="0.25">
      <c r="A231" t="s">
        <v>33</v>
      </c>
      <c r="B231" t="s">
        <v>183</v>
      </c>
      <c r="C231">
        <v>557000</v>
      </c>
      <c r="D231">
        <v>417000</v>
      </c>
      <c r="E231">
        <v>415000</v>
      </c>
      <c r="F231">
        <v>650000</v>
      </c>
      <c r="G231">
        <v>650000</v>
      </c>
      <c r="H231">
        <v>415000</v>
      </c>
      <c r="I231">
        <v>2300000</v>
      </c>
      <c r="J231">
        <v>2400000</v>
      </c>
      <c r="K231">
        <v>4000000</v>
      </c>
      <c r="L231">
        <v>4000000</v>
      </c>
      <c r="M231">
        <v>13115000</v>
      </c>
      <c r="N231" s="2">
        <v>1.4230533735279951E-3</v>
      </c>
    </row>
    <row r="232" spans="1:14" hidden="1" x14ac:dyDescent="0.25">
      <c r="A232" t="s">
        <v>33</v>
      </c>
      <c r="B232" t="s">
        <v>184</v>
      </c>
      <c r="H232">
        <v>250000</v>
      </c>
      <c r="I232">
        <v>275000</v>
      </c>
      <c r="J232">
        <v>290000</v>
      </c>
      <c r="K232">
        <v>250000</v>
      </c>
      <c r="L232">
        <v>275000</v>
      </c>
      <c r="M232">
        <v>1340000</v>
      </c>
      <c r="N232" s="2">
        <v>1.4539775223236851E-4</v>
      </c>
    </row>
    <row r="233" spans="1:14" hidden="1" x14ac:dyDescent="0.25">
      <c r="A233" t="s">
        <v>33</v>
      </c>
      <c r="B233" t="s">
        <v>124</v>
      </c>
      <c r="C233">
        <v>4996000</v>
      </c>
      <c r="D233">
        <v>5185710</v>
      </c>
      <c r="E233">
        <v>5488100</v>
      </c>
      <c r="F233">
        <v>5027900</v>
      </c>
      <c r="G233">
        <v>4126500</v>
      </c>
      <c r="H233">
        <v>4624173</v>
      </c>
      <c r="I233">
        <v>5161700</v>
      </c>
      <c r="J233">
        <v>4644500</v>
      </c>
      <c r="K233">
        <v>3651100</v>
      </c>
      <c r="L233">
        <v>4875300</v>
      </c>
      <c r="M233">
        <v>22956773</v>
      </c>
      <c r="N233" s="2">
        <v>2.490942681125916E-3</v>
      </c>
    </row>
    <row r="234" spans="1:14" hidden="1" x14ac:dyDescent="0.25">
      <c r="A234" t="s">
        <v>33</v>
      </c>
      <c r="B234" t="s">
        <v>83</v>
      </c>
      <c r="C234">
        <v>4850912</v>
      </c>
      <c r="D234">
        <v>4730900</v>
      </c>
      <c r="E234">
        <v>4582300</v>
      </c>
      <c r="F234">
        <v>4935300</v>
      </c>
      <c r="G234">
        <v>5160489</v>
      </c>
      <c r="H234">
        <v>5335000</v>
      </c>
      <c r="I234">
        <v>5775000</v>
      </c>
      <c r="J234">
        <v>5493000</v>
      </c>
      <c r="K234">
        <v>5489000</v>
      </c>
      <c r="L234">
        <v>5822000</v>
      </c>
      <c r="M234">
        <v>27914000</v>
      </c>
      <c r="N234" s="2">
        <v>3.0288304894136829E-3</v>
      </c>
    </row>
    <row r="235" spans="1:14" hidden="1" x14ac:dyDescent="0.25">
      <c r="A235" t="s">
        <v>33</v>
      </c>
      <c r="B235" t="s">
        <v>181</v>
      </c>
      <c r="C235">
        <v>7421000</v>
      </c>
      <c r="D235">
        <v>7953000</v>
      </c>
      <c r="E235">
        <v>7876000</v>
      </c>
      <c r="F235">
        <v>7687000</v>
      </c>
      <c r="G235">
        <v>7438000</v>
      </c>
      <c r="H235">
        <v>8134600</v>
      </c>
      <c r="I235">
        <v>6885000</v>
      </c>
      <c r="J235">
        <v>7423500</v>
      </c>
      <c r="K235">
        <v>6765100</v>
      </c>
      <c r="L235">
        <v>7920000</v>
      </c>
      <c r="M235">
        <v>37128200</v>
      </c>
      <c r="N235" s="2">
        <v>4.0286244958461382E-3</v>
      </c>
    </row>
    <row r="236" spans="1:14" hidden="1" x14ac:dyDescent="0.25">
      <c r="A236" t="s">
        <v>33</v>
      </c>
      <c r="B236" t="s">
        <v>125</v>
      </c>
      <c r="C236">
        <v>267660</v>
      </c>
      <c r="D236">
        <v>222800</v>
      </c>
      <c r="E236">
        <v>324119</v>
      </c>
      <c r="F236">
        <v>302015</v>
      </c>
      <c r="G236">
        <v>345340</v>
      </c>
      <c r="H236">
        <v>387258</v>
      </c>
      <c r="I236">
        <v>381617</v>
      </c>
      <c r="J236">
        <v>325895</v>
      </c>
      <c r="K236">
        <v>264506</v>
      </c>
      <c r="L236">
        <v>304077</v>
      </c>
      <c r="M236">
        <v>1663353</v>
      </c>
      <c r="N236" s="2">
        <v>1.8048342340967681E-4</v>
      </c>
    </row>
    <row r="237" spans="1:14" hidden="1" x14ac:dyDescent="0.25">
      <c r="A237" t="s">
        <v>33</v>
      </c>
      <c r="B237" t="s">
        <v>220</v>
      </c>
      <c r="C237">
        <v>2869373</v>
      </c>
      <c r="D237">
        <v>2394489</v>
      </c>
      <c r="E237">
        <v>2597807</v>
      </c>
      <c r="F237">
        <v>2577292</v>
      </c>
      <c r="G237">
        <v>2265517</v>
      </c>
      <c r="H237">
        <v>2432580</v>
      </c>
      <c r="I237">
        <v>2572862</v>
      </c>
      <c r="J237">
        <v>2717705</v>
      </c>
      <c r="K237">
        <v>2559577</v>
      </c>
      <c r="L237">
        <v>2390000</v>
      </c>
      <c r="M237">
        <v>12672724</v>
      </c>
      <c r="N237" s="2">
        <v>1.3750638688516351E-3</v>
      </c>
    </row>
    <row r="238" spans="1:14" hidden="1" x14ac:dyDescent="0.25">
      <c r="A238" t="s">
        <v>33</v>
      </c>
      <c r="B238" t="s">
        <v>163</v>
      </c>
      <c r="C238">
        <v>7301000</v>
      </c>
      <c r="D238">
        <v>7127000</v>
      </c>
      <c r="E238">
        <v>7331000</v>
      </c>
      <c r="F238">
        <v>7257000</v>
      </c>
      <c r="G238">
        <v>7687000</v>
      </c>
      <c r="H238">
        <v>7842300</v>
      </c>
      <c r="I238">
        <v>7980000</v>
      </c>
      <c r="J238">
        <v>7760000</v>
      </c>
      <c r="K238">
        <v>6120000</v>
      </c>
      <c r="L238">
        <v>6910000</v>
      </c>
      <c r="M238">
        <v>36612300</v>
      </c>
      <c r="N238" s="2">
        <v>3.9726463612366767E-3</v>
      </c>
    </row>
    <row r="239" spans="1:14" hidden="1" x14ac:dyDescent="0.25">
      <c r="A239" t="s">
        <v>33</v>
      </c>
      <c r="B239" t="s">
        <v>84</v>
      </c>
      <c r="C239">
        <v>700341</v>
      </c>
      <c r="D239">
        <v>722155</v>
      </c>
      <c r="E239">
        <v>792019</v>
      </c>
      <c r="F239">
        <v>795942</v>
      </c>
      <c r="G239">
        <v>783045</v>
      </c>
      <c r="H239">
        <v>734518</v>
      </c>
      <c r="I239">
        <v>677443</v>
      </c>
      <c r="J239">
        <v>800600</v>
      </c>
      <c r="K239">
        <v>740194</v>
      </c>
      <c r="L239">
        <v>774832</v>
      </c>
      <c r="M239">
        <v>3727587</v>
      </c>
      <c r="N239" s="2">
        <v>4.0446475451537162E-4</v>
      </c>
    </row>
    <row r="240" spans="1:14" hidden="1" x14ac:dyDescent="0.25">
      <c r="A240" t="s">
        <v>33</v>
      </c>
      <c r="B240" t="s">
        <v>85</v>
      </c>
      <c r="C240">
        <v>34524000</v>
      </c>
      <c r="D240">
        <v>34163000</v>
      </c>
      <c r="E240">
        <v>33897000</v>
      </c>
      <c r="F240">
        <v>33258000</v>
      </c>
      <c r="G240">
        <v>31642000</v>
      </c>
      <c r="H240">
        <v>34778000</v>
      </c>
      <c r="I240">
        <v>35407000</v>
      </c>
      <c r="J240">
        <v>32569000</v>
      </c>
      <c r="K240">
        <v>31415000</v>
      </c>
      <c r="L240">
        <v>36039400</v>
      </c>
      <c r="M240">
        <v>170208400</v>
      </c>
      <c r="N240" s="2">
        <v>1.8468596097811849E-2</v>
      </c>
    </row>
    <row r="241" spans="1:14" hidden="1" x14ac:dyDescent="0.25">
      <c r="A241" t="s">
        <v>33</v>
      </c>
      <c r="B241" t="s">
        <v>147</v>
      </c>
      <c r="C241">
        <v>633000</v>
      </c>
      <c r="D241">
        <v>523000</v>
      </c>
      <c r="E241">
        <v>612400</v>
      </c>
      <c r="F241">
        <v>543100</v>
      </c>
      <c r="G241">
        <v>527300</v>
      </c>
      <c r="H241">
        <v>652400</v>
      </c>
      <c r="I241">
        <v>666100</v>
      </c>
      <c r="J241">
        <v>565900</v>
      </c>
      <c r="K241">
        <v>483800</v>
      </c>
      <c r="L241">
        <v>547500</v>
      </c>
      <c r="M241">
        <v>2915700</v>
      </c>
      <c r="N241" s="2">
        <v>3.1637031804769919E-4</v>
      </c>
    </row>
    <row r="242" spans="1:14" hidden="1" x14ac:dyDescent="0.25">
      <c r="A242" t="s">
        <v>33</v>
      </c>
      <c r="B242" t="s">
        <v>116</v>
      </c>
      <c r="C242">
        <v>13507000</v>
      </c>
      <c r="D242">
        <v>12349000</v>
      </c>
      <c r="E242">
        <v>12595000</v>
      </c>
      <c r="F242">
        <v>12473000</v>
      </c>
      <c r="G242">
        <v>12672000</v>
      </c>
      <c r="H242">
        <v>13208000</v>
      </c>
      <c r="I242">
        <v>13443100</v>
      </c>
      <c r="J242">
        <v>12897000</v>
      </c>
      <c r="K242">
        <v>11078000</v>
      </c>
      <c r="L242">
        <v>12770000</v>
      </c>
      <c r="M242">
        <v>63396100</v>
      </c>
      <c r="N242" s="2">
        <v>6.8788436121630294E-3</v>
      </c>
    </row>
    <row r="243" spans="1:14" hidden="1" x14ac:dyDescent="0.25">
      <c r="A243" t="s">
        <v>33</v>
      </c>
      <c r="B243" t="s">
        <v>145</v>
      </c>
      <c r="C243">
        <v>1671000</v>
      </c>
      <c r="D243">
        <v>1323000</v>
      </c>
      <c r="E243">
        <v>1079000</v>
      </c>
      <c r="F243">
        <v>1112000</v>
      </c>
      <c r="G243">
        <v>1153000</v>
      </c>
      <c r="H243">
        <v>1158000</v>
      </c>
      <c r="I243">
        <v>1145000</v>
      </c>
      <c r="J243">
        <v>1133000</v>
      </c>
      <c r="K243">
        <v>1157000</v>
      </c>
      <c r="L243">
        <v>1326000</v>
      </c>
      <c r="M243">
        <v>5919000</v>
      </c>
      <c r="N243" s="2">
        <v>6.4224574288312638E-4</v>
      </c>
    </row>
    <row r="244" spans="1:14" hidden="1" x14ac:dyDescent="0.25">
      <c r="A244" t="s">
        <v>33</v>
      </c>
      <c r="B244" t="s">
        <v>86</v>
      </c>
      <c r="C244">
        <v>723882200</v>
      </c>
      <c r="D244">
        <v>813138900</v>
      </c>
      <c r="E244">
        <v>822306300</v>
      </c>
      <c r="F244">
        <v>803825000</v>
      </c>
      <c r="G244">
        <v>807609400</v>
      </c>
      <c r="H244">
        <v>870740900</v>
      </c>
      <c r="I244">
        <v>929038400</v>
      </c>
      <c r="J244">
        <v>996342000</v>
      </c>
      <c r="K244">
        <v>1064766800</v>
      </c>
      <c r="L244">
        <v>1032790000</v>
      </c>
      <c r="M244">
        <v>4893678100</v>
      </c>
      <c r="N244" s="2">
        <v>0.53099238499161794</v>
      </c>
    </row>
    <row r="245" spans="1:14" hidden="1" x14ac:dyDescent="0.25">
      <c r="A245" t="s">
        <v>33</v>
      </c>
      <c r="B245" t="s">
        <v>87</v>
      </c>
      <c r="C245">
        <v>1302000</v>
      </c>
      <c r="D245">
        <v>1236000</v>
      </c>
      <c r="E245">
        <v>1208000</v>
      </c>
      <c r="F245">
        <v>1358000</v>
      </c>
      <c r="G245">
        <v>1272000</v>
      </c>
      <c r="H245">
        <v>1252800</v>
      </c>
      <c r="I245">
        <v>1219000</v>
      </c>
      <c r="J245">
        <v>1332800</v>
      </c>
      <c r="K245">
        <v>1148900</v>
      </c>
      <c r="L245">
        <v>1314000</v>
      </c>
      <c r="M245">
        <v>6267500</v>
      </c>
      <c r="N245" s="2">
        <v>6.8006000904206703E-4</v>
      </c>
    </row>
    <row r="246" spans="1:14" hidden="1" x14ac:dyDescent="0.25">
      <c r="A246" t="s">
        <v>33</v>
      </c>
      <c r="B246" t="s">
        <v>159</v>
      </c>
      <c r="C246">
        <v>30000</v>
      </c>
      <c r="D246">
        <v>30000</v>
      </c>
      <c r="E246">
        <v>30000</v>
      </c>
      <c r="F246">
        <v>30000</v>
      </c>
      <c r="G246">
        <v>30000</v>
      </c>
      <c r="H246">
        <v>30000</v>
      </c>
      <c r="I246">
        <v>30000</v>
      </c>
      <c r="J246">
        <v>30000</v>
      </c>
      <c r="K246">
        <v>30000</v>
      </c>
      <c r="L246">
        <v>30000</v>
      </c>
      <c r="M246">
        <v>150000</v>
      </c>
      <c r="N246" s="2">
        <v>1.6275867787205429E-5</v>
      </c>
    </row>
    <row r="247" spans="1:14" hidden="1" x14ac:dyDescent="0.25">
      <c r="A247" t="s">
        <v>33</v>
      </c>
      <c r="B247" t="s">
        <v>88</v>
      </c>
      <c r="C247">
        <v>1016</v>
      </c>
      <c r="D247">
        <v>135000</v>
      </c>
      <c r="E247">
        <v>159000</v>
      </c>
      <c r="F247">
        <v>122000</v>
      </c>
      <c r="G247">
        <v>0</v>
      </c>
      <c r="H247">
        <v>0</v>
      </c>
      <c r="I247">
        <v>135800</v>
      </c>
      <c r="J247">
        <v>69126</v>
      </c>
      <c r="K247">
        <v>45273</v>
      </c>
      <c r="L247">
        <v>185143</v>
      </c>
      <c r="M247">
        <v>435342</v>
      </c>
      <c r="N247" s="2">
        <v>4.7237125561450589E-5</v>
      </c>
    </row>
    <row r="248" spans="1:14" hidden="1" x14ac:dyDescent="0.25">
      <c r="A248" t="s">
        <v>33</v>
      </c>
      <c r="B248" t="s">
        <v>160</v>
      </c>
      <c r="C248">
        <v>280899</v>
      </c>
      <c r="D248">
        <v>268814</v>
      </c>
      <c r="E248">
        <v>259130</v>
      </c>
      <c r="F248">
        <v>223441</v>
      </c>
      <c r="G248">
        <v>244000</v>
      </c>
      <c r="H248">
        <v>221000</v>
      </c>
      <c r="I248">
        <v>225400</v>
      </c>
      <c r="J248">
        <v>229900</v>
      </c>
      <c r="K248">
        <v>185200</v>
      </c>
      <c r="L248">
        <v>230800</v>
      </c>
      <c r="M248">
        <v>1092300</v>
      </c>
      <c r="N248" s="2">
        <v>1.1852086922642999E-4</v>
      </c>
    </row>
    <row r="249" spans="1:14" hidden="1" x14ac:dyDescent="0.25">
      <c r="A249" t="s">
        <v>33</v>
      </c>
      <c r="B249" t="s">
        <v>217</v>
      </c>
      <c r="C249">
        <v>5072082</v>
      </c>
      <c r="D249">
        <v>5171255</v>
      </c>
      <c r="E249">
        <v>5360000</v>
      </c>
      <c r="F249">
        <v>5261591</v>
      </c>
      <c r="G249">
        <v>5305000</v>
      </c>
      <c r="H249">
        <v>4553000</v>
      </c>
      <c r="I249">
        <v>4966000</v>
      </c>
      <c r="J249">
        <v>4600000</v>
      </c>
      <c r="K249">
        <v>2900000</v>
      </c>
      <c r="L249">
        <v>4700000</v>
      </c>
      <c r="M249">
        <v>21719000</v>
      </c>
      <c r="N249" s="2">
        <v>2.3566371498020991E-3</v>
      </c>
    </row>
    <row r="250" spans="1:14" hidden="1" x14ac:dyDescent="0.25">
      <c r="A250" t="s">
        <v>33</v>
      </c>
      <c r="B250" t="s">
        <v>89</v>
      </c>
      <c r="C250">
        <v>56000</v>
      </c>
      <c r="D250">
        <v>56000</v>
      </c>
      <c r="E250">
        <v>60000</v>
      </c>
      <c r="F250">
        <v>60000</v>
      </c>
      <c r="G250">
        <v>60000</v>
      </c>
      <c r="H250">
        <v>60000</v>
      </c>
      <c r="I250">
        <v>60000</v>
      </c>
      <c r="J250">
        <v>60000</v>
      </c>
      <c r="K250">
        <v>60000</v>
      </c>
      <c r="L250">
        <v>60000</v>
      </c>
      <c r="M250">
        <v>300000</v>
      </c>
      <c r="N250" s="2">
        <v>3.2551735574410858E-5</v>
      </c>
    </row>
    <row r="251" spans="1:14" hidden="1" x14ac:dyDescent="0.25">
      <c r="A251" t="s">
        <v>33</v>
      </c>
      <c r="B251" t="s">
        <v>167</v>
      </c>
      <c r="C251">
        <v>425000</v>
      </c>
      <c r="D251">
        <v>570000</v>
      </c>
      <c r="E251">
        <v>667000</v>
      </c>
      <c r="F251">
        <v>720000</v>
      </c>
      <c r="G251">
        <v>576000</v>
      </c>
      <c r="H251">
        <v>561000</v>
      </c>
      <c r="I251">
        <v>583400</v>
      </c>
      <c r="J251">
        <v>606800</v>
      </c>
      <c r="K251">
        <v>482200</v>
      </c>
      <c r="L251">
        <v>611600</v>
      </c>
      <c r="M251">
        <v>2845000</v>
      </c>
      <c r="N251" s="2">
        <v>3.0869895903066298E-4</v>
      </c>
    </row>
    <row r="252" spans="1:14" hidden="1" x14ac:dyDescent="0.25">
      <c r="A252" t="s">
        <v>33</v>
      </c>
      <c r="B252" t="s">
        <v>128</v>
      </c>
      <c r="C252">
        <v>6627000</v>
      </c>
      <c r="D252">
        <v>6754000</v>
      </c>
      <c r="E252">
        <v>6485000</v>
      </c>
      <c r="F252">
        <v>5506000</v>
      </c>
      <c r="G252">
        <v>5036000</v>
      </c>
      <c r="H252">
        <v>6870100</v>
      </c>
      <c r="I252">
        <v>7806800</v>
      </c>
      <c r="J252">
        <v>7257000</v>
      </c>
      <c r="K252">
        <v>8228700</v>
      </c>
      <c r="L252">
        <v>10293500</v>
      </c>
      <c r="M252">
        <v>40456100</v>
      </c>
      <c r="N252" s="2">
        <v>4.3897208985730794E-3</v>
      </c>
    </row>
    <row r="253" spans="1:14" hidden="1" x14ac:dyDescent="0.25">
      <c r="A253" t="s">
        <v>33</v>
      </c>
      <c r="B253" t="s">
        <v>221</v>
      </c>
      <c r="C253">
        <v>72000</v>
      </c>
      <c r="D253">
        <v>118000</v>
      </c>
      <c r="E253">
        <v>121000</v>
      </c>
      <c r="F253">
        <v>124000</v>
      </c>
      <c r="G253">
        <v>100000</v>
      </c>
      <c r="H253">
        <v>96000</v>
      </c>
      <c r="I253">
        <v>99000</v>
      </c>
      <c r="J253">
        <v>102000</v>
      </c>
      <c r="K253">
        <v>82000</v>
      </c>
      <c r="L253">
        <v>103000</v>
      </c>
      <c r="M253">
        <v>482000</v>
      </c>
      <c r="N253" s="2">
        <v>5.2299788489553457E-5</v>
      </c>
    </row>
    <row r="254" spans="1:14" hidden="1" x14ac:dyDescent="0.25">
      <c r="A254" t="s">
        <v>33</v>
      </c>
      <c r="B254" t="s">
        <v>154</v>
      </c>
      <c r="C254">
        <v>3759000</v>
      </c>
      <c r="D254">
        <v>3517000</v>
      </c>
      <c r="E254">
        <v>3808000</v>
      </c>
      <c r="F254">
        <v>3988000</v>
      </c>
      <c r="G254">
        <v>4102000</v>
      </c>
      <c r="H254">
        <v>4003634</v>
      </c>
      <c r="I254">
        <v>4100000</v>
      </c>
      <c r="J254">
        <v>3511000</v>
      </c>
      <c r="K254">
        <v>3482000</v>
      </c>
      <c r="L254">
        <v>4322000</v>
      </c>
      <c r="M254">
        <v>19418634</v>
      </c>
      <c r="N254" s="2">
        <v>2.107034130614215E-3</v>
      </c>
    </row>
    <row r="255" spans="1:14" hidden="1" x14ac:dyDescent="0.25">
      <c r="A255" t="s">
        <v>33</v>
      </c>
      <c r="B255" t="s">
        <v>91</v>
      </c>
      <c r="C255">
        <v>15607227</v>
      </c>
      <c r="D255">
        <v>15685350</v>
      </c>
      <c r="E255">
        <v>16143625</v>
      </c>
      <c r="F255">
        <v>14984045</v>
      </c>
      <c r="G255">
        <v>14412574</v>
      </c>
      <c r="H255">
        <v>15504683</v>
      </c>
      <c r="I255">
        <v>15387355</v>
      </c>
      <c r="J255">
        <v>14449651</v>
      </c>
      <c r="K255">
        <v>11595698</v>
      </c>
      <c r="L255">
        <v>13946700</v>
      </c>
      <c r="M255">
        <v>70884087</v>
      </c>
      <c r="N255" s="2">
        <v>7.6913335215251163E-3</v>
      </c>
    </row>
    <row r="256" spans="1:14" hidden="1" x14ac:dyDescent="0.25">
      <c r="A256" t="s">
        <v>33</v>
      </c>
      <c r="B256" t="s">
        <v>117</v>
      </c>
      <c r="C256">
        <v>42661000</v>
      </c>
      <c r="D256">
        <v>42645000</v>
      </c>
      <c r="E256">
        <v>42943000</v>
      </c>
      <c r="F256">
        <v>42674000</v>
      </c>
      <c r="G256">
        <v>42081000</v>
      </c>
      <c r="H256">
        <v>43297000</v>
      </c>
      <c r="I256">
        <v>42435000</v>
      </c>
      <c r="J256">
        <v>39667000</v>
      </c>
      <c r="K256">
        <v>35658000</v>
      </c>
      <c r="L256">
        <v>40000000</v>
      </c>
      <c r="M256">
        <v>201057000</v>
      </c>
      <c r="N256" s="2">
        <v>2.1815847664614418E-2</v>
      </c>
    </row>
    <row r="257" spans="1:14" hidden="1" x14ac:dyDescent="0.25">
      <c r="A257" t="s">
        <v>33</v>
      </c>
      <c r="B257" t="s">
        <v>92</v>
      </c>
      <c r="C257">
        <v>25000</v>
      </c>
      <c r="D257">
        <v>25000</v>
      </c>
      <c r="E257">
        <v>25000</v>
      </c>
      <c r="F257">
        <v>25000</v>
      </c>
      <c r="G257">
        <v>200000</v>
      </c>
      <c r="H257">
        <v>250000</v>
      </c>
      <c r="I257">
        <v>250000</v>
      </c>
      <c r="J257">
        <v>250000</v>
      </c>
      <c r="K257">
        <v>250000</v>
      </c>
      <c r="L257">
        <v>250000</v>
      </c>
      <c r="M257">
        <v>1250000</v>
      </c>
      <c r="N257" s="2">
        <v>1.3563223156004531E-4</v>
      </c>
    </row>
    <row r="258" spans="1:14" hidden="1" x14ac:dyDescent="0.25">
      <c r="A258" t="s">
        <v>33</v>
      </c>
      <c r="B258" t="s">
        <v>93</v>
      </c>
      <c r="C258">
        <v>1247000</v>
      </c>
      <c r="D258">
        <v>1030000</v>
      </c>
      <c r="E258">
        <v>1022000</v>
      </c>
      <c r="F258">
        <v>1067000</v>
      </c>
      <c r="G258">
        <v>1199000</v>
      </c>
      <c r="H258">
        <v>1359000</v>
      </c>
      <c r="I258">
        <v>1467000</v>
      </c>
      <c r="J258">
        <v>1350000</v>
      </c>
      <c r="K258">
        <v>1408000</v>
      </c>
      <c r="L258">
        <v>1498000</v>
      </c>
      <c r="M258">
        <v>7082000</v>
      </c>
      <c r="N258" s="2">
        <v>7.6843797112659251E-4</v>
      </c>
    </row>
    <row r="259" spans="1:14" hidden="1" x14ac:dyDescent="0.25">
      <c r="A259" t="s">
        <v>33</v>
      </c>
      <c r="B259" t="s">
        <v>196</v>
      </c>
      <c r="C259">
        <v>334000</v>
      </c>
      <c r="D259">
        <v>385000</v>
      </c>
      <c r="E259">
        <v>395000</v>
      </c>
      <c r="F259">
        <v>403000</v>
      </c>
      <c r="G259">
        <v>314000</v>
      </c>
      <c r="H259">
        <v>293800</v>
      </c>
      <c r="I259">
        <v>299700</v>
      </c>
      <c r="J259">
        <v>305700</v>
      </c>
      <c r="K259">
        <v>242600</v>
      </c>
      <c r="L259">
        <v>306900</v>
      </c>
      <c r="M259">
        <v>1448700</v>
      </c>
      <c r="N259" s="2">
        <v>1.5719233108883011E-4</v>
      </c>
    </row>
    <row r="260" spans="1:14" hidden="1" x14ac:dyDescent="0.25">
      <c r="A260" t="s">
        <v>33</v>
      </c>
      <c r="B260" t="s">
        <v>96</v>
      </c>
      <c r="C260">
        <v>1543000</v>
      </c>
      <c r="D260">
        <v>883000</v>
      </c>
      <c r="E260">
        <v>1152000</v>
      </c>
      <c r="F260">
        <v>1675000</v>
      </c>
      <c r="G260">
        <v>1279000</v>
      </c>
      <c r="H260">
        <v>1900000</v>
      </c>
      <c r="I260">
        <v>1989000</v>
      </c>
      <c r="J260">
        <v>1769000</v>
      </c>
      <c r="K260">
        <v>1513000</v>
      </c>
      <c r="L260">
        <v>1099800</v>
      </c>
      <c r="M260">
        <v>8270800</v>
      </c>
      <c r="N260" s="2">
        <v>8.9742964862945802E-4</v>
      </c>
    </row>
    <row r="261" spans="1:14" hidden="1" x14ac:dyDescent="0.25">
      <c r="A261" t="s">
        <v>33</v>
      </c>
      <c r="B261" t="s">
        <v>97</v>
      </c>
      <c r="C261">
        <v>78416000</v>
      </c>
      <c r="D261">
        <v>81694000</v>
      </c>
      <c r="E261">
        <v>88979000</v>
      </c>
      <c r="F261">
        <v>89790000</v>
      </c>
      <c r="G261">
        <v>108950000</v>
      </c>
      <c r="H261">
        <v>112783000</v>
      </c>
      <c r="I261">
        <v>131573000</v>
      </c>
      <c r="J261">
        <v>102058000</v>
      </c>
      <c r="K261">
        <v>95122000</v>
      </c>
      <c r="L261">
        <v>93800000</v>
      </c>
      <c r="M261">
        <v>535336000</v>
      </c>
      <c r="N261" s="2">
        <v>5.8087053051542721E-2</v>
      </c>
    </row>
    <row r="262" spans="1:14" hidden="1" x14ac:dyDescent="0.25">
      <c r="A262" t="s">
        <v>33</v>
      </c>
      <c r="B262" t="s">
        <v>98</v>
      </c>
      <c r="C262">
        <v>2254472</v>
      </c>
      <c r="D262">
        <v>2644111</v>
      </c>
      <c r="E262">
        <v>4351245</v>
      </c>
      <c r="F262">
        <v>4854200</v>
      </c>
      <c r="G262">
        <v>4745908</v>
      </c>
      <c r="H262">
        <v>5195100</v>
      </c>
      <c r="I262">
        <v>6183000</v>
      </c>
      <c r="J262">
        <v>8564800</v>
      </c>
      <c r="K262">
        <v>12871400</v>
      </c>
      <c r="L262">
        <v>14300000</v>
      </c>
      <c r="M262">
        <v>47114300</v>
      </c>
      <c r="N262" s="2">
        <v>5.1121741179115526E-3</v>
      </c>
    </row>
    <row r="263" spans="1:14" hidden="1" x14ac:dyDescent="0.25">
      <c r="A263" t="s">
        <v>33</v>
      </c>
      <c r="B263" t="s">
        <v>99</v>
      </c>
      <c r="C263">
        <v>14395000</v>
      </c>
      <c r="D263">
        <v>15631000</v>
      </c>
      <c r="E263">
        <v>16257000</v>
      </c>
      <c r="F263">
        <v>14496936</v>
      </c>
      <c r="G263">
        <v>15143286</v>
      </c>
      <c r="H263">
        <v>18143471</v>
      </c>
      <c r="I263">
        <v>19344198</v>
      </c>
      <c r="J263">
        <v>20626585</v>
      </c>
      <c r="K263">
        <v>22630000</v>
      </c>
      <c r="L263">
        <v>21660000</v>
      </c>
      <c r="M263">
        <v>102404254</v>
      </c>
      <c r="N263" s="2">
        <v>1.111145399300935E-2</v>
      </c>
    </row>
    <row r="264" spans="1:14" hidden="1" x14ac:dyDescent="0.25">
      <c r="A264" t="s">
        <v>33</v>
      </c>
      <c r="B264" t="s">
        <v>222</v>
      </c>
      <c r="C264">
        <v>300000</v>
      </c>
      <c r="D264">
        <v>300000</v>
      </c>
      <c r="E264">
        <v>300000</v>
      </c>
      <c r="F264">
        <v>300000</v>
      </c>
      <c r="G264">
        <v>300000</v>
      </c>
      <c r="H264">
        <v>300000</v>
      </c>
      <c r="I264">
        <v>300000</v>
      </c>
      <c r="J264">
        <v>300000</v>
      </c>
      <c r="K264">
        <v>300000</v>
      </c>
      <c r="L264">
        <v>300000</v>
      </c>
      <c r="M264">
        <v>1500000</v>
      </c>
      <c r="N264" s="2">
        <v>1.6275867787205429E-4</v>
      </c>
    </row>
    <row r="265" spans="1:14" hidden="1" x14ac:dyDescent="0.25">
      <c r="A265" t="s">
        <v>33</v>
      </c>
      <c r="B265" t="s">
        <v>182</v>
      </c>
      <c r="C265">
        <v>27252000</v>
      </c>
      <c r="D265">
        <v>24091000</v>
      </c>
      <c r="E265">
        <v>23715000</v>
      </c>
      <c r="F265">
        <v>21956000</v>
      </c>
      <c r="G265">
        <v>23312000</v>
      </c>
      <c r="H265">
        <v>24007000</v>
      </c>
      <c r="I265">
        <v>24496000</v>
      </c>
      <c r="J265">
        <v>23190000</v>
      </c>
      <c r="K265">
        <v>20379000</v>
      </c>
      <c r="L265">
        <v>24413000</v>
      </c>
      <c r="M265">
        <v>116485000</v>
      </c>
      <c r="N265" s="2">
        <v>1.26392963946175E-2</v>
      </c>
    </row>
    <row r="266" spans="1:14" hidden="1" x14ac:dyDescent="0.25">
      <c r="A266" t="s">
        <v>33</v>
      </c>
      <c r="B266" t="s">
        <v>119</v>
      </c>
      <c r="C266">
        <v>107232297</v>
      </c>
      <c r="D266">
        <v>110594771</v>
      </c>
      <c r="E266">
        <v>110666068</v>
      </c>
      <c r="F266">
        <v>105134378</v>
      </c>
      <c r="G266">
        <v>104775329</v>
      </c>
      <c r="H266">
        <v>104661087</v>
      </c>
      <c r="I266">
        <v>104318836</v>
      </c>
      <c r="J266">
        <v>99284114</v>
      </c>
      <c r="K266">
        <v>83186485</v>
      </c>
      <c r="L266">
        <v>96032787</v>
      </c>
      <c r="M266">
        <v>487483309</v>
      </c>
      <c r="N266" s="2">
        <v>5.2894759238356077E-2</v>
      </c>
    </row>
    <row r="267" spans="1:14" hidden="1" x14ac:dyDescent="0.25">
      <c r="A267" t="s">
        <v>33</v>
      </c>
      <c r="B267" t="s">
        <v>223</v>
      </c>
      <c r="C267">
        <v>200000</v>
      </c>
      <c r="D267">
        <v>200000</v>
      </c>
      <c r="E267">
        <v>250000</v>
      </c>
      <c r="F267">
        <v>300000</v>
      </c>
      <c r="G267">
        <v>330000</v>
      </c>
      <c r="H267">
        <v>330000</v>
      </c>
      <c r="I267">
        <v>350000</v>
      </c>
      <c r="J267">
        <v>350000</v>
      </c>
      <c r="K267">
        <v>350000</v>
      </c>
      <c r="L267">
        <v>350000</v>
      </c>
      <c r="M267">
        <v>1730000</v>
      </c>
      <c r="N267" s="2">
        <v>1.877150084791027E-4</v>
      </c>
    </row>
    <row r="268" spans="1:14" hidden="1" x14ac:dyDescent="0.25">
      <c r="A268" t="s">
        <v>33</v>
      </c>
      <c r="B268" t="s">
        <v>102</v>
      </c>
      <c r="C268">
        <v>3676000</v>
      </c>
      <c r="D268">
        <v>3275000</v>
      </c>
      <c r="E268">
        <v>4014860</v>
      </c>
      <c r="F268">
        <v>3902617</v>
      </c>
      <c r="G268">
        <v>4264114</v>
      </c>
      <c r="H268">
        <v>4657009</v>
      </c>
      <c r="I268">
        <v>4005982</v>
      </c>
      <c r="J268">
        <v>4130601</v>
      </c>
      <c r="K268">
        <v>4009402</v>
      </c>
      <c r="L268">
        <v>4526071</v>
      </c>
      <c r="M268">
        <v>21329065</v>
      </c>
      <c r="N268" s="2">
        <v>2.3143269464314061E-3</v>
      </c>
    </row>
    <row r="269" spans="1:14" hidden="1" x14ac:dyDescent="0.25">
      <c r="A269" t="s">
        <v>33</v>
      </c>
      <c r="B269" t="s">
        <v>198</v>
      </c>
      <c r="C269">
        <v>20000</v>
      </c>
      <c r="D269">
        <v>20000</v>
      </c>
      <c r="E269">
        <v>20000</v>
      </c>
      <c r="F269">
        <v>20000</v>
      </c>
      <c r="G269">
        <v>20000</v>
      </c>
      <c r="H269">
        <v>350000</v>
      </c>
      <c r="I269">
        <v>375000</v>
      </c>
      <c r="J269">
        <v>400000</v>
      </c>
      <c r="K269">
        <v>385000</v>
      </c>
      <c r="L269">
        <v>485000</v>
      </c>
      <c r="M269">
        <v>1995000</v>
      </c>
      <c r="N269" s="2">
        <v>2.164690415698323E-4</v>
      </c>
    </row>
    <row r="270" spans="1:14" hidden="1" x14ac:dyDescent="0.25">
      <c r="A270" t="s">
        <v>33</v>
      </c>
      <c r="B270" t="s">
        <v>148</v>
      </c>
      <c r="C270">
        <v>69073000</v>
      </c>
      <c r="D270">
        <v>66061000</v>
      </c>
      <c r="E270">
        <v>71542000</v>
      </c>
      <c r="F270">
        <v>69670000</v>
      </c>
      <c r="G270">
        <v>68575000</v>
      </c>
      <c r="H270">
        <v>71080000</v>
      </c>
      <c r="I270">
        <v>72464000</v>
      </c>
      <c r="J270">
        <v>71411000</v>
      </c>
      <c r="K270">
        <v>67082000</v>
      </c>
      <c r="L270">
        <v>70418000</v>
      </c>
      <c r="M270">
        <v>352455000</v>
      </c>
      <c r="N270" s="2">
        <v>3.8243406539596597E-2</v>
      </c>
    </row>
    <row r="271" spans="1:14" hidden="1" x14ac:dyDescent="0.25">
      <c r="A271" t="s">
        <v>33</v>
      </c>
      <c r="B271" t="s">
        <v>149</v>
      </c>
      <c r="C271">
        <v>1280000</v>
      </c>
      <c r="D271">
        <v>1250000</v>
      </c>
      <c r="E271">
        <v>1250000</v>
      </c>
      <c r="F271">
        <v>1250000</v>
      </c>
      <c r="G271">
        <v>1250000</v>
      </c>
      <c r="H271">
        <v>1090000</v>
      </c>
      <c r="I271">
        <v>810000</v>
      </c>
      <c r="J271">
        <v>800000</v>
      </c>
      <c r="K271">
        <v>700000</v>
      </c>
      <c r="L271">
        <v>700000</v>
      </c>
      <c r="M271">
        <v>4100000</v>
      </c>
      <c r="N271" s="2">
        <v>4.448737195169485E-4</v>
      </c>
    </row>
    <row r="272" spans="1:14" hidden="1" x14ac:dyDescent="0.25">
      <c r="A272" t="s">
        <v>33</v>
      </c>
      <c r="B272" t="s">
        <v>224</v>
      </c>
      <c r="C272">
        <v>500000</v>
      </c>
      <c r="D272">
        <v>500000</v>
      </c>
      <c r="H272">
        <v>0</v>
      </c>
      <c r="I272">
        <v>1300000</v>
      </c>
      <c r="J272">
        <v>1270000</v>
      </c>
      <c r="K272">
        <v>1300000</v>
      </c>
      <c r="L272">
        <v>1300000</v>
      </c>
      <c r="M272">
        <v>5170000</v>
      </c>
      <c r="N272" s="2">
        <v>5.6097490973234729E-4</v>
      </c>
    </row>
    <row r="273" spans="1:14" hidden="1" x14ac:dyDescent="0.25">
      <c r="A273" t="s">
        <v>33</v>
      </c>
      <c r="B273" t="s">
        <v>218</v>
      </c>
      <c r="C273">
        <v>315000</v>
      </c>
      <c r="D273">
        <v>712000</v>
      </c>
      <c r="E273">
        <v>968000</v>
      </c>
      <c r="F273">
        <v>352000</v>
      </c>
      <c r="G273">
        <v>491500</v>
      </c>
      <c r="H273">
        <v>421648</v>
      </c>
      <c r="I273">
        <v>396342</v>
      </c>
      <c r="J273">
        <v>606153</v>
      </c>
      <c r="K273">
        <v>538176</v>
      </c>
      <c r="L273">
        <v>651700</v>
      </c>
      <c r="M273">
        <v>2614019</v>
      </c>
      <c r="N273" s="2">
        <v>2.8363618424828642E-4</v>
      </c>
    </row>
    <row r="274" spans="1:14" hidden="1" x14ac:dyDescent="0.25">
      <c r="A274" t="s">
        <v>33</v>
      </c>
      <c r="B274" t="s">
        <v>225</v>
      </c>
      <c r="C274">
        <v>2214000</v>
      </c>
      <c r="D274">
        <v>2090000</v>
      </c>
      <c r="E274">
        <v>2193000</v>
      </c>
      <c r="F274">
        <v>2127000</v>
      </c>
      <c r="G274">
        <v>2175000</v>
      </c>
      <c r="H274">
        <v>2172000</v>
      </c>
      <c r="I274">
        <v>2228000</v>
      </c>
      <c r="J274">
        <v>2119000</v>
      </c>
      <c r="K274">
        <v>1886000</v>
      </c>
      <c r="L274">
        <v>2073000</v>
      </c>
      <c r="M274">
        <v>10478000</v>
      </c>
      <c r="N274" s="2">
        <v>1.1369236178289241E-3</v>
      </c>
    </row>
    <row r="275" spans="1:14" hidden="1" x14ac:dyDescent="0.25">
      <c r="A275" t="s">
        <v>33</v>
      </c>
      <c r="B275" t="s">
        <v>103</v>
      </c>
      <c r="C275">
        <v>5611538</v>
      </c>
      <c r="D275">
        <v>4693120</v>
      </c>
      <c r="E275">
        <v>4316000</v>
      </c>
      <c r="F275">
        <v>3783572</v>
      </c>
      <c r="G275">
        <v>3781668</v>
      </c>
      <c r="H275">
        <v>3772057</v>
      </c>
      <c r="I275">
        <v>4108500</v>
      </c>
      <c r="J275">
        <v>6948500</v>
      </c>
      <c r="K275">
        <v>6618500</v>
      </c>
      <c r="L275">
        <v>6900000</v>
      </c>
      <c r="M275">
        <v>28347557</v>
      </c>
      <c r="N275" s="2">
        <v>3.0758739321484659E-3</v>
      </c>
    </row>
    <row r="276" spans="1:14" hidden="1" x14ac:dyDescent="0.25">
      <c r="A276" t="s">
        <v>33</v>
      </c>
      <c r="B276" t="s">
        <v>172</v>
      </c>
      <c r="C276">
        <v>7000</v>
      </c>
      <c r="D276">
        <v>5000</v>
      </c>
      <c r="E276">
        <v>5000</v>
      </c>
      <c r="F276">
        <v>5000</v>
      </c>
      <c r="G276">
        <v>5000</v>
      </c>
      <c r="H276">
        <v>5000</v>
      </c>
      <c r="I276">
        <v>5000</v>
      </c>
      <c r="J276">
        <v>5000</v>
      </c>
      <c r="K276">
        <v>5000</v>
      </c>
      <c r="L276">
        <v>5000</v>
      </c>
      <c r="M276">
        <v>25000</v>
      </c>
      <c r="N276" s="2">
        <v>2.7126446312009059E-6</v>
      </c>
    </row>
    <row r="277" spans="1:14" hidden="1" x14ac:dyDescent="0.25">
      <c r="A277" t="s">
        <v>33</v>
      </c>
      <c r="B277" t="s">
        <v>150</v>
      </c>
      <c r="C277">
        <v>18073052</v>
      </c>
      <c r="D277">
        <v>18242195</v>
      </c>
      <c r="E277">
        <v>18995283</v>
      </c>
      <c r="F277">
        <v>18228000</v>
      </c>
      <c r="G277">
        <v>18811000</v>
      </c>
      <c r="H277">
        <v>19995000</v>
      </c>
      <c r="I277">
        <v>20440000</v>
      </c>
      <c r="J277">
        <v>18692000</v>
      </c>
      <c r="K277">
        <v>16802000</v>
      </c>
      <c r="L277">
        <v>18454000</v>
      </c>
      <c r="M277">
        <v>94383000</v>
      </c>
      <c r="N277" s="2">
        <v>1.02411015290654E-2</v>
      </c>
    </row>
    <row r="278" spans="1:14" hidden="1" x14ac:dyDescent="0.25">
      <c r="A278" t="s">
        <v>33</v>
      </c>
      <c r="B278" t="s">
        <v>226</v>
      </c>
      <c r="C278">
        <v>335000</v>
      </c>
      <c r="D278">
        <v>190000</v>
      </c>
      <c r="E278">
        <v>351000</v>
      </c>
      <c r="F278">
        <v>443000</v>
      </c>
      <c r="G278">
        <v>126000</v>
      </c>
      <c r="H278">
        <v>469000</v>
      </c>
      <c r="I278">
        <v>497200</v>
      </c>
      <c r="J278">
        <v>392100</v>
      </c>
      <c r="K278">
        <v>465000</v>
      </c>
      <c r="L278">
        <v>570000</v>
      </c>
      <c r="M278">
        <v>2393300</v>
      </c>
      <c r="N278" s="2">
        <v>2.5968689583412511E-4</v>
      </c>
    </row>
    <row r="279" spans="1:14" hidden="1" x14ac:dyDescent="0.25">
      <c r="A279" t="s">
        <v>33</v>
      </c>
      <c r="B279" t="s">
        <v>173</v>
      </c>
      <c r="C279">
        <v>72400</v>
      </c>
      <c r="D279">
        <v>40000</v>
      </c>
      <c r="E279">
        <v>45000</v>
      </c>
      <c r="F279">
        <v>45000</v>
      </c>
      <c r="G279">
        <v>50000</v>
      </c>
      <c r="H279">
        <v>50000</v>
      </c>
      <c r="I279">
        <v>50000</v>
      </c>
      <c r="J279">
        <v>50000</v>
      </c>
      <c r="K279">
        <v>50000</v>
      </c>
      <c r="L279">
        <v>50000</v>
      </c>
      <c r="M279">
        <v>250000</v>
      </c>
      <c r="N279" s="2">
        <v>2.7126446312009059E-5</v>
      </c>
    </row>
    <row r="280" spans="1:14" hidden="1" x14ac:dyDescent="0.25">
      <c r="A280" t="s">
        <v>33</v>
      </c>
      <c r="B280" t="s">
        <v>104</v>
      </c>
      <c r="C280">
        <v>28161</v>
      </c>
      <c r="D280">
        <v>19723</v>
      </c>
      <c r="E280">
        <v>15000</v>
      </c>
      <c r="F280">
        <v>36602</v>
      </c>
      <c r="G280">
        <v>26246</v>
      </c>
      <c r="H280">
        <v>27638</v>
      </c>
      <c r="I280">
        <v>26552</v>
      </c>
      <c r="J280">
        <v>24262</v>
      </c>
      <c r="K280">
        <v>19364</v>
      </c>
      <c r="L280">
        <v>3042</v>
      </c>
      <c r="M280">
        <v>100858</v>
      </c>
      <c r="N280" s="2">
        <v>1.094367648854644E-5</v>
      </c>
    </row>
    <row r="281" spans="1:14" hidden="1" x14ac:dyDescent="0.25">
      <c r="A281" t="s">
        <v>33</v>
      </c>
      <c r="B281" t="s">
        <v>161</v>
      </c>
      <c r="C281">
        <v>539000</v>
      </c>
      <c r="D281">
        <v>558000</v>
      </c>
      <c r="E281">
        <v>501000</v>
      </c>
      <c r="F281">
        <v>516000</v>
      </c>
      <c r="G281">
        <v>520000</v>
      </c>
      <c r="H281">
        <v>550000</v>
      </c>
      <c r="I281">
        <v>520000</v>
      </c>
      <c r="J281">
        <v>500000</v>
      </c>
      <c r="K281">
        <v>320000</v>
      </c>
      <c r="L281">
        <v>500000</v>
      </c>
      <c r="M281">
        <v>2390000</v>
      </c>
      <c r="N281" s="2">
        <v>2.5932882674280661E-4</v>
      </c>
    </row>
    <row r="282" spans="1:14" hidden="1" x14ac:dyDescent="0.25">
      <c r="A282" t="s">
        <v>33</v>
      </c>
      <c r="B282" t="s">
        <v>174</v>
      </c>
      <c r="C282">
        <v>50000</v>
      </c>
      <c r="D282">
        <v>70000</v>
      </c>
      <c r="E282">
        <v>100000</v>
      </c>
      <c r="F282">
        <v>150000</v>
      </c>
      <c r="G282">
        <v>200000</v>
      </c>
      <c r="H282">
        <v>250000</v>
      </c>
      <c r="I282">
        <v>300000</v>
      </c>
      <c r="J282">
        <v>350000</v>
      </c>
      <c r="K282">
        <v>350000</v>
      </c>
      <c r="L282">
        <v>400000</v>
      </c>
      <c r="M282">
        <v>1650000</v>
      </c>
      <c r="N282" s="2">
        <v>1.7903454565925981E-4</v>
      </c>
    </row>
    <row r="283" spans="1:14" hidden="1" x14ac:dyDescent="0.25">
      <c r="A283" t="s">
        <v>33</v>
      </c>
      <c r="B283" t="s">
        <v>130</v>
      </c>
      <c r="C283">
        <v>6879000</v>
      </c>
      <c r="D283">
        <v>6713000</v>
      </c>
      <c r="E283">
        <v>6964000</v>
      </c>
      <c r="F283">
        <v>6995000</v>
      </c>
      <c r="G283">
        <v>6917000</v>
      </c>
      <c r="H283">
        <v>6781300</v>
      </c>
      <c r="I283">
        <v>6813000</v>
      </c>
      <c r="J283">
        <v>6656900</v>
      </c>
      <c r="K283">
        <v>6053700</v>
      </c>
      <c r="L283">
        <v>6620400</v>
      </c>
      <c r="M283">
        <v>32925300</v>
      </c>
      <c r="N283" s="2">
        <v>3.5725855310271672E-3</v>
      </c>
    </row>
    <row r="284" spans="1:14" hidden="1" x14ac:dyDescent="0.25">
      <c r="A284" t="s">
        <v>33</v>
      </c>
      <c r="B284" t="s">
        <v>131</v>
      </c>
      <c r="C284">
        <v>912000</v>
      </c>
      <c r="D284">
        <v>900000</v>
      </c>
      <c r="E284">
        <v>881000</v>
      </c>
      <c r="F284">
        <v>793000</v>
      </c>
      <c r="G284">
        <v>577000</v>
      </c>
      <c r="H284">
        <v>657500</v>
      </c>
      <c r="I284">
        <v>651800</v>
      </c>
      <c r="J284">
        <v>667100</v>
      </c>
      <c r="K284">
        <v>585700</v>
      </c>
      <c r="L284">
        <v>645700</v>
      </c>
      <c r="M284">
        <v>3207800</v>
      </c>
      <c r="N284" s="2">
        <v>3.480648579186506E-4</v>
      </c>
    </row>
    <row r="285" spans="1:14" hidden="1" x14ac:dyDescent="0.25">
      <c r="A285" t="s">
        <v>33</v>
      </c>
      <c r="B285" t="s">
        <v>203</v>
      </c>
      <c r="C285">
        <v>100000</v>
      </c>
      <c r="D285">
        <v>100000</v>
      </c>
      <c r="E285">
        <v>100000</v>
      </c>
      <c r="F285">
        <v>100000</v>
      </c>
      <c r="G285">
        <v>100000</v>
      </c>
      <c r="H285">
        <v>600000</v>
      </c>
      <c r="I285">
        <v>650000</v>
      </c>
      <c r="J285">
        <v>650000</v>
      </c>
      <c r="K285">
        <v>650000</v>
      </c>
      <c r="L285">
        <v>650000</v>
      </c>
      <c r="M285">
        <v>3200000</v>
      </c>
      <c r="N285" s="2">
        <v>3.4721851279371591E-4</v>
      </c>
    </row>
    <row r="286" spans="1:14" hidden="1" x14ac:dyDescent="0.25">
      <c r="A286" t="s">
        <v>33</v>
      </c>
      <c r="B286" t="s">
        <v>176</v>
      </c>
      <c r="C286">
        <v>225224</v>
      </c>
      <c r="D286">
        <v>145633</v>
      </c>
      <c r="E286">
        <v>196454</v>
      </c>
      <c r="F286">
        <v>165235</v>
      </c>
      <c r="G286">
        <v>239084</v>
      </c>
      <c r="H286">
        <v>271287</v>
      </c>
      <c r="I286">
        <v>269658</v>
      </c>
      <c r="J286">
        <v>262144</v>
      </c>
      <c r="K286">
        <v>236520</v>
      </c>
      <c r="L286">
        <v>271811</v>
      </c>
      <c r="M286">
        <v>1311420</v>
      </c>
      <c r="N286" s="2">
        <v>1.422966568899797E-4</v>
      </c>
    </row>
    <row r="287" spans="1:14" hidden="1" x14ac:dyDescent="0.25">
      <c r="A287" t="s">
        <v>33</v>
      </c>
      <c r="B287" t="s">
        <v>132</v>
      </c>
      <c r="C287">
        <v>700000</v>
      </c>
      <c r="D287">
        <v>605000</v>
      </c>
      <c r="E287">
        <v>600000</v>
      </c>
      <c r="F287">
        <v>590000</v>
      </c>
      <c r="G287">
        <v>620000</v>
      </c>
      <c r="H287">
        <v>603100</v>
      </c>
      <c r="I287">
        <v>574600</v>
      </c>
      <c r="J287">
        <v>620800</v>
      </c>
      <c r="K287">
        <v>623800</v>
      </c>
      <c r="L287">
        <v>622500</v>
      </c>
      <c r="M287">
        <v>3044800</v>
      </c>
      <c r="N287" s="2">
        <v>3.3037841492322071E-4</v>
      </c>
    </row>
    <row r="288" spans="1:14" hidden="1" x14ac:dyDescent="0.25">
      <c r="A288" t="s">
        <v>33</v>
      </c>
      <c r="B288" t="s">
        <v>106</v>
      </c>
      <c r="C288">
        <v>1631000</v>
      </c>
      <c r="D288">
        <v>1845000</v>
      </c>
      <c r="E288">
        <v>2423000</v>
      </c>
      <c r="F288">
        <v>2892000</v>
      </c>
      <c r="G288">
        <v>3553000</v>
      </c>
      <c r="H288">
        <v>4966000</v>
      </c>
      <c r="I288">
        <v>4719000</v>
      </c>
      <c r="J288">
        <v>3304000</v>
      </c>
      <c r="K288">
        <v>3803000</v>
      </c>
      <c r="L288">
        <v>5282700</v>
      </c>
      <c r="M288">
        <v>22074700</v>
      </c>
      <c r="N288" s="2">
        <v>2.3952326576148252E-3</v>
      </c>
    </row>
    <row r="289" spans="1:14" hidden="1" x14ac:dyDescent="0.25">
      <c r="A289" t="s">
        <v>33</v>
      </c>
      <c r="B289" t="s">
        <v>219</v>
      </c>
      <c r="C289">
        <v>44000</v>
      </c>
      <c r="D289">
        <v>45000</v>
      </c>
      <c r="E289">
        <v>47000</v>
      </c>
      <c r="F289">
        <v>48000</v>
      </c>
      <c r="G289">
        <v>35000</v>
      </c>
      <c r="H289">
        <v>24300</v>
      </c>
      <c r="I289">
        <v>25300</v>
      </c>
      <c r="J289">
        <v>26300</v>
      </c>
      <c r="K289">
        <v>23300</v>
      </c>
      <c r="L289">
        <v>26000</v>
      </c>
      <c r="M289">
        <v>125200</v>
      </c>
      <c r="N289" s="2">
        <v>1.3584924313054129E-5</v>
      </c>
    </row>
    <row r="290" spans="1:14" hidden="1" x14ac:dyDescent="0.25">
      <c r="A290" t="s">
        <v>33</v>
      </c>
      <c r="B290" t="s">
        <v>146</v>
      </c>
      <c r="C290">
        <v>981000</v>
      </c>
      <c r="D290">
        <v>1069000</v>
      </c>
      <c r="E290">
        <v>1078000</v>
      </c>
      <c r="F290">
        <v>1082000</v>
      </c>
      <c r="G290">
        <v>1168000</v>
      </c>
      <c r="H290">
        <v>1207000</v>
      </c>
      <c r="I290">
        <v>1217000</v>
      </c>
      <c r="J290">
        <v>1230000</v>
      </c>
      <c r="K290">
        <v>731000</v>
      </c>
      <c r="L290">
        <v>1234000</v>
      </c>
      <c r="M290">
        <v>5619000</v>
      </c>
      <c r="N290" s="2">
        <v>6.0969400730871552E-4</v>
      </c>
    </row>
    <row r="291" spans="1:14" hidden="1" x14ac:dyDescent="0.25">
      <c r="A291" t="s">
        <v>33</v>
      </c>
      <c r="B291" t="s">
        <v>156</v>
      </c>
      <c r="C291">
        <v>1260000</v>
      </c>
      <c r="D291">
        <v>1308000</v>
      </c>
      <c r="E291">
        <v>1196000</v>
      </c>
      <c r="F291">
        <v>968000</v>
      </c>
      <c r="G291">
        <v>1075000</v>
      </c>
      <c r="H291">
        <v>1377600</v>
      </c>
      <c r="I291">
        <v>1474800</v>
      </c>
      <c r="J291">
        <v>1915000</v>
      </c>
      <c r="K291">
        <v>892300</v>
      </c>
      <c r="L291">
        <v>1800000</v>
      </c>
      <c r="M291">
        <v>7459700</v>
      </c>
      <c r="N291" s="2">
        <v>8.0942060621477579E-4</v>
      </c>
    </row>
    <row r="292" spans="1:14" hidden="1" x14ac:dyDescent="0.25">
      <c r="A292" t="s">
        <v>33</v>
      </c>
      <c r="B292" t="s">
        <v>151</v>
      </c>
      <c r="C292">
        <v>8542514</v>
      </c>
      <c r="D292">
        <v>8199353</v>
      </c>
      <c r="E292">
        <v>8799731</v>
      </c>
      <c r="F292">
        <v>9337105</v>
      </c>
      <c r="G292">
        <v>9160660</v>
      </c>
      <c r="H292">
        <v>10540354</v>
      </c>
      <c r="I292">
        <v>10336483</v>
      </c>
      <c r="J292">
        <v>9123107</v>
      </c>
      <c r="K292">
        <v>7855900</v>
      </c>
      <c r="L292">
        <v>8552506</v>
      </c>
      <c r="M292">
        <v>46408350</v>
      </c>
      <c r="N292" s="2">
        <v>5.0355744588157017E-3</v>
      </c>
    </row>
    <row r="293" spans="1:14" hidden="1" x14ac:dyDescent="0.25">
      <c r="A293" t="s">
        <v>33</v>
      </c>
      <c r="B293" t="s">
        <v>178</v>
      </c>
      <c r="C293">
        <v>1960000</v>
      </c>
      <c r="D293">
        <v>2050000</v>
      </c>
      <c r="E293">
        <v>2070000</v>
      </c>
      <c r="F293">
        <v>2030000</v>
      </c>
      <c r="G293">
        <v>2010000</v>
      </c>
      <c r="H293">
        <v>2075900</v>
      </c>
      <c r="I293">
        <v>2215300</v>
      </c>
      <c r="J293">
        <v>2032800</v>
      </c>
      <c r="K293">
        <v>2202800</v>
      </c>
      <c r="L293">
        <v>1953000</v>
      </c>
      <c r="M293">
        <v>10479800</v>
      </c>
      <c r="N293" s="2">
        <v>1.13711892824237E-3</v>
      </c>
    </row>
    <row r="294" spans="1:14" hidden="1" x14ac:dyDescent="0.25">
      <c r="A294" t="s">
        <v>33</v>
      </c>
      <c r="B294" t="s">
        <v>134</v>
      </c>
      <c r="C294">
        <v>2148000</v>
      </c>
      <c r="D294">
        <v>2236000</v>
      </c>
      <c r="E294">
        <v>2867000</v>
      </c>
      <c r="F294">
        <v>2594000</v>
      </c>
      <c r="G294">
        <v>2521000</v>
      </c>
      <c r="H294">
        <v>2645000</v>
      </c>
      <c r="I294">
        <v>2575000</v>
      </c>
      <c r="J294">
        <v>2558000</v>
      </c>
      <c r="K294">
        <v>1218100</v>
      </c>
      <c r="L294">
        <v>1001800</v>
      </c>
      <c r="M294">
        <v>9997900</v>
      </c>
      <c r="N294" s="2">
        <v>1.0848299903313411E-3</v>
      </c>
    </row>
    <row r="295" spans="1:14" hidden="1" x14ac:dyDescent="0.25">
      <c r="A295" t="s">
        <v>33</v>
      </c>
      <c r="B295" t="s">
        <v>120</v>
      </c>
      <c r="C295">
        <v>3292000</v>
      </c>
      <c r="D295">
        <v>3073411</v>
      </c>
      <c r="E295">
        <v>3192879</v>
      </c>
      <c r="F295">
        <v>3423421</v>
      </c>
      <c r="G295">
        <v>3369582</v>
      </c>
      <c r="H295">
        <v>3442786</v>
      </c>
      <c r="I295">
        <v>3529286</v>
      </c>
      <c r="J295">
        <v>3421199</v>
      </c>
      <c r="K295">
        <v>2818866</v>
      </c>
      <c r="L295">
        <v>3375000</v>
      </c>
      <c r="M295">
        <v>16587137</v>
      </c>
      <c r="N295" s="2">
        <v>1.799800325201756E-3</v>
      </c>
    </row>
    <row r="296" spans="1:14" hidden="1" x14ac:dyDescent="0.25">
      <c r="A296" t="s">
        <v>33</v>
      </c>
      <c r="B296" t="s">
        <v>107</v>
      </c>
      <c r="C296">
        <v>70400000</v>
      </c>
      <c r="D296">
        <v>68800000</v>
      </c>
      <c r="E296">
        <v>70300000</v>
      </c>
      <c r="F296">
        <v>69400000</v>
      </c>
      <c r="G296">
        <v>69600000</v>
      </c>
      <c r="H296">
        <v>72968168</v>
      </c>
      <c r="I296">
        <v>74144495</v>
      </c>
      <c r="J296">
        <v>73740141</v>
      </c>
      <c r="K296">
        <v>74600000</v>
      </c>
      <c r="L296">
        <v>77850000</v>
      </c>
      <c r="M296">
        <v>373302804</v>
      </c>
      <c r="N296" s="2">
        <v>4.0505513883313762E-2</v>
      </c>
    </row>
    <row r="297" spans="1:14" hidden="1" x14ac:dyDescent="0.25">
      <c r="A297" t="s">
        <v>33</v>
      </c>
      <c r="B297" t="s">
        <v>108</v>
      </c>
      <c r="C297">
        <v>5203000</v>
      </c>
      <c r="D297">
        <v>5471000</v>
      </c>
      <c r="E297">
        <v>6291000</v>
      </c>
      <c r="F297">
        <v>5662000</v>
      </c>
      <c r="G297">
        <v>5461000</v>
      </c>
      <c r="H297">
        <v>4831400</v>
      </c>
      <c r="I297">
        <v>8187000</v>
      </c>
      <c r="J297">
        <v>8191000</v>
      </c>
      <c r="K297">
        <v>7775000</v>
      </c>
      <c r="L297">
        <v>8735000</v>
      </c>
      <c r="M297">
        <v>37719400</v>
      </c>
      <c r="N297" s="2">
        <v>4.0927731160847773E-3</v>
      </c>
    </row>
    <row r="298" spans="1:14" hidden="1" x14ac:dyDescent="0.25">
      <c r="A298" t="s">
        <v>33</v>
      </c>
      <c r="B298" t="s">
        <v>179</v>
      </c>
      <c r="C298">
        <v>346000</v>
      </c>
      <c r="D298">
        <v>396000</v>
      </c>
      <c r="E298">
        <v>583000</v>
      </c>
      <c r="F298">
        <v>955000</v>
      </c>
      <c r="G298">
        <v>1172600</v>
      </c>
      <c r="H298">
        <v>1476700</v>
      </c>
      <c r="I298">
        <v>1973400</v>
      </c>
      <c r="J298">
        <v>1929400</v>
      </c>
      <c r="K298">
        <v>1455700</v>
      </c>
      <c r="L298">
        <v>1667400</v>
      </c>
      <c r="M298">
        <v>8502600</v>
      </c>
      <c r="N298" s="2">
        <v>9.2258128964995279E-4</v>
      </c>
    </row>
    <row r="299" spans="1:14" hidden="1" x14ac:dyDescent="0.25">
      <c r="A299" t="s">
        <v>33</v>
      </c>
      <c r="B299" t="s">
        <v>227</v>
      </c>
      <c r="C299">
        <v>688000</v>
      </c>
      <c r="D299">
        <v>433000</v>
      </c>
      <c r="E299">
        <v>575000</v>
      </c>
      <c r="F299">
        <v>501000</v>
      </c>
      <c r="G299">
        <v>520000</v>
      </c>
      <c r="H299">
        <v>595500</v>
      </c>
      <c r="I299">
        <v>618200</v>
      </c>
      <c r="J299">
        <v>766300</v>
      </c>
      <c r="K299">
        <v>405600</v>
      </c>
      <c r="L299">
        <v>571800</v>
      </c>
      <c r="M299">
        <v>2957400</v>
      </c>
      <c r="N299" s="2">
        <v>3.2089500929254229E-4</v>
      </c>
    </row>
    <row r="300" spans="1:14" hidden="1" x14ac:dyDescent="0.25">
      <c r="A300" t="s">
        <v>33</v>
      </c>
      <c r="B300" t="s">
        <v>135</v>
      </c>
      <c r="C300">
        <v>4403447</v>
      </c>
      <c r="D300">
        <v>4511000</v>
      </c>
      <c r="E300">
        <v>4705000</v>
      </c>
      <c r="F300">
        <v>4562000</v>
      </c>
      <c r="G300">
        <v>4808000</v>
      </c>
      <c r="H300">
        <v>4980000</v>
      </c>
      <c r="I300">
        <v>4947000</v>
      </c>
      <c r="J300">
        <v>3931000</v>
      </c>
      <c r="K300">
        <v>3444000</v>
      </c>
      <c r="L300">
        <v>4863000</v>
      </c>
      <c r="M300">
        <v>22165000</v>
      </c>
      <c r="N300" s="2">
        <v>2.4050307300227231E-3</v>
      </c>
    </row>
    <row r="301" spans="1:14" hidden="1" x14ac:dyDescent="0.25">
      <c r="A301" t="s">
        <v>33</v>
      </c>
      <c r="B301" t="s">
        <v>136</v>
      </c>
      <c r="C301">
        <v>632000</v>
      </c>
      <c r="D301">
        <v>618000</v>
      </c>
      <c r="E301">
        <v>615000</v>
      </c>
      <c r="F301">
        <v>604000</v>
      </c>
      <c r="G301">
        <v>613000</v>
      </c>
      <c r="H301">
        <v>648400</v>
      </c>
      <c r="I301">
        <v>653800</v>
      </c>
      <c r="J301">
        <v>623200</v>
      </c>
      <c r="K301">
        <v>585200</v>
      </c>
      <c r="L301">
        <v>661900</v>
      </c>
      <c r="M301">
        <v>3172500</v>
      </c>
      <c r="N301" s="2">
        <v>3.442346036993949E-4</v>
      </c>
    </row>
    <row r="302" spans="1:14" hidden="1" x14ac:dyDescent="0.25">
      <c r="A302" t="s">
        <v>33</v>
      </c>
      <c r="B302" t="s">
        <v>137</v>
      </c>
      <c r="C302">
        <v>6938000</v>
      </c>
      <c r="D302">
        <v>7253000</v>
      </c>
      <c r="E302">
        <v>7210000</v>
      </c>
      <c r="F302">
        <v>7614000</v>
      </c>
      <c r="G302">
        <v>6141000</v>
      </c>
      <c r="H302">
        <v>6301200</v>
      </c>
      <c r="I302">
        <v>6327300</v>
      </c>
      <c r="J302">
        <v>6151700</v>
      </c>
      <c r="K302">
        <v>3876500</v>
      </c>
      <c r="L302">
        <v>5019500</v>
      </c>
      <c r="M302">
        <v>27676200</v>
      </c>
      <c r="N302" s="2">
        <v>3.0030278136816998E-3</v>
      </c>
    </row>
    <row r="303" spans="1:14" hidden="1" x14ac:dyDescent="0.25">
      <c r="A303" t="s">
        <v>33</v>
      </c>
      <c r="B303" t="s">
        <v>121</v>
      </c>
      <c r="C303">
        <v>13639000</v>
      </c>
      <c r="D303">
        <v>14252000</v>
      </c>
      <c r="E303">
        <v>14163000</v>
      </c>
      <c r="F303">
        <v>14845000</v>
      </c>
      <c r="G303">
        <v>13654000</v>
      </c>
      <c r="H303">
        <v>14440900</v>
      </c>
      <c r="I303">
        <v>14320500</v>
      </c>
      <c r="J303">
        <v>13587700</v>
      </c>
      <c r="K303">
        <v>10998400</v>
      </c>
      <c r="L303">
        <v>14185400</v>
      </c>
      <c r="M303">
        <v>67532900</v>
      </c>
      <c r="N303" s="2">
        <v>7.3277103445771059E-3</v>
      </c>
    </row>
    <row r="304" spans="1:14" hidden="1" x14ac:dyDescent="0.25">
      <c r="A304" t="s">
        <v>33</v>
      </c>
      <c r="B304" t="s">
        <v>211</v>
      </c>
      <c r="F304">
        <v>30000</v>
      </c>
      <c r="G304">
        <v>30000</v>
      </c>
      <c r="H304">
        <v>30000</v>
      </c>
      <c r="I304">
        <v>30000</v>
      </c>
      <c r="J304">
        <v>30000</v>
      </c>
      <c r="K304">
        <v>30000</v>
      </c>
      <c r="L304">
        <v>30000</v>
      </c>
      <c r="M304">
        <v>150000</v>
      </c>
      <c r="N304" s="2">
        <v>1.6275867787205429E-5</v>
      </c>
    </row>
    <row r="305" spans="1:14" hidden="1" x14ac:dyDescent="0.25">
      <c r="A305" t="s">
        <v>33</v>
      </c>
      <c r="B305" t="s">
        <v>138</v>
      </c>
      <c r="C305">
        <v>4312400</v>
      </c>
      <c r="D305">
        <v>4391900</v>
      </c>
      <c r="E305">
        <v>4533800</v>
      </c>
      <c r="F305">
        <v>4557100</v>
      </c>
      <c r="G305">
        <v>4816800</v>
      </c>
      <c r="H305">
        <v>4926500</v>
      </c>
      <c r="I305">
        <v>4655100</v>
      </c>
      <c r="J305">
        <v>4721100</v>
      </c>
      <c r="K305">
        <v>4408700</v>
      </c>
      <c r="L305">
        <v>4678300</v>
      </c>
      <c r="M305">
        <v>23389700</v>
      </c>
      <c r="N305" s="2">
        <v>2.5379177652159932E-3</v>
      </c>
    </row>
    <row r="306" spans="1:14" hidden="1" x14ac:dyDescent="0.25">
      <c r="A306" t="s">
        <v>33</v>
      </c>
      <c r="B306" t="s">
        <v>228</v>
      </c>
      <c r="C306">
        <v>1450000</v>
      </c>
      <c r="D306">
        <v>1530000</v>
      </c>
      <c r="E306">
        <v>1611607</v>
      </c>
      <c r="F306">
        <v>1586020</v>
      </c>
      <c r="G306">
        <v>1498021</v>
      </c>
      <c r="H306">
        <v>1569963</v>
      </c>
      <c r="I306">
        <v>1561826</v>
      </c>
      <c r="J306">
        <v>1325000</v>
      </c>
      <c r="K306">
        <v>1175000</v>
      </c>
      <c r="L306">
        <v>1200000</v>
      </c>
      <c r="M306">
        <v>6831789</v>
      </c>
      <c r="N306" s="2">
        <v>7.4128863009389611E-4</v>
      </c>
    </row>
    <row r="307" spans="1:14" hidden="1" x14ac:dyDescent="0.25">
      <c r="A307" t="s">
        <v>33</v>
      </c>
      <c r="B307" t="s">
        <v>229</v>
      </c>
      <c r="C307">
        <v>70000</v>
      </c>
      <c r="D307">
        <v>10000</v>
      </c>
      <c r="E307">
        <v>5000</v>
      </c>
      <c r="F307">
        <v>5000</v>
      </c>
      <c r="G307">
        <v>5000</v>
      </c>
      <c r="H307">
        <v>5000</v>
      </c>
      <c r="I307">
        <v>5000</v>
      </c>
      <c r="J307">
        <v>5000</v>
      </c>
      <c r="K307">
        <v>5000</v>
      </c>
      <c r="L307">
        <v>5000</v>
      </c>
      <c r="M307">
        <v>25000</v>
      </c>
      <c r="N307" s="2">
        <v>2.7126446312009059E-6</v>
      </c>
    </row>
    <row r="308" spans="1:14" hidden="1" x14ac:dyDescent="0.25">
      <c r="A308" t="s">
        <v>33</v>
      </c>
      <c r="B308" t="s">
        <v>208</v>
      </c>
      <c r="C308">
        <v>19927000</v>
      </c>
      <c r="D308">
        <v>21466000</v>
      </c>
      <c r="E308">
        <v>22511000</v>
      </c>
      <c r="F308">
        <v>20815000</v>
      </c>
      <c r="G308">
        <v>20858000</v>
      </c>
      <c r="H308">
        <v>21370000</v>
      </c>
      <c r="I308">
        <v>22290000</v>
      </c>
      <c r="J308">
        <v>21322000</v>
      </c>
      <c r="K308">
        <v>20498000</v>
      </c>
      <c r="L308">
        <v>22140000</v>
      </c>
      <c r="M308">
        <v>107620000</v>
      </c>
      <c r="N308" s="2">
        <v>1.167739260839366E-2</v>
      </c>
    </row>
    <row r="309" spans="1:14" hidden="1" x14ac:dyDescent="0.25">
      <c r="A309" t="s">
        <v>33</v>
      </c>
      <c r="B309" t="s">
        <v>215</v>
      </c>
      <c r="C309">
        <v>3641000</v>
      </c>
      <c r="D309">
        <v>3613000</v>
      </c>
      <c r="E309">
        <v>5835000</v>
      </c>
      <c r="F309">
        <v>5069000</v>
      </c>
      <c r="G309">
        <v>5400000</v>
      </c>
      <c r="H309">
        <v>6761800</v>
      </c>
      <c r="I309">
        <v>6402500</v>
      </c>
      <c r="J309">
        <v>4246000</v>
      </c>
      <c r="K309">
        <v>4467200</v>
      </c>
      <c r="L309">
        <v>5472900</v>
      </c>
      <c r="M309">
        <v>27350400</v>
      </c>
      <c r="N309" s="2">
        <v>2.9676766288478898E-3</v>
      </c>
    </row>
    <row r="310" spans="1:14" hidden="1" x14ac:dyDescent="0.25">
      <c r="A310" t="s">
        <v>33</v>
      </c>
      <c r="B310" t="s">
        <v>216</v>
      </c>
      <c r="C310">
        <v>110800</v>
      </c>
      <c r="D310">
        <v>109600</v>
      </c>
      <c r="E310">
        <v>100700</v>
      </c>
      <c r="F310">
        <v>50000</v>
      </c>
      <c r="G310">
        <v>50000</v>
      </c>
      <c r="H310">
        <v>80000</v>
      </c>
      <c r="I310">
        <v>80000</v>
      </c>
      <c r="J310">
        <v>60000</v>
      </c>
      <c r="K310">
        <v>60000</v>
      </c>
      <c r="L310">
        <v>80000</v>
      </c>
      <c r="M310">
        <v>360000</v>
      </c>
      <c r="N310" s="2">
        <v>3.9062082689293041E-5</v>
      </c>
    </row>
    <row r="311" spans="1:14" hidden="1" x14ac:dyDescent="0.25">
      <c r="A311" t="s">
        <v>33</v>
      </c>
      <c r="B311" t="s">
        <v>112</v>
      </c>
      <c r="C311">
        <v>35885000</v>
      </c>
      <c r="D311">
        <v>34654000</v>
      </c>
      <c r="E311">
        <v>34035000</v>
      </c>
      <c r="F311">
        <v>31517000</v>
      </c>
      <c r="G311">
        <v>33163000</v>
      </c>
      <c r="H311">
        <v>37523900</v>
      </c>
      <c r="I311">
        <v>37311700</v>
      </c>
      <c r="J311">
        <v>33743100</v>
      </c>
      <c r="K311">
        <v>35810300</v>
      </c>
      <c r="L311">
        <v>40360000</v>
      </c>
      <c r="M311">
        <v>184749000</v>
      </c>
      <c r="N311" s="2">
        <v>2.0046335318789441E-2</v>
      </c>
    </row>
    <row r="312" spans="1:14" hidden="1" x14ac:dyDescent="0.25">
      <c r="A312" t="s">
        <v>33</v>
      </c>
      <c r="B312" t="s">
        <v>113</v>
      </c>
      <c r="C312">
        <v>88695000</v>
      </c>
      <c r="D312">
        <v>86878000</v>
      </c>
      <c r="E312">
        <v>88174000</v>
      </c>
      <c r="F312">
        <v>78845000</v>
      </c>
      <c r="G312">
        <v>78475000</v>
      </c>
      <c r="H312">
        <v>81612000</v>
      </c>
      <c r="I312">
        <v>86607400</v>
      </c>
      <c r="J312">
        <v>87761200</v>
      </c>
      <c r="K312">
        <v>72732100</v>
      </c>
      <c r="L312">
        <v>85800000</v>
      </c>
      <c r="M312">
        <v>414512700</v>
      </c>
      <c r="N312" s="2">
        <v>4.4977026008783658E-2</v>
      </c>
    </row>
    <row r="313" spans="1:14" hidden="1" x14ac:dyDescent="0.25">
      <c r="A313" t="s">
        <v>33</v>
      </c>
      <c r="B313" t="s">
        <v>142</v>
      </c>
      <c r="C313">
        <v>30000</v>
      </c>
      <c r="D313">
        <v>30000</v>
      </c>
      <c r="E313">
        <v>30000</v>
      </c>
      <c r="F313">
        <v>30000</v>
      </c>
      <c r="G313">
        <v>30000</v>
      </c>
      <c r="H313">
        <v>30000</v>
      </c>
      <c r="I313">
        <v>30000</v>
      </c>
      <c r="J313">
        <v>30000</v>
      </c>
      <c r="K313">
        <v>30000</v>
      </c>
      <c r="L313">
        <v>30000</v>
      </c>
      <c r="M313">
        <v>150000</v>
      </c>
      <c r="N313" s="2">
        <v>1.6275867787205429E-5</v>
      </c>
    </row>
    <row r="314" spans="1:14" hidden="1" x14ac:dyDescent="0.25">
      <c r="A314" t="s">
        <v>33</v>
      </c>
      <c r="B314" t="s">
        <v>122</v>
      </c>
      <c r="C314">
        <v>33509180</v>
      </c>
      <c r="D314">
        <v>33198653</v>
      </c>
      <c r="E314">
        <v>27372913</v>
      </c>
      <c r="F314">
        <v>23166031</v>
      </c>
      <c r="G314">
        <v>24218000</v>
      </c>
      <c r="H314">
        <v>21417300</v>
      </c>
      <c r="I314">
        <v>21100500</v>
      </c>
      <c r="J314">
        <v>20848200</v>
      </c>
      <c r="K314">
        <v>20616400</v>
      </c>
      <c r="L314">
        <v>21365600</v>
      </c>
      <c r="M314">
        <v>105348000</v>
      </c>
      <c r="N314" s="2">
        <v>1.1430867464310121E-2</v>
      </c>
    </row>
    <row r="315" spans="1:14" hidden="1" x14ac:dyDescent="0.25">
      <c r="A315" t="s">
        <v>33</v>
      </c>
      <c r="B315" t="s">
        <v>123</v>
      </c>
      <c r="C315">
        <v>2408000</v>
      </c>
      <c r="D315">
        <v>2878000</v>
      </c>
      <c r="E315">
        <v>2390000</v>
      </c>
      <c r="F315">
        <v>3006000</v>
      </c>
      <c r="G315">
        <v>3149000</v>
      </c>
      <c r="H315">
        <v>3309300</v>
      </c>
      <c r="I315">
        <v>3247500</v>
      </c>
      <c r="J315">
        <v>3326600</v>
      </c>
      <c r="K315">
        <v>2722000</v>
      </c>
      <c r="L315">
        <v>3000000</v>
      </c>
      <c r="M315">
        <v>15605400</v>
      </c>
      <c r="N315" s="2">
        <v>1.693276181109705E-3</v>
      </c>
    </row>
    <row r="316" spans="1:14" hidden="1" x14ac:dyDescent="0.25">
      <c r="A316" t="s">
        <v>33</v>
      </c>
      <c r="B316" t="s">
        <v>140</v>
      </c>
      <c r="C316">
        <v>9579100</v>
      </c>
      <c r="D316">
        <v>11857500</v>
      </c>
      <c r="E316">
        <v>12033500</v>
      </c>
      <c r="F316">
        <v>10906700</v>
      </c>
      <c r="G316">
        <v>7634900</v>
      </c>
      <c r="H316">
        <v>7491300</v>
      </c>
      <c r="I316">
        <v>7267700</v>
      </c>
      <c r="J316">
        <v>7218100</v>
      </c>
      <c r="K316">
        <v>7085700</v>
      </c>
      <c r="L316">
        <v>7221600</v>
      </c>
      <c r="M316">
        <v>36284400</v>
      </c>
      <c r="N316" s="2">
        <v>3.9370673142538459E-3</v>
      </c>
    </row>
    <row r="317" spans="1:14" hidden="1" x14ac:dyDescent="0.25">
      <c r="A317" t="s">
        <v>33</v>
      </c>
      <c r="B317" t="s">
        <v>210</v>
      </c>
      <c r="C317">
        <v>78000</v>
      </c>
      <c r="D317">
        <v>91000</v>
      </c>
      <c r="E317">
        <v>94000</v>
      </c>
      <c r="F317">
        <v>97000</v>
      </c>
      <c r="G317">
        <v>61000</v>
      </c>
      <c r="H317">
        <v>57800</v>
      </c>
      <c r="I317">
        <v>60000</v>
      </c>
      <c r="J317">
        <v>62300</v>
      </c>
      <c r="K317">
        <v>49100</v>
      </c>
      <c r="L317">
        <v>62800</v>
      </c>
      <c r="M317">
        <v>292000</v>
      </c>
      <c r="N317" s="2">
        <v>3.1683689292426578E-5</v>
      </c>
    </row>
    <row r="318" spans="1:14" hidden="1" x14ac:dyDescent="0.25">
      <c r="A318" t="s">
        <v>33</v>
      </c>
      <c r="B318" t="s">
        <v>180</v>
      </c>
      <c r="C318">
        <v>736000</v>
      </c>
      <c r="D318">
        <v>746000</v>
      </c>
      <c r="E318">
        <v>723000</v>
      </c>
      <c r="F318">
        <v>643000</v>
      </c>
      <c r="G318">
        <v>654000</v>
      </c>
      <c r="H318">
        <v>654000</v>
      </c>
      <c r="I318">
        <v>646000</v>
      </c>
      <c r="J318">
        <v>666000</v>
      </c>
      <c r="K318">
        <v>939200</v>
      </c>
      <c r="L318">
        <v>885000</v>
      </c>
      <c r="M318">
        <v>3790200</v>
      </c>
      <c r="N318" s="2">
        <v>4.1125862724710691E-4</v>
      </c>
    </row>
    <row r="319" spans="1:14" hidden="1" x14ac:dyDescent="0.25">
      <c r="A319" t="s">
        <v>33</v>
      </c>
      <c r="B319" t="s">
        <v>114</v>
      </c>
      <c r="C319">
        <v>2359000</v>
      </c>
      <c r="D319">
        <v>2494000</v>
      </c>
      <c r="E319">
        <v>1466000</v>
      </c>
      <c r="F319">
        <v>1346000</v>
      </c>
      <c r="G319">
        <v>553000</v>
      </c>
      <c r="H319">
        <v>443800</v>
      </c>
      <c r="I319">
        <v>129000</v>
      </c>
      <c r="J319">
        <v>50800</v>
      </c>
      <c r="K319">
        <v>29200</v>
      </c>
      <c r="L319">
        <v>29400</v>
      </c>
      <c r="M319">
        <v>682200</v>
      </c>
      <c r="N319" s="2">
        <v>7.4022646696210312E-5</v>
      </c>
    </row>
    <row r="320" spans="1:14" hidden="1" x14ac:dyDescent="0.25">
      <c r="A320" t="s">
        <v>33</v>
      </c>
      <c r="B320" t="s">
        <v>115</v>
      </c>
      <c r="C320">
        <v>5298000</v>
      </c>
      <c r="D320">
        <v>5474000</v>
      </c>
      <c r="E320">
        <v>5847000</v>
      </c>
      <c r="F320">
        <v>5647000</v>
      </c>
      <c r="G320">
        <v>7811000</v>
      </c>
      <c r="H320">
        <v>11473000</v>
      </c>
      <c r="I320">
        <v>15471000</v>
      </c>
      <c r="J320">
        <v>17469000</v>
      </c>
      <c r="K320">
        <v>19900000</v>
      </c>
      <c r="L320">
        <v>23019200</v>
      </c>
      <c r="M320">
        <v>87332200</v>
      </c>
      <c r="N320" s="2">
        <v>9.4760489384385499E-3</v>
      </c>
    </row>
    <row r="321" spans="1:14" hidden="1" x14ac:dyDescent="0.25">
      <c r="A321" t="s">
        <v>33</v>
      </c>
      <c r="B321" t="s">
        <v>158</v>
      </c>
      <c r="E321">
        <v>6759</v>
      </c>
      <c r="F321">
        <v>2806</v>
      </c>
      <c r="G321">
        <v>2785</v>
      </c>
      <c r="H321">
        <v>1294</v>
      </c>
      <c r="I321">
        <v>1322</v>
      </c>
      <c r="J321">
        <v>3583</v>
      </c>
      <c r="K321">
        <v>5196</v>
      </c>
      <c r="L321">
        <v>4800</v>
      </c>
      <c r="M321">
        <v>16195</v>
      </c>
      <c r="N321" s="2">
        <v>1.757251192091947E-6</v>
      </c>
    </row>
    <row r="322" spans="1:14" hidden="1" x14ac:dyDescent="0.25">
      <c r="A322" t="s">
        <v>50</v>
      </c>
      <c r="B322" t="s">
        <v>107</v>
      </c>
      <c r="C322">
        <v>7000</v>
      </c>
      <c r="D322">
        <v>7000</v>
      </c>
      <c r="E322">
        <v>7000</v>
      </c>
      <c r="F322">
        <v>7000</v>
      </c>
      <c r="G322">
        <v>7000</v>
      </c>
      <c r="H322">
        <v>7000</v>
      </c>
      <c r="I322">
        <v>7000</v>
      </c>
      <c r="J322">
        <v>7000</v>
      </c>
      <c r="K322">
        <v>7000</v>
      </c>
      <c r="L322">
        <v>7000</v>
      </c>
      <c r="M322">
        <v>35000</v>
      </c>
      <c r="N322" s="2">
        <v>1</v>
      </c>
    </row>
    <row r="323" spans="1:14" hidden="1" x14ac:dyDescent="0.25">
      <c r="A323" t="s">
        <v>68</v>
      </c>
      <c r="B323" t="s">
        <v>183</v>
      </c>
      <c r="C323">
        <v>42</v>
      </c>
      <c r="D323">
        <v>27</v>
      </c>
      <c r="E323">
        <v>16</v>
      </c>
      <c r="F323">
        <v>20</v>
      </c>
      <c r="G323">
        <v>20</v>
      </c>
      <c r="H323">
        <v>20</v>
      </c>
      <c r="I323">
        <v>100</v>
      </c>
      <c r="J323">
        <v>100</v>
      </c>
      <c r="K323">
        <v>0</v>
      </c>
      <c r="L323">
        <v>12</v>
      </c>
      <c r="M323">
        <v>232</v>
      </c>
      <c r="N323" s="2">
        <v>1.7026467232328959E-6</v>
      </c>
    </row>
    <row r="324" spans="1:14" hidden="1" x14ac:dyDescent="0.25">
      <c r="A324" t="s">
        <v>68</v>
      </c>
      <c r="B324" t="s">
        <v>124</v>
      </c>
      <c r="C324">
        <v>750000</v>
      </c>
      <c r="D324">
        <v>774470</v>
      </c>
      <c r="E324">
        <v>905100</v>
      </c>
      <c r="F324">
        <v>1175246</v>
      </c>
      <c r="G324">
        <v>1055700</v>
      </c>
      <c r="H324">
        <v>997961</v>
      </c>
      <c r="I324">
        <v>1023768</v>
      </c>
      <c r="J324">
        <v>1070700</v>
      </c>
      <c r="K324">
        <v>767100</v>
      </c>
      <c r="L324">
        <v>824200</v>
      </c>
      <c r="M324">
        <v>4683729</v>
      </c>
      <c r="N324" s="2">
        <v>3.4373861355003837E-2</v>
      </c>
    </row>
    <row r="325" spans="1:14" hidden="1" x14ac:dyDescent="0.25">
      <c r="A325" t="s">
        <v>68</v>
      </c>
      <c r="B325" t="s">
        <v>164</v>
      </c>
      <c r="C325">
        <v>14000</v>
      </c>
      <c r="D325">
        <v>14083</v>
      </c>
      <c r="E325">
        <v>13295</v>
      </c>
      <c r="F325">
        <v>14344</v>
      </c>
      <c r="G325">
        <v>16000</v>
      </c>
      <c r="H325">
        <v>18500</v>
      </c>
      <c r="I325">
        <v>15000</v>
      </c>
      <c r="J325">
        <v>20000</v>
      </c>
      <c r="K325">
        <v>19500</v>
      </c>
      <c r="L325">
        <v>19500</v>
      </c>
      <c r="M325">
        <v>92500</v>
      </c>
      <c r="N325" s="2">
        <v>6.7885699094415045E-4</v>
      </c>
    </row>
    <row r="326" spans="1:14" hidden="1" x14ac:dyDescent="0.25">
      <c r="A326" t="s">
        <v>68</v>
      </c>
      <c r="B326" t="s">
        <v>83</v>
      </c>
      <c r="C326">
        <v>1726933</v>
      </c>
      <c r="D326">
        <v>1839782</v>
      </c>
      <c r="E326">
        <v>1846847</v>
      </c>
      <c r="F326">
        <v>1430298</v>
      </c>
      <c r="G326">
        <v>1418219</v>
      </c>
      <c r="H326">
        <v>1120175</v>
      </c>
      <c r="I326">
        <v>1254480</v>
      </c>
      <c r="J326">
        <v>1325089</v>
      </c>
      <c r="K326">
        <v>1337344</v>
      </c>
      <c r="L326">
        <v>1329718</v>
      </c>
      <c r="M326">
        <v>6366806</v>
      </c>
      <c r="N326" s="2">
        <v>4.6725954195515278E-2</v>
      </c>
    </row>
    <row r="327" spans="1:14" hidden="1" x14ac:dyDescent="0.25">
      <c r="A327" t="s">
        <v>68</v>
      </c>
      <c r="B327" t="s">
        <v>125</v>
      </c>
      <c r="C327">
        <v>626</v>
      </c>
      <c r="D327">
        <v>2051</v>
      </c>
      <c r="E327">
        <v>970</v>
      </c>
      <c r="F327">
        <v>890</v>
      </c>
      <c r="G327">
        <v>5136</v>
      </c>
      <c r="H327">
        <v>8076</v>
      </c>
      <c r="I327">
        <v>8943</v>
      </c>
      <c r="J327">
        <v>8160</v>
      </c>
      <c r="K327">
        <v>7600</v>
      </c>
      <c r="L327">
        <v>8986</v>
      </c>
      <c r="M327">
        <v>41765</v>
      </c>
      <c r="N327" s="2">
        <v>3.0651310515440478E-4</v>
      </c>
    </row>
    <row r="328" spans="1:14" hidden="1" x14ac:dyDescent="0.25">
      <c r="A328" t="s">
        <v>68</v>
      </c>
      <c r="B328" t="s">
        <v>144</v>
      </c>
      <c r="C328">
        <v>1206000</v>
      </c>
      <c r="D328">
        <v>1287200</v>
      </c>
      <c r="E328">
        <v>1346941</v>
      </c>
      <c r="F328">
        <v>1306977</v>
      </c>
      <c r="G328">
        <v>1356620</v>
      </c>
      <c r="H328">
        <v>1222371</v>
      </c>
      <c r="I328">
        <v>1191024</v>
      </c>
      <c r="J328">
        <v>1152628</v>
      </c>
      <c r="K328">
        <v>929909</v>
      </c>
      <c r="L328">
        <v>1289456</v>
      </c>
      <c r="M328">
        <v>5785388</v>
      </c>
      <c r="N328" s="2">
        <v>4.2458930693236717E-2</v>
      </c>
    </row>
    <row r="329" spans="1:14" hidden="1" x14ac:dyDescent="0.25">
      <c r="A329" t="s">
        <v>68</v>
      </c>
      <c r="B329" t="s">
        <v>165</v>
      </c>
      <c r="C329">
        <v>8700</v>
      </c>
      <c r="D329">
        <v>22597</v>
      </c>
      <c r="E329">
        <v>22288</v>
      </c>
      <c r="F329">
        <v>2801</v>
      </c>
      <c r="H329">
        <v>0</v>
      </c>
      <c r="I329">
        <v>0</v>
      </c>
      <c r="J329">
        <v>0</v>
      </c>
      <c r="K329">
        <v>0</v>
      </c>
      <c r="L329">
        <v>67563</v>
      </c>
      <c r="M329">
        <v>67563</v>
      </c>
      <c r="N329" s="2">
        <v>4.9584448518010416E-4</v>
      </c>
    </row>
    <row r="330" spans="1:14" hidden="1" x14ac:dyDescent="0.25">
      <c r="A330" t="s">
        <v>68</v>
      </c>
      <c r="B330" t="s">
        <v>85</v>
      </c>
      <c r="C330">
        <v>20145</v>
      </c>
      <c r="D330">
        <v>22427</v>
      </c>
      <c r="E330">
        <v>32300</v>
      </c>
      <c r="F330">
        <v>44142</v>
      </c>
      <c r="G330">
        <v>48793</v>
      </c>
      <c r="H330">
        <v>41900</v>
      </c>
      <c r="I330">
        <v>49600</v>
      </c>
      <c r="J330">
        <v>68400</v>
      </c>
      <c r="K330">
        <v>68400</v>
      </c>
      <c r="L330">
        <v>80900</v>
      </c>
      <c r="M330">
        <v>309200</v>
      </c>
      <c r="N330" s="2">
        <v>2.2692170983776359E-3</v>
      </c>
    </row>
    <row r="331" spans="1:14" hidden="1" x14ac:dyDescent="0.25">
      <c r="A331" t="s">
        <v>68</v>
      </c>
      <c r="B331" t="s">
        <v>147</v>
      </c>
      <c r="C331">
        <v>55000</v>
      </c>
      <c r="D331">
        <v>55637</v>
      </c>
      <c r="E331">
        <v>50200</v>
      </c>
      <c r="F331">
        <v>37955</v>
      </c>
      <c r="G331">
        <v>52526</v>
      </c>
      <c r="H331">
        <v>53053</v>
      </c>
      <c r="I331">
        <v>41315</v>
      </c>
      <c r="J331">
        <v>35145</v>
      </c>
      <c r="K331">
        <v>39100</v>
      </c>
      <c r="L331">
        <v>40000</v>
      </c>
      <c r="M331">
        <v>208613</v>
      </c>
      <c r="N331" s="2">
        <v>1.531009658938725E-3</v>
      </c>
    </row>
    <row r="332" spans="1:14" hidden="1" x14ac:dyDescent="0.25">
      <c r="A332" t="s">
        <v>68</v>
      </c>
      <c r="B332" t="s">
        <v>186</v>
      </c>
      <c r="C332">
        <v>4500</v>
      </c>
      <c r="D332">
        <v>19500</v>
      </c>
      <c r="E332">
        <v>5400</v>
      </c>
      <c r="F332">
        <v>5500</v>
      </c>
      <c r="G332">
        <v>5800</v>
      </c>
      <c r="H332">
        <v>7000</v>
      </c>
      <c r="I332">
        <v>8000</v>
      </c>
      <c r="J332">
        <v>7700</v>
      </c>
      <c r="K332">
        <v>10012</v>
      </c>
      <c r="L332">
        <v>9900</v>
      </c>
      <c r="M332">
        <v>42612</v>
      </c>
      <c r="N332" s="2">
        <v>3.1272923349310423E-4</v>
      </c>
    </row>
    <row r="333" spans="1:14" hidden="1" x14ac:dyDescent="0.25">
      <c r="A333" t="s">
        <v>68</v>
      </c>
      <c r="B333" t="s">
        <v>116</v>
      </c>
      <c r="C333">
        <v>685255</v>
      </c>
      <c r="D333">
        <v>640362</v>
      </c>
      <c r="E333">
        <v>495403</v>
      </c>
      <c r="F333">
        <v>383807</v>
      </c>
      <c r="G333">
        <v>385134</v>
      </c>
      <c r="H333">
        <v>389568</v>
      </c>
      <c r="I333">
        <v>404000</v>
      </c>
      <c r="J333">
        <v>410000</v>
      </c>
      <c r="K333">
        <v>295051</v>
      </c>
      <c r="L333">
        <v>325026</v>
      </c>
      <c r="M333">
        <v>1823645</v>
      </c>
      <c r="N333" s="2">
        <v>1.3383720618922649E-2</v>
      </c>
    </row>
    <row r="334" spans="1:14" hidden="1" x14ac:dyDescent="0.25">
      <c r="A334" t="s">
        <v>68</v>
      </c>
      <c r="B334" t="s">
        <v>145</v>
      </c>
      <c r="C334">
        <v>1194521</v>
      </c>
      <c r="D334">
        <v>1173845</v>
      </c>
      <c r="E334">
        <v>1571788</v>
      </c>
      <c r="F334">
        <v>1504271</v>
      </c>
      <c r="G334">
        <v>1501436</v>
      </c>
      <c r="H334">
        <v>1318582</v>
      </c>
      <c r="I334">
        <v>1370237</v>
      </c>
      <c r="J334">
        <v>1309321</v>
      </c>
      <c r="K334">
        <v>1575794</v>
      </c>
      <c r="L334">
        <v>1383041</v>
      </c>
      <c r="M334">
        <v>6956975</v>
      </c>
      <c r="N334" s="2">
        <v>5.1057201238634387E-2</v>
      </c>
    </row>
    <row r="335" spans="1:14" hidden="1" x14ac:dyDescent="0.25">
      <c r="A335" t="s">
        <v>68</v>
      </c>
      <c r="B335" t="s">
        <v>86</v>
      </c>
      <c r="C335">
        <v>3639100</v>
      </c>
      <c r="D335">
        <v>3673300</v>
      </c>
      <c r="E335">
        <v>3673300</v>
      </c>
      <c r="F335">
        <v>3421355</v>
      </c>
      <c r="G335">
        <v>3496003</v>
      </c>
      <c r="H335">
        <v>3620400</v>
      </c>
      <c r="I335">
        <v>3421355</v>
      </c>
      <c r="J335">
        <v>3443128</v>
      </c>
      <c r="K335">
        <v>3405800</v>
      </c>
      <c r="L335">
        <v>3511554</v>
      </c>
      <c r="M335">
        <v>17402237</v>
      </c>
      <c r="N335" s="2">
        <v>0.12771492157315631</v>
      </c>
    </row>
    <row r="336" spans="1:14" hidden="1" x14ac:dyDescent="0.25">
      <c r="A336" t="s">
        <v>68</v>
      </c>
      <c r="B336" t="s">
        <v>87</v>
      </c>
      <c r="C336">
        <v>19451</v>
      </c>
      <c r="D336">
        <v>14046</v>
      </c>
      <c r="E336">
        <v>11692</v>
      </c>
      <c r="F336">
        <v>11602</v>
      </c>
      <c r="G336">
        <v>11866</v>
      </c>
      <c r="H336">
        <v>12076</v>
      </c>
      <c r="I336">
        <v>16691</v>
      </c>
      <c r="J336">
        <v>14479</v>
      </c>
      <c r="K336">
        <v>19948</v>
      </c>
      <c r="L336">
        <v>26963</v>
      </c>
      <c r="M336">
        <v>90157</v>
      </c>
      <c r="N336" s="2">
        <v>6.6166172683839754E-4</v>
      </c>
    </row>
    <row r="337" spans="1:14" hidden="1" x14ac:dyDescent="0.25">
      <c r="A337" t="s">
        <v>68</v>
      </c>
      <c r="B337" t="s">
        <v>159</v>
      </c>
      <c r="C337">
        <v>12342</v>
      </c>
      <c r="D337">
        <v>60431</v>
      </c>
      <c r="E337">
        <v>6485</v>
      </c>
      <c r="F337">
        <v>2401</v>
      </c>
      <c r="G337">
        <v>800</v>
      </c>
      <c r="H337">
        <v>3400</v>
      </c>
      <c r="I337">
        <v>3400</v>
      </c>
      <c r="J337">
        <v>3400</v>
      </c>
      <c r="K337">
        <v>3400</v>
      </c>
      <c r="L337">
        <v>3400</v>
      </c>
      <c r="M337">
        <v>17000</v>
      </c>
      <c r="N337" s="2">
        <v>1.2476290644378979E-4</v>
      </c>
    </row>
    <row r="338" spans="1:14" hidden="1" x14ac:dyDescent="0.25">
      <c r="A338" t="s">
        <v>68</v>
      </c>
      <c r="B338" t="s">
        <v>166</v>
      </c>
      <c r="D338">
        <v>0</v>
      </c>
      <c r="E338">
        <v>0</v>
      </c>
      <c r="F338">
        <v>0</v>
      </c>
      <c r="G338">
        <v>0</v>
      </c>
      <c r="H338">
        <v>99</v>
      </c>
      <c r="I338">
        <v>180</v>
      </c>
      <c r="J338">
        <v>97</v>
      </c>
      <c r="K338">
        <v>486</v>
      </c>
      <c r="L338">
        <v>0</v>
      </c>
      <c r="M338">
        <v>862</v>
      </c>
      <c r="N338" s="2">
        <v>6.3262132561498133E-6</v>
      </c>
    </row>
    <row r="339" spans="1:14" hidden="1" x14ac:dyDescent="0.25">
      <c r="A339" t="s">
        <v>68</v>
      </c>
      <c r="B339" t="s">
        <v>89</v>
      </c>
      <c r="C339">
        <v>27296</v>
      </c>
      <c r="D339">
        <v>78228</v>
      </c>
      <c r="E339">
        <v>135024</v>
      </c>
      <c r="F339">
        <v>95705</v>
      </c>
      <c r="G339">
        <v>121748</v>
      </c>
      <c r="H339">
        <v>151756</v>
      </c>
      <c r="I339">
        <v>166499</v>
      </c>
      <c r="J339">
        <v>108685</v>
      </c>
      <c r="K339">
        <v>87889</v>
      </c>
      <c r="L339">
        <v>79687</v>
      </c>
      <c r="M339">
        <v>594516</v>
      </c>
      <c r="N339" s="2">
        <v>4.3631496521962443E-3</v>
      </c>
    </row>
    <row r="340" spans="1:14" hidden="1" x14ac:dyDescent="0.25">
      <c r="A340" t="s">
        <v>68</v>
      </c>
      <c r="B340" t="s">
        <v>167</v>
      </c>
      <c r="C340">
        <v>2934</v>
      </c>
      <c r="D340">
        <v>1198</v>
      </c>
      <c r="E340">
        <v>577</v>
      </c>
      <c r="F340">
        <v>2521</v>
      </c>
      <c r="G340">
        <v>934</v>
      </c>
      <c r="H340">
        <v>68</v>
      </c>
      <c r="I340">
        <v>192</v>
      </c>
      <c r="J340">
        <v>2892</v>
      </c>
      <c r="K340">
        <v>1792</v>
      </c>
      <c r="L340">
        <v>2273</v>
      </c>
      <c r="M340">
        <v>7217</v>
      </c>
      <c r="N340" s="2">
        <v>5.2965523282637123E-5</v>
      </c>
    </row>
    <row r="341" spans="1:14" hidden="1" x14ac:dyDescent="0.25">
      <c r="A341" t="s">
        <v>68</v>
      </c>
      <c r="B341" t="s">
        <v>168</v>
      </c>
      <c r="C341">
        <v>29922</v>
      </c>
      <c r="D341">
        <v>15799</v>
      </c>
      <c r="E341">
        <v>47398</v>
      </c>
      <c r="F341">
        <v>38910</v>
      </c>
      <c r="G341">
        <v>13219</v>
      </c>
      <c r="H341">
        <v>1192</v>
      </c>
      <c r="I341">
        <v>31000</v>
      </c>
      <c r="J341">
        <v>44836</v>
      </c>
      <c r="K341">
        <v>65284</v>
      </c>
      <c r="L341">
        <v>68624</v>
      </c>
      <c r="M341">
        <v>210936</v>
      </c>
      <c r="N341" s="2">
        <v>1.5480581431545439E-3</v>
      </c>
    </row>
    <row r="342" spans="1:14" hidden="1" x14ac:dyDescent="0.25">
      <c r="A342" t="s">
        <v>68</v>
      </c>
      <c r="B342" t="s">
        <v>193</v>
      </c>
      <c r="C342">
        <v>2400</v>
      </c>
      <c r="D342">
        <v>1400</v>
      </c>
      <c r="E342">
        <v>1020</v>
      </c>
      <c r="F342">
        <v>1000</v>
      </c>
      <c r="G342">
        <v>745</v>
      </c>
      <c r="H342">
        <v>1000</v>
      </c>
      <c r="I342">
        <v>340</v>
      </c>
      <c r="J342">
        <v>400</v>
      </c>
      <c r="K342">
        <v>400</v>
      </c>
      <c r="L342">
        <v>400</v>
      </c>
      <c r="M342">
        <v>2540</v>
      </c>
      <c r="N342" s="2">
        <v>1.8641046021601542E-5</v>
      </c>
    </row>
    <row r="343" spans="1:14" hidden="1" x14ac:dyDescent="0.25">
      <c r="A343" t="s">
        <v>68</v>
      </c>
      <c r="B343" t="s">
        <v>90</v>
      </c>
      <c r="C343">
        <v>342</v>
      </c>
      <c r="D343">
        <v>462</v>
      </c>
      <c r="E343">
        <v>361</v>
      </c>
      <c r="F343">
        <v>354</v>
      </c>
      <c r="G343">
        <v>354</v>
      </c>
      <c r="H343">
        <v>350</v>
      </c>
      <c r="I343">
        <v>358</v>
      </c>
      <c r="J343">
        <v>692</v>
      </c>
      <c r="K343">
        <v>479</v>
      </c>
      <c r="L343">
        <v>622</v>
      </c>
      <c r="M343">
        <v>2501</v>
      </c>
      <c r="N343" s="2">
        <v>1.835482523623049E-5</v>
      </c>
    </row>
    <row r="344" spans="1:14" hidden="1" x14ac:dyDescent="0.25">
      <c r="A344" t="s">
        <v>68</v>
      </c>
      <c r="B344" t="s">
        <v>154</v>
      </c>
      <c r="C344">
        <v>10479</v>
      </c>
      <c r="D344">
        <v>14226</v>
      </c>
      <c r="E344">
        <v>12830</v>
      </c>
      <c r="F344">
        <v>13051</v>
      </c>
      <c r="G344">
        <v>16348</v>
      </c>
      <c r="H344">
        <v>13654</v>
      </c>
      <c r="I344">
        <v>12849</v>
      </c>
      <c r="J344">
        <v>40461</v>
      </c>
      <c r="K344">
        <v>54833</v>
      </c>
      <c r="L344">
        <v>45338</v>
      </c>
      <c r="M344">
        <v>167135</v>
      </c>
      <c r="N344" s="2">
        <v>1.226602845204871E-3</v>
      </c>
    </row>
    <row r="345" spans="1:14" hidden="1" x14ac:dyDescent="0.25">
      <c r="A345" t="s">
        <v>68</v>
      </c>
      <c r="B345" t="s">
        <v>169</v>
      </c>
      <c r="F345">
        <v>18000</v>
      </c>
      <c r="G345">
        <v>20000</v>
      </c>
      <c r="H345">
        <v>21000</v>
      </c>
      <c r="I345">
        <v>20042</v>
      </c>
      <c r="J345">
        <v>4052</v>
      </c>
      <c r="K345">
        <v>11172</v>
      </c>
      <c r="L345">
        <v>12674</v>
      </c>
      <c r="M345">
        <v>68940</v>
      </c>
      <c r="N345" s="2">
        <v>5.0595028060205116E-4</v>
      </c>
    </row>
    <row r="346" spans="1:14" hidden="1" x14ac:dyDescent="0.25">
      <c r="A346" t="s">
        <v>68</v>
      </c>
      <c r="B346" t="s">
        <v>117</v>
      </c>
      <c r="H346">
        <v>600</v>
      </c>
      <c r="I346">
        <v>500</v>
      </c>
      <c r="J346">
        <v>400</v>
      </c>
      <c r="K346">
        <v>400</v>
      </c>
      <c r="L346">
        <v>400</v>
      </c>
      <c r="M346">
        <v>2300</v>
      </c>
      <c r="N346" s="2">
        <v>1.687968734239509E-5</v>
      </c>
    </row>
    <row r="347" spans="1:14" hidden="1" x14ac:dyDescent="0.25">
      <c r="A347" t="s">
        <v>68</v>
      </c>
      <c r="B347" t="s">
        <v>92</v>
      </c>
      <c r="C347">
        <v>3900</v>
      </c>
      <c r="D347">
        <v>3900</v>
      </c>
      <c r="E347">
        <v>4199</v>
      </c>
      <c r="F347">
        <v>4000</v>
      </c>
      <c r="G347">
        <v>3100</v>
      </c>
      <c r="H347">
        <v>4000</v>
      </c>
      <c r="I347">
        <v>4000</v>
      </c>
      <c r="J347">
        <v>4000</v>
      </c>
      <c r="K347">
        <v>1000</v>
      </c>
      <c r="L347">
        <v>1000</v>
      </c>
      <c r="M347">
        <v>14000</v>
      </c>
      <c r="N347" s="2">
        <v>1.027459229537093E-4</v>
      </c>
    </row>
    <row r="348" spans="1:14" hidden="1" x14ac:dyDescent="0.25">
      <c r="A348" t="s">
        <v>68</v>
      </c>
      <c r="B348" t="s">
        <v>93</v>
      </c>
      <c r="C348">
        <v>39800</v>
      </c>
      <c r="D348">
        <v>39759</v>
      </c>
      <c r="E348">
        <v>35785</v>
      </c>
      <c r="F348">
        <v>28100</v>
      </c>
      <c r="G348">
        <v>29300</v>
      </c>
      <c r="H348">
        <v>34200</v>
      </c>
      <c r="I348">
        <v>34900</v>
      </c>
      <c r="J348">
        <v>43800</v>
      </c>
      <c r="K348">
        <v>50300</v>
      </c>
      <c r="L348">
        <v>47900</v>
      </c>
      <c r="M348">
        <v>211100</v>
      </c>
      <c r="N348" s="2">
        <v>1.549261738252002E-3</v>
      </c>
    </row>
    <row r="349" spans="1:14" hidden="1" x14ac:dyDescent="0.25">
      <c r="A349" t="s">
        <v>68</v>
      </c>
      <c r="B349" t="s">
        <v>196</v>
      </c>
      <c r="C349">
        <v>204681</v>
      </c>
      <c r="D349">
        <v>281331</v>
      </c>
      <c r="E349">
        <v>858349</v>
      </c>
      <c r="F349">
        <v>862814</v>
      </c>
      <c r="G349">
        <v>837815</v>
      </c>
      <c r="H349">
        <v>336944</v>
      </c>
      <c r="I349">
        <v>0</v>
      </c>
      <c r="J349">
        <v>0</v>
      </c>
      <c r="K349">
        <v>0</v>
      </c>
      <c r="L349">
        <v>0</v>
      </c>
      <c r="M349">
        <v>336944</v>
      </c>
      <c r="N349" s="2">
        <v>2.472830161693901E-3</v>
      </c>
    </row>
    <row r="350" spans="1:14" hidden="1" x14ac:dyDescent="0.25">
      <c r="A350" t="s">
        <v>68</v>
      </c>
      <c r="B350" t="s">
        <v>197</v>
      </c>
      <c r="C350">
        <v>51896</v>
      </c>
      <c r="D350">
        <v>50916</v>
      </c>
      <c r="E350">
        <v>58826</v>
      </c>
      <c r="F350">
        <v>34369</v>
      </c>
      <c r="G350">
        <v>17600</v>
      </c>
      <c r="H350">
        <v>21784</v>
      </c>
      <c r="I350">
        <v>31181</v>
      </c>
      <c r="J350">
        <v>34060</v>
      </c>
      <c r="K350">
        <v>34260</v>
      </c>
      <c r="L350">
        <v>36700</v>
      </c>
      <c r="M350">
        <v>157985</v>
      </c>
      <c r="N350" s="2">
        <v>1.159451045560125E-3</v>
      </c>
    </row>
    <row r="351" spans="1:14" hidden="1" x14ac:dyDescent="0.25">
      <c r="A351" t="s">
        <v>68</v>
      </c>
      <c r="B351" t="s">
        <v>97</v>
      </c>
      <c r="C351">
        <v>374046</v>
      </c>
      <c r="D351">
        <v>349774</v>
      </c>
      <c r="E351">
        <v>327647</v>
      </c>
      <c r="F351">
        <v>426443</v>
      </c>
      <c r="G351">
        <v>460811</v>
      </c>
      <c r="H351">
        <v>557691</v>
      </c>
      <c r="I351">
        <v>679376</v>
      </c>
      <c r="J351">
        <v>672380</v>
      </c>
      <c r="K351">
        <v>746377</v>
      </c>
      <c r="L351">
        <v>680000</v>
      </c>
      <c r="M351">
        <v>3335824</v>
      </c>
      <c r="N351" s="2">
        <v>2.448159397793816E-2</v>
      </c>
    </row>
    <row r="352" spans="1:14" hidden="1" x14ac:dyDescent="0.25">
      <c r="A352" t="s">
        <v>68</v>
      </c>
      <c r="B352" t="s">
        <v>98</v>
      </c>
      <c r="C352">
        <v>247827</v>
      </c>
      <c r="D352">
        <v>123109</v>
      </c>
      <c r="E352">
        <v>119189</v>
      </c>
      <c r="F352">
        <v>151934</v>
      </c>
      <c r="G352">
        <v>185234</v>
      </c>
      <c r="H352">
        <v>331644</v>
      </c>
      <c r="I352">
        <v>335491</v>
      </c>
      <c r="J352">
        <v>484900</v>
      </c>
      <c r="K352">
        <v>338100</v>
      </c>
      <c r="L352">
        <v>335900</v>
      </c>
      <c r="M352">
        <v>1826035</v>
      </c>
      <c r="N352" s="2">
        <v>1.340126081576975E-2</v>
      </c>
    </row>
    <row r="353" spans="1:14" hidden="1" x14ac:dyDescent="0.25">
      <c r="A353" t="s">
        <v>68</v>
      </c>
      <c r="B353" t="s">
        <v>99</v>
      </c>
      <c r="C353">
        <v>40000</v>
      </c>
      <c r="D353">
        <v>35000</v>
      </c>
      <c r="E353">
        <v>34945</v>
      </c>
      <c r="F353">
        <v>48400</v>
      </c>
      <c r="G353">
        <v>50000</v>
      </c>
      <c r="H353">
        <v>50000</v>
      </c>
      <c r="I353">
        <v>50000</v>
      </c>
      <c r="J353">
        <v>50000</v>
      </c>
      <c r="K353">
        <v>50000</v>
      </c>
      <c r="L353">
        <v>50000</v>
      </c>
      <c r="M353">
        <v>250000</v>
      </c>
      <c r="N353" s="2">
        <v>1.8347486241733801E-3</v>
      </c>
    </row>
    <row r="354" spans="1:14" hidden="1" x14ac:dyDescent="0.25">
      <c r="A354" t="s">
        <v>68</v>
      </c>
      <c r="B354" t="s">
        <v>118</v>
      </c>
      <c r="C354">
        <v>9454</v>
      </c>
      <c r="D354">
        <v>7822</v>
      </c>
      <c r="E354">
        <v>6436</v>
      </c>
      <c r="F354">
        <v>3770</v>
      </c>
      <c r="G354">
        <v>1080</v>
      </c>
      <c r="H354">
        <v>1340</v>
      </c>
      <c r="I354">
        <v>1160</v>
      </c>
      <c r="J354">
        <v>1578</v>
      </c>
      <c r="K354">
        <v>920</v>
      </c>
      <c r="L354">
        <v>1340</v>
      </c>
      <c r="M354">
        <v>6338</v>
      </c>
      <c r="N354" s="2">
        <v>4.651454712004352E-5</v>
      </c>
    </row>
    <row r="355" spans="1:14" hidden="1" x14ac:dyDescent="0.25">
      <c r="A355" t="s">
        <v>68</v>
      </c>
      <c r="B355" t="s">
        <v>100</v>
      </c>
      <c r="C355">
        <v>410</v>
      </c>
      <c r="D355">
        <v>572</v>
      </c>
      <c r="E355">
        <v>585</v>
      </c>
      <c r="F355">
        <v>587</v>
      </c>
      <c r="G355">
        <v>549</v>
      </c>
      <c r="H355">
        <v>493</v>
      </c>
      <c r="I355">
        <v>137</v>
      </c>
      <c r="J355">
        <v>0</v>
      </c>
      <c r="K355">
        <v>0</v>
      </c>
      <c r="L355">
        <v>0</v>
      </c>
      <c r="M355">
        <v>630</v>
      </c>
      <c r="N355" s="2">
        <v>4.6235665329169168E-6</v>
      </c>
    </row>
    <row r="356" spans="1:14" hidden="1" x14ac:dyDescent="0.25">
      <c r="A356" t="s">
        <v>68</v>
      </c>
      <c r="B356" t="s">
        <v>119</v>
      </c>
      <c r="C356">
        <v>3536</v>
      </c>
      <c r="D356">
        <v>3644</v>
      </c>
      <c r="E356">
        <v>3541</v>
      </c>
      <c r="F356">
        <v>4616</v>
      </c>
      <c r="G356">
        <v>5076</v>
      </c>
      <c r="H356">
        <v>3408</v>
      </c>
      <c r="I356">
        <v>3596</v>
      </c>
      <c r="J356">
        <v>3467</v>
      </c>
      <c r="K356">
        <v>4192</v>
      </c>
      <c r="L356">
        <v>3339</v>
      </c>
      <c r="M356">
        <v>18002</v>
      </c>
      <c r="N356" s="2">
        <v>1.321165789294767E-4</v>
      </c>
    </row>
    <row r="357" spans="1:14" hidden="1" x14ac:dyDescent="0.25">
      <c r="A357" t="s">
        <v>68</v>
      </c>
      <c r="B357" t="s">
        <v>102</v>
      </c>
      <c r="C357">
        <v>963182</v>
      </c>
      <c r="D357">
        <v>963580</v>
      </c>
      <c r="E357">
        <v>989247</v>
      </c>
      <c r="F357">
        <v>1308926</v>
      </c>
      <c r="G357">
        <v>1186511</v>
      </c>
      <c r="H357">
        <v>1060662</v>
      </c>
      <c r="I357">
        <v>969347</v>
      </c>
      <c r="J357">
        <v>1022068</v>
      </c>
      <c r="K357">
        <v>1035181</v>
      </c>
      <c r="L357">
        <v>1004789</v>
      </c>
      <c r="M357">
        <v>5092047</v>
      </c>
      <c r="N357" s="2">
        <v>3.7370504909904741E-2</v>
      </c>
    </row>
    <row r="358" spans="1:14" hidden="1" x14ac:dyDescent="0.25">
      <c r="A358" t="s">
        <v>68</v>
      </c>
      <c r="B358" t="s">
        <v>148</v>
      </c>
      <c r="C358">
        <v>2925</v>
      </c>
      <c r="D358">
        <v>3897</v>
      </c>
      <c r="E358">
        <v>3289</v>
      </c>
      <c r="F358">
        <v>4600</v>
      </c>
      <c r="G358">
        <v>6579</v>
      </c>
      <c r="H358">
        <v>8863</v>
      </c>
      <c r="I358">
        <v>7090</v>
      </c>
      <c r="J358">
        <v>5245</v>
      </c>
      <c r="K358">
        <v>5739</v>
      </c>
      <c r="L358">
        <v>10001</v>
      </c>
      <c r="M358">
        <v>36938</v>
      </c>
      <c r="N358" s="2">
        <v>2.710877787188652E-4</v>
      </c>
    </row>
    <row r="359" spans="1:14" hidden="1" x14ac:dyDescent="0.25">
      <c r="A359" t="s">
        <v>68</v>
      </c>
      <c r="B359" t="s">
        <v>149</v>
      </c>
      <c r="C359">
        <v>50000</v>
      </c>
      <c r="D359">
        <v>50000</v>
      </c>
      <c r="E359">
        <v>50000</v>
      </c>
      <c r="F359">
        <v>50000</v>
      </c>
      <c r="G359">
        <v>50000</v>
      </c>
      <c r="H359">
        <v>50000</v>
      </c>
      <c r="I359">
        <v>50000</v>
      </c>
      <c r="J359">
        <v>50000</v>
      </c>
      <c r="K359">
        <v>50000</v>
      </c>
      <c r="L359">
        <v>50000</v>
      </c>
      <c r="M359">
        <v>250000</v>
      </c>
      <c r="N359" s="2">
        <v>1.8347486241733801E-3</v>
      </c>
    </row>
    <row r="360" spans="1:14" hidden="1" x14ac:dyDescent="0.25">
      <c r="A360" t="s">
        <v>68</v>
      </c>
      <c r="B360" t="s">
        <v>170</v>
      </c>
      <c r="D360">
        <v>10400</v>
      </c>
      <c r="E360">
        <v>9300</v>
      </c>
      <c r="F360">
        <v>17200</v>
      </c>
      <c r="G360">
        <v>15500</v>
      </c>
      <c r="H360">
        <v>14200</v>
      </c>
      <c r="I360">
        <v>13600</v>
      </c>
      <c r="J360">
        <v>14500</v>
      </c>
      <c r="K360">
        <v>11700</v>
      </c>
      <c r="L360">
        <v>13500</v>
      </c>
      <c r="M360">
        <v>67500</v>
      </c>
      <c r="N360" s="2">
        <v>4.9538212852681251E-4</v>
      </c>
    </row>
    <row r="361" spans="1:14" hidden="1" x14ac:dyDescent="0.25">
      <c r="A361" t="s">
        <v>68</v>
      </c>
      <c r="B361" t="s">
        <v>171</v>
      </c>
      <c r="C361">
        <v>20221</v>
      </c>
      <c r="D361">
        <v>32262</v>
      </c>
      <c r="E361">
        <v>39823</v>
      </c>
      <c r="F361">
        <v>51763</v>
      </c>
      <c r="G361">
        <v>51302</v>
      </c>
      <c r="H361">
        <v>42840</v>
      </c>
      <c r="I361">
        <v>37464</v>
      </c>
      <c r="J361">
        <v>34443</v>
      </c>
      <c r="K361">
        <v>28672</v>
      </c>
      <c r="L361">
        <v>23000</v>
      </c>
      <c r="M361">
        <v>166419</v>
      </c>
      <c r="N361" s="2">
        <v>1.2213481251452389E-3</v>
      </c>
    </row>
    <row r="362" spans="1:14" hidden="1" x14ac:dyDescent="0.25">
      <c r="A362" t="s">
        <v>68</v>
      </c>
      <c r="B362" t="s">
        <v>103</v>
      </c>
      <c r="C362">
        <v>1628</v>
      </c>
      <c r="D362">
        <v>361</v>
      </c>
      <c r="E362">
        <v>533</v>
      </c>
      <c r="F362">
        <v>945</v>
      </c>
      <c r="G362">
        <v>1075</v>
      </c>
      <c r="H362">
        <v>1404</v>
      </c>
      <c r="I362">
        <v>1542</v>
      </c>
      <c r="J362">
        <v>686</v>
      </c>
      <c r="K362">
        <v>422</v>
      </c>
      <c r="L362">
        <v>672</v>
      </c>
      <c r="M362">
        <v>4726</v>
      </c>
      <c r="N362" s="2">
        <v>3.4684087991373568E-5</v>
      </c>
    </row>
    <row r="363" spans="1:14" hidden="1" x14ac:dyDescent="0.25">
      <c r="A363" t="s">
        <v>68</v>
      </c>
      <c r="B363" t="s">
        <v>200</v>
      </c>
      <c r="C363">
        <v>3220</v>
      </c>
      <c r="D363">
        <v>2577</v>
      </c>
      <c r="E363">
        <v>2490</v>
      </c>
      <c r="F363">
        <v>2608</v>
      </c>
      <c r="G363">
        <v>2005</v>
      </c>
      <c r="H363">
        <v>2100</v>
      </c>
      <c r="I363">
        <v>2600</v>
      </c>
      <c r="J363">
        <v>2700</v>
      </c>
      <c r="K363">
        <v>2800</v>
      </c>
      <c r="L363">
        <v>3000</v>
      </c>
      <c r="M363">
        <v>13200</v>
      </c>
      <c r="N363" s="2">
        <v>9.6874727356354448E-5</v>
      </c>
    </row>
    <row r="364" spans="1:14" hidden="1" x14ac:dyDescent="0.25">
      <c r="A364" t="s">
        <v>68</v>
      </c>
      <c r="B364" t="s">
        <v>150</v>
      </c>
      <c r="C364">
        <v>5358195</v>
      </c>
      <c r="D364">
        <v>5821001</v>
      </c>
      <c r="E364">
        <v>5765662</v>
      </c>
      <c r="F364">
        <v>5955151</v>
      </c>
      <c r="G364">
        <v>5408521</v>
      </c>
      <c r="H364">
        <v>5815034</v>
      </c>
      <c r="I364">
        <v>7243245</v>
      </c>
      <c r="J364">
        <v>7485602</v>
      </c>
      <c r="K364">
        <v>7424554</v>
      </c>
      <c r="L364">
        <v>6097500</v>
      </c>
      <c r="M364">
        <v>34065935</v>
      </c>
      <c r="N364" s="2">
        <v>0.25000970948971912</v>
      </c>
    </row>
    <row r="365" spans="1:14" hidden="1" x14ac:dyDescent="0.25">
      <c r="A365" t="s">
        <v>68</v>
      </c>
      <c r="B365" t="s">
        <v>173</v>
      </c>
      <c r="C365">
        <v>19118</v>
      </c>
      <c r="D365">
        <v>29332</v>
      </c>
      <c r="E365">
        <v>39160</v>
      </c>
      <c r="F365">
        <v>48989</v>
      </c>
      <c r="G365">
        <v>79480</v>
      </c>
      <c r="H365">
        <v>72440</v>
      </c>
      <c r="I365">
        <v>69100</v>
      </c>
      <c r="J365">
        <v>69432</v>
      </c>
      <c r="K365">
        <v>77800</v>
      </c>
      <c r="L365">
        <v>72947</v>
      </c>
      <c r="M365">
        <v>361719</v>
      </c>
      <c r="N365" s="2">
        <v>2.6546537503494829E-3</v>
      </c>
    </row>
    <row r="366" spans="1:14" hidden="1" x14ac:dyDescent="0.25">
      <c r="A366" t="s">
        <v>68</v>
      </c>
      <c r="B366" t="s">
        <v>161</v>
      </c>
      <c r="C366">
        <v>170340</v>
      </c>
      <c r="D366">
        <v>194077</v>
      </c>
      <c r="E366">
        <v>188538</v>
      </c>
      <c r="F366">
        <v>216383</v>
      </c>
      <c r="G366">
        <v>237418</v>
      </c>
      <c r="H366">
        <v>239416</v>
      </c>
      <c r="I366">
        <v>190500</v>
      </c>
      <c r="J366">
        <v>216600</v>
      </c>
      <c r="K366">
        <v>189200</v>
      </c>
      <c r="L366">
        <v>208200</v>
      </c>
      <c r="M366">
        <v>1043916</v>
      </c>
      <c r="N366" s="2">
        <v>7.6612937790103124E-3</v>
      </c>
    </row>
    <row r="367" spans="1:14" hidden="1" x14ac:dyDescent="0.25">
      <c r="A367" t="s">
        <v>68</v>
      </c>
      <c r="B367" t="s">
        <v>175</v>
      </c>
      <c r="C367">
        <v>966</v>
      </c>
      <c r="D367">
        <v>1400</v>
      </c>
      <c r="E367">
        <v>1129</v>
      </c>
      <c r="F367">
        <v>11555</v>
      </c>
      <c r="G367">
        <v>4702</v>
      </c>
      <c r="H367">
        <v>7451</v>
      </c>
      <c r="I367">
        <v>3602</v>
      </c>
      <c r="J367">
        <v>6221</v>
      </c>
      <c r="K367">
        <v>6982</v>
      </c>
      <c r="L367">
        <v>5330</v>
      </c>
      <c r="M367">
        <v>29586</v>
      </c>
      <c r="N367" s="2">
        <v>2.1713149117917439E-4</v>
      </c>
    </row>
    <row r="368" spans="1:14" hidden="1" x14ac:dyDescent="0.25">
      <c r="A368" t="s">
        <v>68</v>
      </c>
      <c r="B368" t="s">
        <v>131</v>
      </c>
      <c r="C368">
        <v>5630</v>
      </c>
      <c r="D368">
        <v>11223</v>
      </c>
      <c r="E368">
        <v>15811</v>
      </c>
      <c r="F368">
        <v>12498</v>
      </c>
      <c r="G368">
        <v>7960</v>
      </c>
      <c r="H368">
        <v>8022</v>
      </c>
      <c r="I368">
        <v>6332</v>
      </c>
      <c r="J368">
        <v>4060</v>
      </c>
      <c r="K368">
        <v>1393</v>
      </c>
      <c r="L368">
        <v>3055</v>
      </c>
      <c r="M368">
        <v>22862</v>
      </c>
      <c r="N368" s="2">
        <v>1.6778409218340721E-4</v>
      </c>
    </row>
    <row r="369" spans="1:14" hidden="1" x14ac:dyDescent="0.25">
      <c r="A369" t="s">
        <v>68</v>
      </c>
      <c r="B369" t="s">
        <v>201</v>
      </c>
      <c r="C369">
        <v>10207</v>
      </c>
      <c r="D369">
        <v>13745</v>
      </c>
      <c r="E369">
        <v>13889</v>
      </c>
      <c r="F369">
        <v>18576</v>
      </c>
      <c r="G369">
        <v>21382</v>
      </c>
      <c r="H369">
        <v>15419</v>
      </c>
      <c r="I369">
        <v>11263</v>
      </c>
      <c r="J369">
        <v>17362</v>
      </c>
      <c r="K369">
        <v>20186</v>
      </c>
      <c r="L369">
        <v>23078</v>
      </c>
      <c r="M369">
        <v>87308</v>
      </c>
      <c r="N369" s="2">
        <v>6.4075293151731778E-4</v>
      </c>
    </row>
    <row r="370" spans="1:14" hidden="1" x14ac:dyDescent="0.25">
      <c r="A370" t="s">
        <v>68</v>
      </c>
      <c r="B370" t="s">
        <v>202</v>
      </c>
      <c r="C370">
        <v>329</v>
      </c>
      <c r="D370">
        <v>110</v>
      </c>
      <c r="E370">
        <v>67</v>
      </c>
      <c r="F370">
        <v>119</v>
      </c>
      <c r="G370">
        <v>239</v>
      </c>
      <c r="H370">
        <v>100</v>
      </c>
      <c r="I370">
        <v>64</v>
      </c>
      <c r="J370">
        <v>31</v>
      </c>
      <c r="K370">
        <v>12</v>
      </c>
      <c r="L370">
        <v>87</v>
      </c>
      <c r="M370">
        <v>294</v>
      </c>
      <c r="N370" s="2">
        <v>2.1576643820278939E-6</v>
      </c>
    </row>
    <row r="371" spans="1:14" hidden="1" x14ac:dyDescent="0.25">
      <c r="A371" t="s">
        <v>68</v>
      </c>
      <c r="B371" t="s">
        <v>176</v>
      </c>
      <c r="C371">
        <v>31000</v>
      </c>
      <c r="D371">
        <v>23400</v>
      </c>
      <c r="E371">
        <v>23900</v>
      </c>
      <c r="F371">
        <v>17700</v>
      </c>
      <c r="G371">
        <v>14000</v>
      </c>
      <c r="H371">
        <v>12775</v>
      </c>
      <c r="I371">
        <v>12694</v>
      </c>
      <c r="J371">
        <v>11707</v>
      </c>
      <c r="K371">
        <v>11488</v>
      </c>
      <c r="L371">
        <v>15000</v>
      </c>
      <c r="M371">
        <v>63664</v>
      </c>
      <c r="N371" s="2">
        <v>4.6722974563749619E-4</v>
      </c>
    </row>
    <row r="372" spans="1:14" hidden="1" x14ac:dyDescent="0.25">
      <c r="A372" t="s">
        <v>68</v>
      </c>
      <c r="B372" t="s">
        <v>177</v>
      </c>
      <c r="F372">
        <v>0</v>
      </c>
      <c r="G372">
        <v>0</v>
      </c>
      <c r="H372">
        <v>0</v>
      </c>
      <c r="I372">
        <v>0</v>
      </c>
      <c r="J372">
        <v>35217</v>
      </c>
      <c r="K372">
        <v>49627</v>
      </c>
      <c r="L372">
        <v>78419</v>
      </c>
      <c r="M372">
        <v>163263</v>
      </c>
      <c r="N372" s="2">
        <v>1.198186258513674E-3</v>
      </c>
    </row>
    <row r="373" spans="1:14" hidden="1" x14ac:dyDescent="0.25">
      <c r="A373" t="s">
        <v>68</v>
      </c>
      <c r="B373" t="s">
        <v>155</v>
      </c>
      <c r="C373">
        <v>81332</v>
      </c>
      <c r="D373">
        <v>89666</v>
      </c>
      <c r="E373">
        <v>81096</v>
      </c>
      <c r="F373">
        <v>44588</v>
      </c>
      <c r="G373">
        <v>90498</v>
      </c>
      <c r="H373">
        <v>69330</v>
      </c>
      <c r="I373">
        <v>104004</v>
      </c>
      <c r="J373">
        <v>157927</v>
      </c>
      <c r="K373">
        <v>130000</v>
      </c>
      <c r="L373">
        <v>90200</v>
      </c>
      <c r="M373">
        <v>551461</v>
      </c>
      <c r="N373" s="2">
        <v>4.0471692441411047E-3</v>
      </c>
    </row>
    <row r="374" spans="1:14" hidden="1" x14ac:dyDescent="0.25">
      <c r="A374" t="s">
        <v>68</v>
      </c>
      <c r="B374" t="s">
        <v>146</v>
      </c>
      <c r="C374">
        <v>3480587</v>
      </c>
      <c r="D374">
        <v>3674283</v>
      </c>
      <c r="E374">
        <v>3768147</v>
      </c>
      <c r="F374">
        <v>4101568</v>
      </c>
      <c r="G374">
        <v>4375337</v>
      </c>
      <c r="H374">
        <v>4417987</v>
      </c>
      <c r="I374">
        <v>4160162</v>
      </c>
      <c r="J374">
        <v>3860306</v>
      </c>
      <c r="K374">
        <v>2723879</v>
      </c>
      <c r="L374">
        <v>3309647</v>
      </c>
      <c r="M374">
        <v>18471981</v>
      </c>
      <c r="N374" s="2">
        <v>0.13556576690202721</v>
      </c>
    </row>
    <row r="375" spans="1:14" hidden="1" x14ac:dyDescent="0.25">
      <c r="A375" t="s">
        <v>68</v>
      </c>
      <c r="B375" t="s">
        <v>156</v>
      </c>
      <c r="C375">
        <v>49211</v>
      </c>
      <c r="D375">
        <v>40043</v>
      </c>
      <c r="E375">
        <v>23005</v>
      </c>
      <c r="F375">
        <v>29952</v>
      </c>
      <c r="G375">
        <v>35186</v>
      </c>
      <c r="H375">
        <v>31748</v>
      </c>
      <c r="I375">
        <v>29782</v>
      </c>
      <c r="J375">
        <v>31267</v>
      </c>
      <c r="K375">
        <v>24024</v>
      </c>
      <c r="L375">
        <v>30856</v>
      </c>
      <c r="M375">
        <v>147677</v>
      </c>
      <c r="N375" s="2">
        <v>1.083800690288209E-3</v>
      </c>
    </row>
    <row r="376" spans="1:14" hidden="1" x14ac:dyDescent="0.25">
      <c r="A376" t="s">
        <v>68</v>
      </c>
      <c r="B376" t="s">
        <v>151</v>
      </c>
      <c r="C376">
        <v>1149000</v>
      </c>
      <c r="D376">
        <v>1161114</v>
      </c>
      <c r="E376">
        <v>1384000</v>
      </c>
      <c r="F376">
        <v>1407000</v>
      </c>
      <c r="G376">
        <v>1482000</v>
      </c>
      <c r="H376">
        <v>1490000</v>
      </c>
      <c r="I376">
        <v>1471000</v>
      </c>
      <c r="J376">
        <v>1455000</v>
      </c>
      <c r="K376">
        <v>1423000</v>
      </c>
      <c r="L376">
        <v>1522000</v>
      </c>
      <c r="M376">
        <v>7361000</v>
      </c>
      <c r="N376" s="2">
        <v>5.4022338490160991E-2</v>
      </c>
    </row>
    <row r="377" spans="1:14" hidden="1" x14ac:dyDescent="0.25">
      <c r="A377" t="s">
        <v>68</v>
      </c>
      <c r="B377" t="s">
        <v>178</v>
      </c>
      <c r="C377">
        <v>29890</v>
      </c>
      <c r="D377">
        <v>40621</v>
      </c>
      <c r="E377">
        <v>43172</v>
      </c>
      <c r="F377">
        <v>41337</v>
      </c>
      <c r="G377">
        <v>38631</v>
      </c>
      <c r="H377">
        <v>40186</v>
      </c>
      <c r="I377">
        <v>90800</v>
      </c>
      <c r="J377">
        <v>95300</v>
      </c>
      <c r="K377">
        <v>96000</v>
      </c>
      <c r="L377">
        <v>97900</v>
      </c>
      <c r="M377">
        <v>420186</v>
      </c>
      <c r="N377" s="2">
        <v>3.0837427415876628E-3</v>
      </c>
    </row>
    <row r="378" spans="1:14" hidden="1" x14ac:dyDescent="0.25">
      <c r="A378" t="s">
        <v>68</v>
      </c>
      <c r="B378" t="s">
        <v>120</v>
      </c>
      <c r="C378">
        <v>18000</v>
      </c>
      <c r="D378">
        <v>18000</v>
      </c>
      <c r="E378">
        <v>18000</v>
      </c>
      <c r="F378">
        <v>18000</v>
      </c>
      <c r="G378">
        <v>18000</v>
      </c>
      <c r="H378">
        <v>18000</v>
      </c>
      <c r="I378">
        <v>18000</v>
      </c>
      <c r="J378">
        <v>18000</v>
      </c>
      <c r="K378">
        <v>18000</v>
      </c>
      <c r="L378">
        <v>18000</v>
      </c>
      <c r="M378">
        <v>90000</v>
      </c>
      <c r="N378" s="2">
        <v>6.6050950470241667E-4</v>
      </c>
    </row>
    <row r="379" spans="1:14" hidden="1" x14ac:dyDescent="0.25">
      <c r="A379" t="s">
        <v>68</v>
      </c>
      <c r="B379" t="s">
        <v>107</v>
      </c>
      <c r="C379">
        <v>1425000</v>
      </c>
      <c r="D379">
        <v>1427700</v>
      </c>
      <c r="E379">
        <v>1433900</v>
      </c>
      <c r="F379">
        <v>1580100</v>
      </c>
      <c r="G379">
        <v>1493000</v>
      </c>
      <c r="H379">
        <v>1373000</v>
      </c>
      <c r="I379">
        <v>1400100</v>
      </c>
      <c r="J379">
        <v>1407000</v>
      </c>
      <c r="K379">
        <v>1380000</v>
      </c>
      <c r="L379">
        <v>1213000</v>
      </c>
      <c r="M379">
        <v>6773100</v>
      </c>
      <c r="N379" s="2">
        <v>4.970774362555487E-2</v>
      </c>
    </row>
    <row r="380" spans="1:14" hidden="1" x14ac:dyDescent="0.25">
      <c r="A380" t="s">
        <v>68</v>
      </c>
      <c r="B380" t="s">
        <v>108</v>
      </c>
      <c r="C380">
        <v>5500</v>
      </c>
      <c r="D380">
        <v>4158</v>
      </c>
      <c r="E380">
        <v>4888</v>
      </c>
      <c r="F380">
        <v>4500</v>
      </c>
      <c r="G380">
        <v>4710</v>
      </c>
      <c r="H380">
        <v>5069</v>
      </c>
      <c r="I380">
        <v>5322</v>
      </c>
      <c r="J380">
        <v>5588</v>
      </c>
      <c r="K380">
        <v>6493</v>
      </c>
      <c r="L380">
        <v>6818</v>
      </c>
      <c r="M380">
        <v>29290</v>
      </c>
      <c r="N380" s="2">
        <v>2.1495914880815319E-4</v>
      </c>
    </row>
    <row r="381" spans="1:14" hidden="1" x14ac:dyDescent="0.25">
      <c r="A381" t="s">
        <v>68</v>
      </c>
      <c r="B381" t="s">
        <v>205</v>
      </c>
      <c r="C381">
        <v>670</v>
      </c>
      <c r="D381">
        <v>850</v>
      </c>
      <c r="E381">
        <v>1150</v>
      </c>
      <c r="F381">
        <v>540</v>
      </c>
      <c r="G381">
        <v>500</v>
      </c>
      <c r="H381">
        <v>700</v>
      </c>
      <c r="I381">
        <v>940</v>
      </c>
      <c r="J381">
        <v>900</v>
      </c>
      <c r="K381">
        <v>1100</v>
      </c>
      <c r="L381">
        <v>6800</v>
      </c>
      <c r="M381">
        <v>10440</v>
      </c>
      <c r="N381" s="2">
        <v>7.6619102545480333E-5</v>
      </c>
    </row>
    <row r="382" spans="1:14" hidden="1" x14ac:dyDescent="0.25">
      <c r="A382" t="s">
        <v>68</v>
      </c>
      <c r="B382" t="s">
        <v>179</v>
      </c>
      <c r="C382">
        <v>8388</v>
      </c>
      <c r="D382">
        <v>5800</v>
      </c>
      <c r="E382">
        <v>8600</v>
      </c>
      <c r="F382">
        <v>7500</v>
      </c>
      <c r="G382">
        <v>11300</v>
      </c>
      <c r="H382">
        <v>12300</v>
      </c>
      <c r="I382">
        <v>9000</v>
      </c>
      <c r="J382">
        <v>14500</v>
      </c>
      <c r="K382">
        <v>12000</v>
      </c>
      <c r="L382">
        <v>12000</v>
      </c>
      <c r="M382">
        <v>59800</v>
      </c>
      <c r="N382" s="2">
        <v>4.3887187090227241E-4</v>
      </c>
    </row>
    <row r="383" spans="1:14" hidden="1" x14ac:dyDescent="0.25">
      <c r="A383" t="s">
        <v>68</v>
      </c>
      <c r="B383" t="s">
        <v>135</v>
      </c>
      <c r="C383">
        <v>441</v>
      </c>
      <c r="D383">
        <v>508</v>
      </c>
      <c r="E383">
        <v>437</v>
      </c>
      <c r="F383">
        <v>532</v>
      </c>
      <c r="G383">
        <v>391</v>
      </c>
      <c r="H383">
        <v>410</v>
      </c>
      <c r="I383">
        <v>345</v>
      </c>
      <c r="J383">
        <v>295</v>
      </c>
      <c r="K383">
        <v>269</v>
      </c>
      <c r="L383">
        <v>328</v>
      </c>
      <c r="M383">
        <v>1647</v>
      </c>
      <c r="N383" s="2">
        <v>1.2087323936054229E-5</v>
      </c>
    </row>
    <row r="384" spans="1:14" hidden="1" x14ac:dyDescent="0.25">
      <c r="A384" t="s">
        <v>68</v>
      </c>
      <c r="B384" t="s">
        <v>137</v>
      </c>
      <c r="C384">
        <v>67304</v>
      </c>
      <c r="D384">
        <v>68777</v>
      </c>
      <c r="E384">
        <v>49200</v>
      </c>
      <c r="F384">
        <v>51900</v>
      </c>
      <c r="G384">
        <v>55600</v>
      </c>
      <c r="H384">
        <v>62536</v>
      </c>
      <c r="I384">
        <v>46467</v>
      </c>
      <c r="J384">
        <v>55903</v>
      </c>
      <c r="K384">
        <v>38118</v>
      </c>
      <c r="L384">
        <v>37147</v>
      </c>
      <c r="M384">
        <v>240171</v>
      </c>
      <c r="N384" s="2">
        <v>1.762613647265379E-3</v>
      </c>
    </row>
    <row r="385" spans="1:14" hidden="1" x14ac:dyDescent="0.25">
      <c r="A385" t="s">
        <v>68</v>
      </c>
      <c r="B385" t="s">
        <v>121</v>
      </c>
      <c r="C385">
        <v>32943</v>
      </c>
      <c r="D385">
        <v>27900</v>
      </c>
      <c r="E385">
        <v>27300</v>
      </c>
      <c r="F385">
        <v>27300</v>
      </c>
      <c r="G385">
        <v>17600</v>
      </c>
      <c r="H385">
        <v>98600</v>
      </c>
      <c r="I385">
        <v>87780</v>
      </c>
      <c r="J385">
        <v>77501</v>
      </c>
      <c r="K385">
        <v>92751</v>
      </c>
      <c r="L385">
        <v>81208</v>
      </c>
      <c r="M385">
        <v>437840</v>
      </c>
      <c r="N385" s="2">
        <v>3.21330535043229E-3</v>
      </c>
    </row>
    <row r="386" spans="1:14" hidden="1" x14ac:dyDescent="0.25">
      <c r="A386" t="s">
        <v>68</v>
      </c>
      <c r="B386" t="s">
        <v>157</v>
      </c>
      <c r="C386">
        <v>700</v>
      </c>
      <c r="D386">
        <v>700</v>
      </c>
      <c r="E386">
        <v>1000</v>
      </c>
      <c r="F386">
        <v>1000</v>
      </c>
      <c r="G386">
        <v>1000</v>
      </c>
      <c r="H386">
        <v>2000</v>
      </c>
      <c r="I386">
        <v>2000</v>
      </c>
      <c r="J386">
        <v>2000</v>
      </c>
      <c r="K386">
        <v>1000</v>
      </c>
      <c r="L386">
        <v>1000</v>
      </c>
      <c r="M386">
        <v>8000</v>
      </c>
      <c r="N386" s="2">
        <v>5.8711955973548153E-5</v>
      </c>
    </row>
    <row r="387" spans="1:14" hidden="1" x14ac:dyDescent="0.25">
      <c r="A387" t="s">
        <v>68</v>
      </c>
      <c r="B387" t="s">
        <v>138</v>
      </c>
      <c r="C387">
        <v>309337</v>
      </c>
      <c r="D387">
        <v>341346</v>
      </c>
      <c r="E387">
        <v>382611</v>
      </c>
      <c r="F387">
        <v>479686</v>
      </c>
      <c r="G387">
        <v>498686</v>
      </c>
      <c r="H387">
        <v>467500</v>
      </c>
      <c r="I387">
        <v>443624</v>
      </c>
      <c r="J387">
        <v>419926</v>
      </c>
      <c r="K387">
        <v>400939</v>
      </c>
      <c r="L387">
        <v>428585</v>
      </c>
      <c r="M387">
        <v>2160574</v>
      </c>
      <c r="N387" s="2">
        <v>1.5856440695699098E-2</v>
      </c>
    </row>
    <row r="388" spans="1:14" hidden="1" x14ac:dyDescent="0.25">
      <c r="A388" t="s">
        <v>68</v>
      </c>
      <c r="B388" t="s">
        <v>139</v>
      </c>
      <c r="C388">
        <v>1800</v>
      </c>
      <c r="D388">
        <v>1800</v>
      </c>
      <c r="E388">
        <v>1700</v>
      </c>
      <c r="F388">
        <v>2700</v>
      </c>
      <c r="G388">
        <v>3200</v>
      </c>
      <c r="H388">
        <v>6600</v>
      </c>
      <c r="I388">
        <v>9500</v>
      </c>
      <c r="J388">
        <v>10800</v>
      </c>
      <c r="K388">
        <v>3300</v>
      </c>
      <c r="L388">
        <v>11000</v>
      </c>
      <c r="M388">
        <v>41200</v>
      </c>
      <c r="N388" s="2">
        <v>3.0236657326377302E-4</v>
      </c>
    </row>
    <row r="389" spans="1:14" hidden="1" x14ac:dyDescent="0.25">
      <c r="A389" t="s">
        <v>68</v>
      </c>
      <c r="B389" t="s">
        <v>111</v>
      </c>
      <c r="C389">
        <v>11227</v>
      </c>
      <c r="D389">
        <v>11014</v>
      </c>
      <c r="E389">
        <v>14493</v>
      </c>
      <c r="F389">
        <v>15569</v>
      </c>
      <c r="G389">
        <v>17984</v>
      </c>
      <c r="H389">
        <v>10911</v>
      </c>
      <c r="I389">
        <v>12041</v>
      </c>
      <c r="J389">
        <v>12607</v>
      </c>
      <c r="K389">
        <v>13187</v>
      </c>
      <c r="L389">
        <v>9324</v>
      </c>
      <c r="M389">
        <v>58070</v>
      </c>
      <c r="N389" s="2">
        <v>4.2617541042299262E-4</v>
      </c>
    </row>
    <row r="390" spans="1:14" hidden="1" x14ac:dyDescent="0.25">
      <c r="A390" t="s">
        <v>68</v>
      </c>
      <c r="B390" t="s">
        <v>112</v>
      </c>
      <c r="C390">
        <v>193890</v>
      </c>
      <c r="D390">
        <v>189600</v>
      </c>
      <c r="E390">
        <v>183880</v>
      </c>
      <c r="F390">
        <v>190550</v>
      </c>
      <c r="G390">
        <v>376640</v>
      </c>
      <c r="H390">
        <v>151490</v>
      </c>
      <c r="I390">
        <v>197320</v>
      </c>
      <c r="J390">
        <v>242000</v>
      </c>
      <c r="K390">
        <v>98270</v>
      </c>
      <c r="L390">
        <v>162670</v>
      </c>
      <c r="M390">
        <v>851750</v>
      </c>
      <c r="N390" s="2">
        <v>6.2509885625587043E-3</v>
      </c>
    </row>
    <row r="391" spans="1:14" hidden="1" x14ac:dyDescent="0.25">
      <c r="A391" t="s">
        <v>68</v>
      </c>
      <c r="B391" t="s">
        <v>113</v>
      </c>
      <c r="C391">
        <v>1055000</v>
      </c>
      <c r="D391">
        <v>1037000</v>
      </c>
      <c r="E391">
        <v>1184000</v>
      </c>
      <c r="F391">
        <v>1090000</v>
      </c>
      <c r="G391">
        <v>1150000</v>
      </c>
      <c r="H391">
        <v>1030000</v>
      </c>
      <c r="I391">
        <v>934000</v>
      </c>
      <c r="J391">
        <v>981000</v>
      </c>
      <c r="K391">
        <v>1030000</v>
      </c>
      <c r="L391">
        <v>1000000</v>
      </c>
      <c r="M391">
        <v>4975000</v>
      </c>
      <c r="N391" s="2">
        <v>3.6511497621050257E-2</v>
      </c>
    </row>
    <row r="392" spans="1:14" hidden="1" x14ac:dyDescent="0.25">
      <c r="A392" t="s">
        <v>68</v>
      </c>
      <c r="B392" t="s">
        <v>140</v>
      </c>
      <c r="C392">
        <v>230</v>
      </c>
      <c r="D392">
        <v>82</v>
      </c>
      <c r="E392">
        <v>0</v>
      </c>
      <c r="F392">
        <v>0</v>
      </c>
      <c r="G392">
        <v>14</v>
      </c>
      <c r="H392">
        <v>0</v>
      </c>
      <c r="I392">
        <v>0</v>
      </c>
      <c r="J392">
        <v>130</v>
      </c>
      <c r="K392">
        <v>100</v>
      </c>
      <c r="L392">
        <v>400</v>
      </c>
      <c r="M392">
        <v>630</v>
      </c>
      <c r="N392" s="2">
        <v>4.6235665329169168E-6</v>
      </c>
    </row>
    <row r="393" spans="1:14" hidden="1" x14ac:dyDescent="0.25">
      <c r="A393" t="s">
        <v>68</v>
      </c>
      <c r="B393" t="s">
        <v>180</v>
      </c>
      <c r="C393">
        <v>60000</v>
      </c>
      <c r="D393">
        <v>23000</v>
      </c>
      <c r="E393">
        <v>23000</v>
      </c>
      <c r="F393">
        <v>230000</v>
      </c>
      <c r="G393">
        <v>230000</v>
      </c>
      <c r="H393">
        <v>183500</v>
      </c>
      <c r="I393">
        <v>183500</v>
      </c>
      <c r="J393">
        <v>189700</v>
      </c>
      <c r="K393">
        <v>196000</v>
      </c>
      <c r="L393">
        <v>211500</v>
      </c>
      <c r="M393">
        <v>964200</v>
      </c>
      <c r="N393" s="2">
        <v>7.076258493711891E-3</v>
      </c>
    </row>
    <row r="394" spans="1:14" hidden="1" x14ac:dyDescent="0.25">
      <c r="A394" t="s">
        <v>68</v>
      </c>
      <c r="B394" t="s">
        <v>143</v>
      </c>
      <c r="F394">
        <v>0</v>
      </c>
      <c r="G394">
        <v>0</v>
      </c>
      <c r="H394">
        <v>0</v>
      </c>
      <c r="I394">
        <v>93</v>
      </c>
      <c r="J394">
        <v>7212</v>
      </c>
      <c r="K394">
        <v>9000</v>
      </c>
      <c r="L394">
        <v>9000</v>
      </c>
      <c r="M394">
        <v>25305</v>
      </c>
      <c r="N394" s="2">
        <v>1.857132557388295E-4</v>
      </c>
    </row>
    <row r="395" spans="1:14" hidden="1" x14ac:dyDescent="0.25">
      <c r="A395" t="s">
        <v>68</v>
      </c>
      <c r="B395" t="s">
        <v>158</v>
      </c>
      <c r="G395">
        <v>1463</v>
      </c>
      <c r="H395">
        <v>1480</v>
      </c>
      <c r="I395">
        <v>1542</v>
      </c>
      <c r="J395">
        <v>1500</v>
      </c>
      <c r="K395">
        <v>1500</v>
      </c>
      <c r="L395">
        <v>1500</v>
      </c>
      <c r="M395">
        <v>7522</v>
      </c>
      <c r="N395" s="2">
        <v>5.5203916604128651E-5</v>
      </c>
    </row>
    <row r="396" spans="1:14" hidden="1" x14ac:dyDescent="0.25">
      <c r="A396" t="s">
        <v>39</v>
      </c>
      <c r="B396" t="s">
        <v>83</v>
      </c>
      <c r="C396">
        <v>43000</v>
      </c>
      <c r="D396">
        <v>52000</v>
      </c>
      <c r="E396">
        <v>54000</v>
      </c>
      <c r="F396">
        <v>51000</v>
      </c>
      <c r="G396">
        <v>51000</v>
      </c>
      <c r="H396">
        <v>49000</v>
      </c>
      <c r="I396">
        <v>42000</v>
      </c>
      <c r="J396">
        <v>52000</v>
      </c>
      <c r="K396">
        <v>45000</v>
      </c>
      <c r="L396">
        <v>45000</v>
      </c>
      <c r="M396">
        <v>233000</v>
      </c>
      <c r="N396" s="2">
        <v>1.535401684144546E-2</v>
      </c>
    </row>
    <row r="397" spans="1:14" hidden="1" x14ac:dyDescent="0.25">
      <c r="A397" t="s">
        <v>39</v>
      </c>
      <c r="B397" t="s">
        <v>85</v>
      </c>
      <c r="C397">
        <v>230000</v>
      </c>
      <c r="D397">
        <v>230000</v>
      </c>
      <c r="E397">
        <v>230000</v>
      </c>
      <c r="F397">
        <v>150000</v>
      </c>
      <c r="G397">
        <v>110000</v>
      </c>
      <c r="H397">
        <v>183067</v>
      </c>
      <c r="I397">
        <v>230193</v>
      </c>
      <c r="J397">
        <v>214051</v>
      </c>
      <c r="K397">
        <v>203940</v>
      </c>
      <c r="L397">
        <v>200000</v>
      </c>
      <c r="M397">
        <v>1031251</v>
      </c>
      <c r="N397" s="2">
        <v>6.7956417260761681E-2</v>
      </c>
    </row>
    <row r="398" spans="1:14" hidden="1" x14ac:dyDescent="0.25">
      <c r="A398" t="s">
        <v>39</v>
      </c>
      <c r="B398" t="s">
        <v>116</v>
      </c>
      <c r="C398">
        <v>30000</v>
      </c>
      <c r="D398">
        <v>12000</v>
      </c>
      <c r="E398">
        <v>30000</v>
      </c>
      <c r="F398">
        <v>30000</v>
      </c>
      <c r="G398">
        <v>27000</v>
      </c>
      <c r="H398">
        <v>28300</v>
      </c>
      <c r="I398">
        <v>34000</v>
      </c>
      <c r="J398">
        <v>34000</v>
      </c>
      <c r="K398">
        <v>25000</v>
      </c>
      <c r="L398">
        <v>30000</v>
      </c>
      <c r="M398">
        <v>151300</v>
      </c>
      <c r="N398" s="2">
        <v>9.9702263867411933E-3</v>
      </c>
    </row>
    <row r="399" spans="1:14" hidden="1" x14ac:dyDescent="0.25">
      <c r="A399" t="s">
        <v>39</v>
      </c>
      <c r="B399" t="s">
        <v>86</v>
      </c>
      <c r="C399">
        <v>1136800</v>
      </c>
      <c r="D399">
        <v>1452100</v>
      </c>
      <c r="E399">
        <v>1705000</v>
      </c>
      <c r="F399">
        <v>1953500</v>
      </c>
      <c r="G399">
        <v>2101000</v>
      </c>
      <c r="H399">
        <v>2204700</v>
      </c>
      <c r="I399">
        <v>2404500</v>
      </c>
      <c r="J399">
        <v>2400000</v>
      </c>
      <c r="K399">
        <v>2400000</v>
      </c>
      <c r="L399">
        <v>2400000</v>
      </c>
      <c r="M399">
        <v>11809200</v>
      </c>
      <c r="N399" s="2">
        <v>0.77819165529612755</v>
      </c>
    </row>
    <row r="400" spans="1:14" hidden="1" x14ac:dyDescent="0.25">
      <c r="A400" t="s">
        <v>39</v>
      </c>
      <c r="B400" t="s">
        <v>91</v>
      </c>
      <c r="C400">
        <v>110000</v>
      </c>
      <c r="D400">
        <v>110000</v>
      </c>
      <c r="E400">
        <v>100000</v>
      </c>
      <c r="F400">
        <v>120000</v>
      </c>
      <c r="G400">
        <v>80000</v>
      </c>
      <c r="H400">
        <v>149000</v>
      </c>
      <c r="I400">
        <v>138000</v>
      </c>
      <c r="J400">
        <v>105000</v>
      </c>
      <c r="K400">
        <v>87000</v>
      </c>
      <c r="L400">
        <v>87000</v>
      </c>
      <c r="M400">
        <v>566000</v>
      </c>
      <c r="N400" s="2">
        <v>3.7297740481794552E-2</v>
      </c>
    </row>
    <row r="401" spans="1:14" hidden="1" x14ac:dyDescent="0.25">
      <c r="A401" t="s">
        <v>39</v>
      </c>
      <c r="B401" t="s">
        <v>117</v>
      </c>
      <c r="C401">
        <v>28574</v>
      </c>
      <c r="D401">
        <v>30283</v>
      </c>
      <c r="E401">
        <v>28500</v>
      </c>
      <c r="F401">
        <v>29953</v>
      </c>
      <c r="G401">
        <v>29940</v>
      </c>
      <c r="H401">
        <v>31915</v>
      </c>
      <c r="I401">
        <v>28058</v>
      </c>
      <c r="J401">
        <v>29606</v>
      </c>
      <c r="K401">
        <v>30234</v>
      </c>
      <c r="L401">
        <v>31318</v>
      </c>
      <c r="M401">
        <v>151131</v>
      </c>
      <c r="N401" s="2">
        <v>9.959089782251046E-3</v>
      </c>
    </row>
    <row r="402" spans="1:14" hidden="1" x14ac:dyDescent="0.25">
      <c r="A402" t="s">
        <v>39</v>
      </c>
      <c r="B402" t="s">
        <v>132</v>
      </c>
      <c r="C402">
        <v>130000</v>
      </c>
      <c r="D402">
        <v>150000</v>
      </c>
      <c r="E402">
        <v>150000</v>
      </c>
      <c r="F402">
        <v>160000</v>
      </c>
      <c r="G402">
        <v>200000</v>
      </c>
      <c r="H402">
        <v>160000</v>
      </c>
      <c r="I402">
        <v>190000</v>
      </c>
      <c r="J402">
        <v>200000</v>
      </c>
      <c r="K402">
        <v>210000</v>
      </c>
      <c r="L402">
        <v>200000</v>
      </c>
      <c r="M402">
        <v>960000</v>
      </c>
      <c r="N402" s="2">
        <v>6.3261185269474857E-2</v>
      </c>
    </row>
    <row r="403" spans="1:14" hidden="1" x14ac:dyDescent="0.25">
      <c r="A403" t="s">
        <v>39</v>
      </c>
      <c r="B403" t="s">
        <v>107</v>
      </c>
      <c r="C403">
        <v>48000</v>
      </c>
      <c r="D403">
        <v>48000</v>
      </c>
      <c r="E403">
        <v>48000</v>
      </c>
      <c r="F403">
        <v>48000</v>
      </c>
      <c r="G403">
        <v>48000</v>
      </c>
      <c r="H403">
        <v>48000</v>
      </c>
      <c r="I403">
        <v>48000</v>
      </c>
      <c r="J403">
        <v>48000</v>
      </c>
      <c r="K403">
        <v>48000</v>
      </c>
      <c r="L403">
        <v>48000</v>
      </c>
      <c r="M403">
        <v>240000</v>
      </c>
      <c r="N403" s="2">
        <v>1.5815296317368711E-2</v>
      </c>
    </row>
    <row r="404" spans="1:14" hidden="1" x14ac:dyDescent="0.25">
      <c r="A404" t="s">
        <v>39</v>
      </c>
      <c r="B404" t="s">
        <v>121</v>
      </c>
      <c r="C404">
        <v>27200</v>
      </c>
      <c r="D404">
        <v>29200</v>
      </c>
      <c r="E404">
        <v>29200</v>
      </c>
      <c r="F404">
        <v>24000</v>
      </c>
      <c r="G404">
        <v>30000</v>
      </c>
      <c r="H404">
        <v>7500</v>
      </c>
      <c r="I404">
        <v>7500</v>
      </c>
      <c r="J404">
        <v>7500</v>
      </c>
      <c r="K404">
        <v>5000</v>
      </c>
      <c r="L404">
        <v>5800</v>
      </c>
      <c r="M404">
        <v>33300</v>
      </c>
      <c r="N404" s="2">
        <v>2.194372364034909E-3</v>
      </c>
    </row>
    <row r="405" spans="1:14" hidden="1" x14ac:dyDescent="0.25">
      <c r="A405" t="s">
        <v>67</v>
      </c>
      <c r="B405" t="s">
        <v>164</v>
      </c>
      <c r="C405">
        <v>17</v>
      </c>
      <c r="D405">
        <v>20</v>
      </c>
      <c r="E405">
        <v>20</v>
      </c>
      <c r="F405">
        <v>20</v>
      </c>
      <c r="G405">
        <v>20</v>
      </c>
      <c r="H405">
        <v>20</v>
      </c>
      <c r="I405">
        <v>20</v>
      </c>
      <c r="J405">
        <v>20</v>
      </c>
      <c r="K405">
        <v>20</v>
      </c>
      <c r="L405">
        <v>20</v>
      </c>
      <c r="M405">
        <v>100</v>
      </c>
      <c r="N405" s="2">
        <v>5.6344376831192243E-3</v>
      </c>
    </row>
    <row r="406" spans="1:14" hidden="1" x14ac:dyDescent="0.25">
      <c r="A406" t="s">
        <v>67</v>
      </c>
      <c r="B406" t="s">
        <v>163</v>
      </c>
      <c r="C406">
        <v>200</v>
      </c>
      <c r="D406">
        <v>200</v>
      </c>
      <c r="E406">
        <v>200</v>
      </c>
      <c r="F406">
        <v>200</v>
      </c>
      <c r="G406">
        <v>200</v>
      </c>
      <c r="H406">
        <v>200</v>
      </c>
      <c r="I406">
        <v>200</v>
      </c>
      <c r="J406">
        <v>200</v>
      </c>
      <c r="K406">
        <v>200</v>
      </c>
      <c r="L406">
        <v>200</v>
      </c>
      <c r="M406">
        <v>1000</v>
      </c>
      <c r="N406" s="2">
        <v>5.6344376831192249E-2</v>
      </c>
    </row>
    <row r="407" spans="1:14" hidden="1" x14ac:dyDescent="0.25">
      <c r="A407" t="s">
        <v>67</v>
      </c>
      <c r="B407" t="s">
        <v>116</v>
      </c>
      <c r="C407">
        <v>144</v>
      </c>
      <c r="D407">
        <v>159</v>
      </c>
      <c r="E407">
        <v>154</v>
      </c>
      <c r="F407">
        <v>154</v>
      </c>
      <c r="G407">
        <v>176</v>
      </c>
      <c r="H407">
        <v>49</v>
      </c>
      <c r="I407">
        <v>85</v>
      </c>
      <c r="J407">
        <v>57</v>
      </c>
      <c r="K407">
        <v>102</v>
      </c>
      <c r="L407">
        <v>100</v>
      </c>
      <c r="M407">
        <v>393</v>
      </c>
      <c r="N407" s="2">
        <v>2.2143340094658549E-2</v>
      </c>
    </row>
    <row r="408" spans="1:14" hidden="1" x14ac:dyDescent="0.25">
      <c r="A408" t="s">
        <v>67</v>
      </c>
      <c r="B408" t="s">
        <v>145</v>
      </c>
      <c r="C408">
        <v>70</v>
      </c>
      <c r="D408">
        <v>70</v>
      </c>
      <c r="E408">
        <v>41</v>
      </c>
      <c r="F408">
        <v>50</v>
      </c>
      <c r="G408">
        <v>0</v>
      </c>
      <c r="H408">
        <v>100</v>
      </c>
      <c r="I408">
        <v>110</v>
      </c>
      <c r="J408">
        <v>90</v>
      </c>
      <c r="K408">
        <v>100</v>
      </c>
      <c r="L408">
        <v>100</v>
      </c>
      <c r="M408">
        <v>500</v>
      </c>
      <c r="N408" s="2">
        <v>2.8172188415596121E-2</v>
      </c>
    </row>
    <row r="409" spans="1:14" hidden="1" x14ac:dyDescent="0.25">
      <c r="A409" t="s">
        <v>67</v>
      </c>
      <c r="B409" t="s">
        <v>86</v>
      </c>
      <c r="C409">
        <v>560</v>
      </c>
      <c r="D409">
        <v>610</v>
      </c>
      <c r="E409">
        <v>670</v>
      </c>
      <c r="F409">
        <v>720</v>
      </c>
      <c r="G409">
        <v>750</v>
      </c>
      <c r="H409">
        <v>930</v>
      </c>
      <c r="I409">
        <v>1150</v>
      </c>
      <c r="J409">
        <v>1358</v>
      </c>
      <c r="K409">
        <v>1400</v>
      </c>
      <c r="L409">
        <v>1400</v>
      </c>
      <c r="M409">
        <v>6238</v>
      </c>
      <c r="N409" s="2">
        <v>0.35147622267297718</v>
      </c>
    </row>
    <row r="410" spans="1:14" hidden="1" x14ac:dyDescent="0.25">
      <c r="A410" t="s">
        <v>67</v>
      </c>
      <c r="B410" t="s">
        <v>154</v>
      </c>
      <c r="C410">
        <v>93</v>
      </c>
      <c r="D410">
        <v>72</v>
      </c>
      <c r="E410">
        <v>94</v>
      </c>
      <c r="F410">
        <v>93</v>
      </c>
      <c r="G410">
        <v>104</v>
      </c>
      <c r="H410">
        <v>100</v>
      </c>
      <c r="I410">
        <v>109</v>
      </c>
      <c r="J410">
        <v>115</v>
      </c>
      <c r="K410">
        <v>84</v>
      </c>
      <c r="L410">
        <v>100</v>
      </c>
      <c r="M410">
        <v>508</v>
      </c>
      <c r="N410" s="2">
        <v>2.862294343024566E-2</v>
      </c>
    </row>
    <row r="411" spans="1:14" hidden="1" x14ac:dyDescent="0.25">
      <c r="A411" t="s">
        <v>67</v>
      </c>
      <c r="B411" t="s">
        <v>117</v>
      </c>
      <c r="C411">
        <v>650</v>
      </c>
      <c r="D411">
        <v>700</v>
      </c>
      <c r="E411">
        <v>700</v>
      </c>
      <c r="F411">
        <v>790</v>
      </c>
      <c r="G411">
        <v>790</v>
      </c>
      <c r="H411">
        <v>790</v>
      </c>
      <c r="I411">
        <v>300</v>
      </c>
      <c r="J411">
        <v>300</v>
      </c>
      <c r="K411">
        <v>300</v>
      </c>
      <c r="L411">
        <v>200</v>
      </c>
      <c r="M411">
        <v>1890</v>
      </c>
      <c r="N411" s="2">
        <v>0.10649087221095339</v>
      </c>
    </row>
    <row r="412" spans="1:14" hidden="1" x14ac:dyDescent="0.25">
      <c r="A412" t="s">
        <v>67</v>
      </c>
      <c r="B412" t="s">
        <v>119</v>
      </c>
      <c r="C412">
        <v>820</v>
      </c>
      <c r="D412">
        <v>739</v>
      </c>
      <c r="E412">
        <v>782</v>
      </c>
      <c r="F412">
        <v>772</v>
      </c>
      <c r="G412">
        <v>753</v>
      </c>
      <c r="H412">
        <v>729</v>
      </c>
      <c r="I412">
        <v>768</v>
      </c>
      <c r="J412">
        <v>740</v>
      </c>
      <c r="K412">
        <v>740</v>
      </c>
      <c r="L412">
        <v>750</v>
      </c>
      <c r="M412">
        <v>3727</v>
      </c>
      <c r="N412" s="2">
        <v>0.20999549244985349</v>
      </c>
    </row>
    <row r="413" spans="1:14" hidden="1" x14ac:dyDescent="0.25">
      <c r="A413" t="s">
        <v>67</v>
      </c>
      <c r="B413" t="s">
        <v>102</v>
      </c>
      <c r="C413">
        <v>130</v>
      </c>
      <c r="D413">
        <v>130</v>
      </c>
      <c r="E413">
        <v>130</v>
      </c>
      <c r="F413">
        <v>130</v>
      </c>
      <c r="G413">
        <v>130</v>
      </c>
      <c r="H413">
        <v>40</v>
      </c>
      <c r="I413">
        <v>5</v>
      </c>
      <c r="J413">
        <v>0</v>
      </c>
      <c r="K413">
        <v>0</v>
      </c>
      <c r="L413">
        <v>12</v>
      </c>
      <c r="M413">
        <v>57</v>
      </c>
      <c r="N413" s="2">
        <v>3.211629479377958E-3</v>
      </c>
    </row>
    <row r="414" spans="1:14" hidden="1" x14ac:dyDescent="0.25">
      <c r="A414" t="s">
        <v>67</v>
      </c>
      <c r="B414" t="s">
        <v>150</v>
      </c>
      <c r="C414">
        <v>95</v>
      </c>
      <c r="D414">
        <v>132</v>
      </c>
      <c r="E414">
        <v>120</v>
      </c>
      <c r="F414">
        <v>99</v>
      </c>
      <c r="G414">
        <v>121</v>
      </c>
      <c r="H414">
        <v>112</v>
      </c>
      <c r="I414">
        <v>107</v>
      </c>
      <c r="J414">
        <v>127</v>
      </c>
      <c r="K414">
        <v>106</v>
      </c>
      <c r="L414">
        <v>135</v>
      </c>
      <c r="M414">
        <v>587</v>
      </c>
      <c r="N414" s="2">
        <v>3.307414919990985E-2</v>
      </c>
    </row>
    <row r="415" spans="1:14" hidden="1" x14ac:dyDescent="0.25">
      <c r="A415" t="s">
        <v>67</v>
      </c>
      <c r="B415" t="s">
        <v>146</v>
      </c>
      <c r="C415">
        <v>42</v>
      </c>
      <c r="D415">
        <v>50</v>
      </c>
      <c r="E415">
        <v>49</v>
      </c>
      <c r="F415">
        <v>40</v>
      </c>
      <c r="G415">
        <v>45</v>
      </c>
      <c r="H415">
        <v>45</v>
      </c>
      <c r="I415">
        <v>45</v>
      </c>
      <c r="J415">
        <v>40</v>
      </c>
      <c r="K415">
        <v>53</v>
      </c>
      <c r="L415">
        <v>40</v>
      </c>
      <c r="M415">
        <v>223</v>
      </c>
      <c r="N415" s="2">
        <v>1.256479603335587E-2</v>
      </c>
    </row>
    <row r="416" spans="1:14" hidden="1" x14ac:dyDescent="0.25">
      <c r="A416" t="s">
        <v>67</v>
      </c>
      <c r="B416" t="s">
        <v>156</v>
      </c>
      <c r="C416">
        <v>70</v>
      </c>
      <c r="D416">
        <v>70</v>
      </c>
      <c r="E416">
        <v>70</v>
      </c>
      <c r="F416">
        <v>70</v>
      </c>
      <c r="G416">
        <v>70</v>
      </c>
      <c r="H416">
        <v>70</v>
      </c>
      <c r="I416">
        <v>70</v>
      </c>
      <c r="J416">
        <v>70</v>
      </c>
      <c r="K416">
        <v>70</v>
      </c>
      <c r="L416">
        <v>70</v>
      </c>
      <c r="M416">
        <v>350</v>
      </c>
      <c r="N416" s="2">
        <v>1.9720531890917291E-2</v>
      </c>
    </row>
    <row r="417" spans="1:14" hidden="1" x14ac:dyDescent="0.25">
      <c r="A417" t="s">
        <v>67</v>
      </c>
      <c r="B417" t="s">
        <v>151</v>
      </c>
      <c r="C417">
        <v>90</v>
      </c>
      <c r="D417">
        <v>80</v>
      </c>
      <c r="E417">
        <v>90</v>
      </c>
      <c r="F417">
        <v>87</v>
      </c>
      <c r="G417">
        <v>82</v>
      </c>
      <c r="H417">
        <v>74</v>
      </c>
      <c r="I417">
        <v>66</v>
      </c>
      <c r="J417">
        <v>76</v>
      </c>
      <c r="K417">
        <v>74</v>
      </c>
      <c r="L417">
        <v>66</v>
      </c>
      <c r="M417">
        <v>356</v>
      </c>
      <c r="N417" s="2">
        <v>2.0058598151904441E-2</v>
      </c>
    </row>
    <row r="418" spans="1:14" hidden="1" x14ac:dyDescent="0.25">
      <c r="A418" t="s">
        <v>67</v>
      </c>
      <c r="B418" t="s">
        <v>107</v>
      </c>
      <c r="C418">
        <v>115</v>
      </c>
      <c r="D418">
        <v>114</v>
      </c>
      <c r="E418">
        <v>131</v>
      </c>
      <c r="F418">
        <v>143</v>
      </c>
      <c r="G418">
        <v>197</v>
      </c>
      <c r="H418">
        <v>194</v>
      </c>
      <c r="I418">
        <v>176</v>
      </c>
      <c r="J418">
        <v>184</v>
      </c>
      <c r="K418">
        <v>190</v>
      </c>
      <c r="L418">
        <v>194</v>
      </c>
      <c r="M418">
        <v>938</v>
      </c>
      <c r="N418" s="2">
        <v>5.2851025467658318E-2</v>
      </c>
    </row>
    <row r="419" spans="1:14" hidden="1" x14ac:dyDescent="0.25">
      <c r="A419" t="s">
        <v>67</v>
      </c>
      <c r="B419" t="s">
        <v>179</v>
      </c>
      <c r="C419">
        <v>13</v>
      </c>
      <c r="D419">
        <v>16</v>
      </c>
      <c r="E419">
        <v>17</v>
      </c>
      <c r="F419">
        <v>15</v>
      </c>
      <c r="G419">
        <v>18</v>
      </c>
      <c r="H419">
        <v>19</v>
      </c>
      <c r="I419">
        <v>29</v>
      </c>
      <c r="J419">
        <v>17</v>
      </c>
      <c r="K419">
        <v>19</v>
      </c>
      <c r="L419">
        <v>19</v>
      </c>
      <c r="M419">
        <v>103</v>
      </c>
      <c r="N419" s="2">
        <v>5.8034708136128011E-3</v>
      </c>
    </row>
    <row r="420" spans="1:14" hidden="1" x14ac:dyDescent="0.25">
      <c r="A420" t="s">
        <v>67</v>
      </c>
      <c r="B420" t="s">
        <v>138</v>
      </c>
      <c r="C420">
        <v>20</v>
      </c>
      <c r="D420">
        <v>20</v>
      </c>
      <c r="E420">
        <v>20</v>
      </c>
      <c r="F420">
        <v>20</v>
      </c>
      <c r="G420">
        <v>20</v>
      </c>
      <c r="H420">
        <v>20</v>
      </c>
      <c r="I420">
        <v>90</v>
      </c>
      <c r="J420">
        <v>19</v>
      </c>
      <c r="K420">
        <v>19</v>
      </c>
      <c r="L420">
        <v>20</v>
      </c>
      <c r="M420">
        <v>168</v>
      </c>
      <c r="N420" s="2">
        <v>9.4658553076402974E-3</v>
      </c>
    </row>
    <row r="421" spans="1:14" hidden="1" x14ac:dyDescent="0.25">
      <c r="A421" t="s">
        <v>67</v>
      </c>
      <c r="B421" t="s">
        <v>113</v>
      </c>
      <c r="C421">
        <v>130</v>
      </c>
      <c r="D421">
        <v>150</v>
      </c>
      <c r="E421">
        <v>160</v>
      </c>
      <c r="F421">
        <v>90</v>
      </c>
      <c r="G421">
        <v>122</v>
      </c>
      <c r="H421">
        <v>116</v>
      </c>
      <c r="I421">
        <v>152</v>
      </c>
      <c r="J421">
        <v>144</v>
      </c>
      <c r="K421">
        <v>66</v>
      </c>
      <c r="L421">
        <v>112</v>
      </c>
      <c r="M421">
        <v>590</v>
      </c>
      <c r="N421" s="2">
        <v>3.3243182330403423E-2</v>
      </c>
    </row>
    <row r="422" spans="1:14" hidden="1" x14ac:dyDescent="0.25">
      <c r="A422" t="s">
        <v>67</v>
      </c>
      <c r="B422" t="s">
        <v>180</v>
      </c>
      <c r="C422">
        <v>20</v>
      </c>
      <c r="D422">
        <v>20</v>
      </c>
      <c r="E422">
        <v>20</v>
      </c>
      <c r="F422">
        <v>20</v>
      </c>
      <c r="G422">
        <v>20</v>
      </c>
      <c r="H422">
        <v>20</v>
      </c>
      <c r="I422">
        <v>0</v>
      </c>
      <c r="J422">
        <v>0</v>
      </c>
      <c r="K422">
        <v>0</v>
      </c>
      <c r="L422">
        <v>0</v>
      </c>
      <c r="M422">
        <v>20</v>
      </c>
      <c r="N422" s="2">
        <v>1.126887536623845E-3</v>
      </c>
    </row>
    <row r="423" spans="1:14" hidden="1" x14ac:dyDescent="0.25">
      <c r="A423" t="s">
        <v>76</v>
      </c>
      <c r="B423" t="s">
        <v>83</v>
      </c>
      <c r="C423">
        <v>439600</v>
      </c>
      <c r="D423">
        <v>250400</v>
      </c>
      <c r="E423">
        <v>340700</v>
      </c>
      <c r="F423">
        <v>294600</v>
      </c>
      <c r="G423">
        <v>284772</v>
      </c>
      <c r="H423">
        <v>227462</v>
      </c>
      <c r="I423">
        <v>209762</v>
      </c>
      <c r="J423">
        <v>154507</v>
      </c>
      <c r="K423">
        <v>156389</v>
      </c>
      <c r="L423">
        <v>150848</v>
      </c>
      <c r="M423">
        <v>898968</v>
      </c>
      <c r="N423" s="2">
        <v>0.28366495546554099</v>
      </c>
    </row>
    <row r="424" spans="1:14" hidden="1" x14ac:dyDescent="0.25">
      <c r="A424" t="s">
        <v>76</v>
      </c>
      <c r="B424" t="s">
        <v>97</v>
      </c>
      <c r="C424">
        <v>16527</v>
      </c>
      <c r="D424">
        <v>13459</v>
      </c>
      <c r="E424">
        <v>15617</v>
      </c>
      <c r="F424">
        <v>16723</v>
      </c>
      <c r="G424">
        <v>14898</v>
      </c>
      <c r="H424">
        <v>11829</v>
      </c>
      <c r="I424">
        <v>11045</v>
      </c>
      <c r="J424">
        <v>11000</v>
      </c>
      <c r="K424">
        <v>11000</v>
      </c>
      <c r="L424">
        <v>11000</v>
      </c>
      <c r="M424">
        <v>55874</v>
      </c>
      <c r="N424" s="2">
        <v>1.7630767415171219E-2</v>
      </c>
    </row>
    <row r="425" spans="1:14" hidden="1" x14ac:dyDescent="0.25">
      <c r="A425" t="s">
        <v>76</v>
      </c>
      <c r="B425" t="s">
        <v>102</v>
      </c>
      <c r="C425">
        <v>8500</v>
      </c>
      <c r="D425">
        <v>8500</v>
      </c>
      <c r="E425">
        <v>8500</v>
      </c>
      <c r="F425">
        <v>8500</v>
      </c>
      <c r="G425">
        <v>8500</v>
      </c>
      <c r="H425">
        <v>4700</v>
      </c>
      <c r="I425">
        <v>5000</v>
      </c>
      <c r="J425">
        <v>5000</v>
      </c>
      <c r="K425">
        <v>4000</v>
      </c>
      <c r="L425">
        <v>5000</v>
      </c>
      <c r="M425">
        <v>23700</v>
      </c>
      <c r="N425" s="2">
        <v>7.4784190811389541E-3</v>
      </c>
    </row>
    <row r="426" spans="1:14" hidden="1" x14ac:dyDescent="0.25">
      <c r="A426" t="s">
        <v>76</v>
      </c>
      <c r="B426" t="s">
        <v>198</v>
      </c>
      <c r="C426">
        <v>0</v>
      </c>
      <c r="D426">
        <v>0</v>
      </c>
      <c r="E426">
        <v>52465</v>
      </c>
      <c r="F426">
        <v>78947</v>
      </c>
      <c r="G426">
        <v>69975</v>
      </c>
      <c r="H426">
        <v>87167</v>
      </c>
      <c r="I426">
        <v>98132</v>
      </c>
      <c r="J426">
        <v>85796</v>
      </c>
      <c r="K426">
        <v>72836</v>
      </c>
      <c r="L426">
        <v>69844</v>
      </c>
      <c r="M426">
        <v>413775</v>
      </c>
      <c r="N426" s="2">
        <v>0.13056467743874561</v>
      </c>
    </row>
    <row r="427" spans="1:14" hidden="1" x14ac:dyDescent="0.25">
      <c r="A427" t="s">
        <v>76</v>
      </c>
      <c r="B427" t="s">
        <v>141</v>
      </c>
      <c r="C427">
        <v>11000</v>
      </c>
      <c r="D427">
        <v>12000</v>
      </c>
      <c r="E427">
        <v>6900</v>
      </c>
      <c r="F427">
        <v>4800</v>
      </c>
      <c r="G427">
        <v>5400</v>
      </c>
      <c r="H427">
        <v>8100</v>
      </c>
      <c r="I427">
        <v>5070</v>
      </c>
      <c r="J427">
        <v>5947</v>
      </c>
      <c r="K427">
        <v>6000</v>
      </c>
      <c r="L427">
        <v>6000</v>
      </c>
      <c r="M427">
        <v>31117</v>
      </c>
      <c r="N427" s="2">
        <v>9.8188171539156464E-3</v>
      </c>
    </row>
    <row r="428" spans="1:14" hidden="1" x14ac:dyDescent="0.25">
      <c r="A428" t="s">
        <v>76</v>
      </c>
      <c r="B428" t="s">
        <v>103</v>
      </c>
      <c r="C428">
        <v>20008</v>
      </c>
      <c r="D428">
        <v>5983</v>
      </c>
      <c r="E428">
        <v>3069</v>
      </c>
      <c r="F428">
        <v>198</v>
      </c>
      <c r="G428">
        <v>3810</v>
      </c>
      <c r="H428">
        <v>5266</v>
      </c>
      <c r="I428">
        <v>5070</v>
      </c>
      <c r="J428">
        <v>5947</v>
      </c>
      <c r="K428">
        <v>5136</v>
      </c>
      <c r="L428">
        <v>11513</v>
      </c>
      <c r="M428">
        <v>32932</v>
      </c>
      <c r="N428" s="2">
        <v>1.0391531526585149E-2</v>
      </c>
    </row>
    <row r="429" spans="1:14" hidden="1" x14ac:dyDescent="0.25">
      <c r="A429" t="s">
        <v>76</v>
      </c>
      <c r="B429" t="s">
        <v>105</v>
      </c>
      <c r="C429">
        <v>5100</v>
      </c>
      <c r="D429">
        <v>4000</v>
      </c>
      <c r="E429">
        <v>6100</v>
      </c>
      <c r="F429">
        <v>6000</v>
      </c>
      <c r="G429">
        <v>7800</v>
      </c>
      <c r="H429">
        <v>9133</v>
      </c>
      <c r="I429">
        <v>8154</v>
      </c>
      <c r="J429">
        <v>8278</v>
      </c>
      <c r="K429">
        <v>5957</v>
      </c>
      <c r="L429">
        <v>8914</v>
      </c>
      <c r="M429">
        <v>40436</v>
      </c>
      <c r="N429" s="2">
        <v>1.275938202383691E-2</v>
      </c>
    </row>
    <row r="430" spans="1:14" hidden="1" x14ac:dyDescent="0.25">
      <c r="A430" t="s">
        <v>76</v>
      </c>
      <c r="B430" t="s">
        <v>109</v>
      </c>
      <c r="C430">
        <v>94490</v>
      </c>
      <c r="D430">
        <v>120350</v>
      </c>
      <c r="E430">
        <v>115078</v>
      </c>
      <c r="F430">
        <v>126021</v>
      </c>
      <c r="G430">
        <v>148541</v>
      </c>
      <c r="H430">
        <v>165470</v>
      </c>
      <c r="I430">
        <v>108320</v>
      </c>
      <c r="J430">
        <v>136790</v>
      </c>
      <c r="K430">
        <v>116569</v>
      </c>
      <c r="L430">
        <v>131311</v>
      </c>
      <c r="M430">
        <v>658460</v>
      </c>
      <c r="N430" s="2">
        <v>0.2077738324120994</v>
      </c>
    </row>
    <row r="431" spans="1:14" hidden="1" x14ac:dyDescent="0.25">
      <c r="A431" t="s">
        <v>76</v>
      </c>
      <c r="B431" t="s">
        <v>137</v>
      </c>
      <c r="C431">
        <v>141000</v>
      </c>
      <c r="D431">
        <v>73400</v>
      </c>
      <c r="E431">
        <v>133000</v>
      </c>
      <c r="F431">
        <v>67000</v>
      </c>
      <c r="G431">
        <v>67000</v>
      </c>
      <c r="H431">
        <v>95000</v>
      </c>
      <c r="I431">
        <v>103000</v>
      </c>
      <c r="J431">
        <v>110000</v>
      </c>
      <c r="K431">
        <v>86000</v>
      </c>
      <c r="L431">
        <v>90000</v>
      </c>
      <c r="M431">
        <v>484000</v>
      </c>
      <c r="N431" s="2">
        <v>0.15272383271186721</v>
      </c>
    </row>
    <row r="432" spans="1:14" hidden="1" x14ac:dyDescent="0.25">
      <c r="A432" t="s">
        <v>76</v>
      </c>
      <c r="B432" t="s">
        <v>211</v>
      </c>
      <c r="C432">
        <v>1590</v>
      </c>
      <c r="D432">
        <v>1406</v>
      </c>
      <c r="E432">
        <v>2111</v>
      </c>
      <c r="F432">
        <v>1808</v>
      </c>
      <c r="G432">
        <v>2237</v>
      </c>
      <c r="H432">
        <v>2174</v>
      </c>
      <c r="I432">
        <v>2174</v>
      </c>
      <c r="J432">
        <v>1959</v>
      </c>
      <c r="K432">
        <v>1311</v>
      </c>
      <c r="L432">
        <v>1881</v>
      </c>
      <c r="M432">
        <v>9499</v>
      </c>
      <c r="N432" s="2">
        <v>2.9973629895248492E-3</v>
      </c>
    </row>
    <row r="433" spans="1:14" hidden="1" x14ac:dyDescent="0.25">
      <c r="A433" t="s">
        <v>76</v>
      </c>
      <c r="B433" t="s">
        <v>122</v>
      </c>
      <c r="C433">
        <v>58000</v>
      </c>
      <c r="D433">
        <v>162000</v>
      </c>
      <c r="E433">
        <v>110000</v>
      </c>
      <c r="F433">
        <v>90000</v>
      </c>
      <c r="G433">
        <v>90000</v>
      </c>
      <c r="H433">
        <v>90000</v>
      </c>
      <c r="I433">
        <v>106858</v>
      </c>
      <c r="J433">
        <v>115500</v>
      </c>
      <c r="K433">
        <v>110500</v>
      </c>
      <c r="L433">
        <v>97500</v>
      </c>
      <c r="M433">
        <v>520358</v>
      </c>
      <c r="N433" s="2">
        <v>0.16419642178157401</v>
      </c>
    </row>
    <row r="434" spans="1:14" hidden="1" x14ac:dyDescent="0.25">
      <c r="A434" t="s">
        <v>66</v>
      </c>
      <c r="B434" t="s">
        <v>145</v>
      </c>
      <c r="C434">
        <v>27</v>
      </c>
      <c r="D434">
        <v>27</v>
      </c>
      <c r="E434">
        <v>25</v>
      </c>
      <c r="F434">
        <v>26</v>
      </c>
      <c r="G434">
        <v>27</v>
      </c>
      <c r="H434">
        <v>27</v>
      </c>
      <c r="I434">
        <v>27</v>
      </c>
      <c r="J434">
        <v>30</v>
      </c>
      <c r="K434">
        <v>30</v>
      </c>
      <c r="L434">
        <v>29</v>
      </c>
      <c r="M434">
        <v>143</v>
      </c>
      <c r="N434" s="2">
        <v>0.54580152671755722</v>
      </c>
    </row>
    <row r="435" spans="1:14" hidden="1" x14ac:dyDescent="0.25">
      <c r="A435" t="s">
        <v>66</v>
      </c>
      <c r="B435" t="s">
        <v>86</v>
      </c>
      <c r="C435">
        <v>2</v>
      </c>
      <c r="D435">
        <v>2</v>
      </c>
      <c r="E435">
        <v>2</v>
      </c>
      <c r="F435">
        <v>3</v>
      </c>
      <c r="G435">
        <v>3</v>
      </c>
      <c r="H435">
        <v>3</v>
      </c>
      <c r="I435">
        <v>3</v>
      </c>
      <c r="J435">
        <v>3</v>
      </c>
      <c r="K435">
        <v>3</v>
      </c>
      <c r="L435">
        <v>3</v>
      </c>
      <c r="M435">
        <v>15</v>
      </c>
      <c r="N435" s="2">
        <v>5.7251908396946563E-2</v>
      </c>
    </row>
    <row r="436" spans="1:14" hidden="1" x14ac:dyDescent="0.25">
      <c r="A436" t="s">
        <v>66</v>
      </c>
      <c r="B436" t="s">
        <v>102</v>
      </c>
      <c r="C436">
        <v>3</v>
      </c>
      <c r="D436">
        <v>3</v>
      </c>
      <c r="E436">
        <v>0</v>
      </c>
      <c r="F436">
        <v>1</v>
      </c>
      <c r="G436">
        <v>1</v>
      </c>
      <c r="H436">
        <v>1</v>
      </c>
      <c r="I436">
        <v>1</v>
      </c>
      <c r="J436">
        <v>1</v>
      </c>
      <c r="K436">
        <v>1</v>
      </c>
      <c r="L436">
        <v>1</v>
      </c>
      <c r="M436">
        <v>5</v>
      </c>
      <c r="N436" s="2">
        <v>1.9083969465648859E-2</v>
      </c>
    </row>
    <row r="437" spans="1:14" hidden="1" x14ac:dyDescent="0.25">
      <c r="A437" t="s">
        <v>66</v>
      </c>
      <c r="B437" t="s">
        <v>151</v>
      </c>
      <c r="C437">
        <v>3</v>
      </c>
      <c r="D437">
        <v>8</v>
      </c>
      <c r="E437">
        <v>8</v>
      </c>
      <c r="F437">
        <v>9</v>
      </c>
      <c r="G437">
        <v>9</v>
      </c>
      <c r="H437">
        <v>11</v>
      </c>
      <c r="I437">
        <v>9</v>
      </c>
      <c r="J437">
        <v>8</v>
      </c>
      <c r="K437">
        <v>10</v>
      </c>
      <c r="L437">
        <v>9</v>
      </c>
      <c r="M437">
        <v>47</v>
      </c>
      <c r="N437" s="2">
        <v>0.1793893129770992</v>
      </c>
    </row>
    <row r="438" spans="1:14" hidden="1" x14ac:dyDescent="0.25">
      <c r="A438" t="s">
        <v>66</v>
      </c>
      <c r="B438" t="s">
        <v>107</v>
      </c>
      <c r="C438">
        <v>2</v>
      </c>
      <c r="D438">
        <v>2</v>
      </c>
      <c r="E438">
        <v>2</v>
      </c>
      <c r="F438">
        <v>2</v>
      </c>
      <c r="G438">
        <v>2</v>
      </c>
      <c r="H438">
        <v>2</v>
      </c>
      <c r="I438">
        <v>2</v>
      </c>
      <c r="J438">
        <v>2</v>
      </c>
      <c r="K438">
        <v>2</v>
      </c>
      <c r="L438">
        <v>2</v>
      </c>
      <c r="M438">
        <v>10</v>
      </c>
      <c r="N438" s="2">
        <v>3.8167938931297711E-2</v>
      </c>
    </row>
    <row r="439" spans="1:14" hidden="1" x14ac:dyDescent="0.25">
      <c r="A439" t="s">
        <v>66</v>
      </c>
      <c r="B439" t="s">
        <v>113</v>
      </c>
      <c r="C439">
        <v>8</v>
      </c>
      <c r="D439">
        <v>7</v>
      </c>
      <c r="E439">
        <v>9</v>
      </c>
      <c r="F439">
        <v>8</v>
      </c>
      <c r="G439">
        <v>8</v>
      </c>
      <c r="H439">
        <v>8</v>
      </c>
      <c r="I439">
        <v>8</v>
      </c>
      <c r="J439">
        <v>8</v>
      </c>
      <c r="K439">
        <v>9</v>
      </c>
      <c r="L439">
        <v>9</v>
      </c>
      <c r="M439">
        <v>42</v>
      </c>
      <c r="N439" s="2">
        <v>0.1603053435114504</v>
      </c>
    </row>
    <row r="440" spans="1:14" hidden="1" x14ac:dyDescent="0.25">
      <c r="A440" t="s">
        <v>65</v>
      </c>
      <c r="B440" t="s">
        <v>83</v>
      </c>
      <c r="C440">
        <v>2612</v>
      </c>
      <c r="D440">
        <v>970</v>
      </c>
      <c r="E440">
        <v>3965</v>
      </c>
      <c r="F440">
        <v>8799</v>
      </c>
      <c r="G440">
        <v>12631</v>
      </c>
      <c r="H440">
        <v>16003</v>
      </c>
      <c r="I440">
        <v>17754</v>
      </c>
      <c r="J440">
        <v>19737</v>
      </c>
      <c r="K440">
        <v>15761</v>
      </c>
      <c r="L440">
        <v>15970</v>
      </c>
      <c r="M440">
        <v>85225</v>
      </c>
      <c r="N440" s="2">
        <v>6.9570179147803057E-2</v>
      </c>
    </row>
    <row r="441" spans="1:14" hidden="1" x14ac:dyDescent="0.25">
      <c r="A441" t="s">
        <v>65</v>
      </c>
      <c r="B441" t="s">
        <v>187</v>
      </c>
      <c r="H441">
        <v>30</v>
      </c>
      <c r="I441">
        <v>480</v>
      </c>
      <c r="J441">
        <v>150</v>
      </c>
      <c r="K441">
        <v>250</v>
      </c>
      <c r="L441">
        <v>150</v>
      </c>
      <c r="M441">
        <v>1060</v>
      </c>
      <c r="N441" s="2">
        <v>8.6529058253647685E-4</v>
      </c>
    </row>
    <row r="442" spans="1:14" hidden="1" x14ac:dyDescent="0.25">
      <c r="A442" t="s">
        <v>65</v>
      </c>
      <c r="B442" t="s">
        <v>86</v>
      </c>
      <c r="C442">
        <v>100000</v>
      </c>
      <c r="D442">
        <v>95000</v>
      </c>
      <c r="E442">
        <v>139000</v>
      </c>
      <c r="F442">
        <v>139000</v>
      </c>
      <c r="G442">
        <v>140000</v>
      </c>
      <c r="H442">
        <v>140000</v>
      </c>
      <c r="I442">
        <v>180000</v>
      </c>
      <c r="J442">
        <v>180000</v>
      </c>
      <c r="K442">
        <v>180000</v>
      </c>
      <c r="L442">
        <v>180000</v>
      </c>
      <c r="M442">
        <v>860000</v>
      </c>
      <c r="N442" s="2">
        <v>0.70202820847299074</v>
      </c>
    </row>
    <row r="443" spans="1:14" hidden="1" x14ac:dyDescent="0.25">
      <c r="A443" t="s">
        <v>65</v>
      </c>
      <c r="B443" t="s">
        <v>97</v>
      </c>
      <c r="D443">
        <v>319</v>
      </c>
      <c r="E443">
        <v>1836</v>
      </c>
      <c r="F443">
        <v>956</v>
      </c>
      <c r="G443">
        <v>2265</v>
      </c>
      <c r="H443">
        <v>2724</v>
      </c>
      <c r="I443">
        <v>4215</v>
      </c>
      <c r="J443">
        <v>4200</v>
      </c>
      <c r="K443">
        <v>4200</v>
      </c>
      <c r="L443">
        <v>4200</v>
      </c>
      <c r="M443">
        <v>19539</v>
      </c>
      <c r="N443" s="2">
        <v>1.5949917634132289E-2</v>
      </c>
    </row>
    <row r="444" spans="1:14" hidden="1" x14ac:dyDescent="0.25">
      <c r="A444" t="s">
        <v>65</v>
      </c>
      <c r="B444" t="s">
        <v>141</v>
      </c>
      <c r="G444">
        <v>0</v>
      </c>
      <c r="H444">
        <v>0</v>
      </c>
      <c r="I444">
        <v>2000</v>
      </c>
      <c r="J444">
        <v>2800</v>
      </c>
      <c r="K444">
        <v>3200</v>
      </c>
      <c r="L444">
        <v>3500</v>
      </c>
      <c r="M444">
        <v>11500</v>
      </c>
      <c r="N444" s="2">
        <v>9.3875865086504567E-3</v>
      </c>
    </row>
    <row r="445" spans="1:14" hidden="1" x14ac:dyDescent="0.25">
      <c r="A445" t="s">
        <v>65</v>
      </c>
      <c r="B445" t="s">
        <v>103</v>
      </c>
      <c r="C445">
        <v>114</v>
      </c>
      <c r="D445">
        <v>229</v>
      </c>
      <c r="E445">
        <v>292</v>
      </c>
      <c r="F445">
        <v>365</v>
      </c>
      <c r="G445">
        <v>1221</v>
      </c>
      <c r="H445">
        <v>196</v>
      </c>
      <c r="I445">
        <v>1012</v>
      </c>
      <c r="J445">
        <v>72</v>
      </c>
      <c r="K445">
        <v>14</v>
      </c>
      <c r="L445">
        <v>29</v>
      </c>
      <c r="M445">
        <v>1323</v>
      </c>
      <c r="N445" s="2">
        <v>1.0799806044299611E-3</v>
      </c>
    </row>
    <row r="446" spans="1:14" hidden="1" x14ac:dyDescent="0.25">
      <c r="A446" t="s">
        <v>65</v>
      </c>
      <c r="B446" t="s">
        <v>174</v>
      </c>
      <c r="D446">
        <v>100</v>
      </c>
      <c r="E446">
        <v>300</v>
      </c>
      <c r="F446">
        <v>400</v>
      </c>
      <c r="G446">
        <v>4500</v>
      </c>
      <c r="H446">
        <v>20000</v>
      </c>
      <c r="I446">
        <v>34000</v>
      </c>
      <c r="J446">
        <v>29000</v>
      </c>
      <c r="K446">
        <v>36000</v>
      </c>
      <c r="L446">
        <v>35000</v>
      </c>
      <c r="M446">
        <v>154000</v>
      </c>
      <c r="N446" s="2">
        <v>0.1257120280288844</v>
      </c>
    </row>
    <row r="447" spans="1:14" hidden="1" x14ac:dyDescent="0.25">
      <c r="A447" t="s">
        <v>65</v>
      </c>
      <c r="B447" t="s">
        <v>107</v>
      </c>
      <c r="C447">
        <v>2131</v>
      </c>
      <c r="D447">
        <v>1443</v>
      </c>
      <c r="E447">
        <v>2134</v>
      </c>
      <c r="F447">
        <v>2312</v>
      </c>
      <c r="G447">
        <v>3063</v>
      </c>
      <c r="H447">
        <v>2500</v>
      </c>
      <c r="I447">
        <v>2596</v>
      </c>
      <c r="J447">
        <v>2620</v>
      </c>
      <c r="K447">
        <v>2663</v>
      </c>
      <c r="L447">
        <v>2276</v>
      </c>
      <c r="M447">
        <v>12655</v>
      </c>
      <c r="N447" s="2">
        <v>1.0330426718867089E-2</v>
      </c>
    </row>
    <row r="448" spans="1:14" hidden="1" x14ac:dyDescent="0.25">
      <c r="A448" t="s">
        <v>65</v>
      </c>
      <c r="B448" t="s">
        <v>113</v>
      </c>
      <c r="C448">
        <v>1800</v>
      </c>
      <c r="D448">
        <v>3300</v>
      </c>
      <c r="E448">
        <v>3240</v>
      </c>
      <c r="F448">
        <v>3540</v>
      </c>
      <c r="G448">
        <v>0</v>
      </c>
      <c r="H448">
        <v>0</v>
      </c>
      <c r="I448">
        <v>10800</v>
      </c>
      <c r="J448">
        <v>16800</v>
      </c>
      <c r="K448">
        <v>22800</v>
      </c>
      <c r="L448">
        <v>25800</v>
      </c>
      <c r="M448">
        <v>76200</v>
      </c>
      <c r="N448" s="2">
        <v>6.2202964518188242E-2</v>
      </c>
    </row>
    <row r="449" spans="1:14" hidden="1" x14ac:dyDescent="0.25">
      <c r="A449" t="s">
        <v>65</v>
      </c>
      <c r="B449" t="s">
        <v>115</v>
      </c>
      <c r="C449">
        <v>0</v>
      </c>
      <c r="D449">
        <v>100</v>
      </c>
      <c r="E449">
        <v>0</v>
      </c>
      <c r="F449">
        <v>250</v>
      </c>
      <c r="G449">
        <v>220</v>
      </c>
      <c r="H449">
        <v>200</v>
      </c>
      <c r="I449">
        <v>920</v>
      </c>
      <c r="J449">
        <v>1300</v>
      </c>
      <c r="K449">
        <v>700</v>
      </c>
      <c r="L449">
        <v>400</v>
      </c>
      <c r="M449">
        <v>3520</v>
      </c>
      <c r="N449" s="2">
        <v>2.873417783517357E-3</v>
      </c>
    </row>
    <row r="450" spans="1:14" hidden="1" x14ac:dyDescent="0.25">
      <c r="A450" t="s">
        <v>64</v>
      </c>
      <c r="B450" t="s">
        <v>83</v>
      </c>
      <c r="I450">
        <v>0</v>
      </c>
      <c r="J450">
        <v>0</v>
      </c>
      <c r="K450">
        <v>10537</v>
      </c>
      <c r="L450">
        <v>16446</v>
      </c>
      <c r="M450">
        <v>26983</v>
      </c>
      <c r="N450" s="2">
        <v>8.0423113262377319E-2</v>
      </c>
    </row>
    <row r="451" spans="1:14" hidden="1" x14ac:dyDescent="0.25">
      <c r="A451" t="s">
        <v>64</v>
      </c>
      <c r="B451" t="s">
        <v>83</v>
      </c>
      <c r="C451">
        <v>647</v>
      </c>
      <c r="D451">
        <v>3943</v>
      </c>
      <c r="E451">
        <v>11027</v>
      </c>
      <c r="F451">
        <v>16029</v>
      </c>
      <c r="G451">
        <v>23274</v>
      </c>
      <c r="H451">
        <v>28430</v>
      </c>
      <c r="I451">
        <v>29932</v>
      </c>
      <c r="J451">
        <v>25955</v>
      </c>
      <c r="K451">
        <v>22985</v>
      </c>
      <c r="L451">
        <v>28437</v>
      </c>
      <c r="M451">
        <v>135739</v>
      </c>
      <c r="N451" s="2">
        <v>0.40457150691627453</v>
      </c>
    </row>
    <row r="452" spans="1:14" hidden="1" x14ac:dyDescent="0.25">
      <c r="A452" t="s">
        <v>64</v>
      </c>
      <c r="B452" t="s">
        <v>103</v>
      </c>
      <c r="C452">
        <v>113</v>
      </c>
      <c r="D452">
        <v>261</v>
      </c>
      <c r="E452">
        <v>372</v>
      </c>
      <c r="F452">
        <v>499</v>
      </c>
      <c r="G452">
        <v>1875</v>
      </c>
      <c r="H452">
        <v>302</v>
      </c>
      <c r="I452">
        <v>86</v>
      </c>
      <c r="J452">
        <v>54</v>
      </c>
      <c r="K452">
        <v>18</v>
      </c>
      <c r="L452">
        <v>23</v>
      </c>
      <c r="M452">
        <v>483</v>
      </c>
      <c r="N452" s="2">
        <v>1.439586543591456E-3</v>
      </c>
    </row>
    <row r="453" spans="1:14" hidden="1" x14ac:dyDescent="0.25">
      <c r="A453" t="s">
        <v>64</v>
      </c>
      <c r="B453" t="s">
        <v>103</v>
      </c>
      <c r="C453">
        <v>66</v>
      </c>
      <c r="D453">
        <v>97</v>
      </c>
      <c r="E453">
        <v>83</v>
      </c>
      <c r="F453">
        <v>66</v>
      </c>
      <c r="G453">
        <v>4</v>
      </c>
      <c r="H453">
        <v>0</v>
      </c>
      <c r="I453">
        <v>1568</v>
      </c>
      <c r="J453">
        <v>60</v>
      </c>
      <c r="K453">
        <v>3</v>
      </c>
      <c r="L453">
        <v>23</v>
      </c>
      <c r="M453">
        <v>1654</v>
      </c>
      <c r="N453" s="2">
        <v>4.9297642714291254E-3</v>
      </c>
    </row>
    <row r="454" spans="1:14" hidden="1" x14ac:dyDescent="0.25">
      <c r="A454" t="s">
        <v>64</v>
      </c>
      <c r="B454" t="s">
        <v>107</v>
      </c>
      <c r="C454">
        <v>6712</v>
      </c>
      <c r="D454">
        <v>7485</v>
      </c>
      <c r="E454">
        <v>7700</v>
      </c>
      <c r="F454">
        <v>8509</v>
      </c>
      <c r="G454">
        <v>8756</v>
      </c>
      <c r="H454">
        <v>8928</v>
      </c>
      <c r="I454">
        <v>9224</v>
      </c>
      <c r="J454">
        <v>9472</v>
      </c>
      <c r="K454">
        <v>9530</v>
      </c>
      <c r="L454">
        <v>9500</v>
      </c>
      <c r="M454">
        <v>46654</v>
      </c>
      <c r="N454" s="2">
        <v>0.13905273417125419</v>
      </c>
    </row>
    <row r="455" spans="1:14" hidden="1" x14ac:dyDescent="0.25">
      <c r="A455" t="s">
        <v>64</v>
      </c>
      <c r="B455" t="s">
        <v>113</v>
      </c>
      <c r="C455">
        <v>3000</v>
      </c>
      <c r="D455">
        <v>5500</v>
      </c>
      <c r="E455">
        <v>5400</v>
      </c>
      <c r="F455">
        <v>5900</v>
      </c>
      <c r="G455">
        <v>0</v>
      </c>
      <c r="H455">
        <v>0</v>
      </c>
      <c r="I455">
        <v>14000</v>
      </c>
      <c r="J455">
        <v>28000</v>
      </c>
      <c r="K455">
        <v>39000</v>
      </c>
      <c r="L455">
        <v>43000</v>
      </c>
      <c r="M455">
        <v>124000</v>
      </c>
      <c r="N455" s="2">
        <v>0.36958329483507352</v>
      </c>
    </row>
    <row r="456" spans="1:14" hidden="1" x14ac:dyDescent="0.25">
      <c r="A456" t="s">
        <v>63</v>
      </c>
      <c r="B456" t="s">
        <v>116</v>
      </c>
      <c r="C456">
        <v>8650</v>
      </c>
      <c r="D456">
        <v>10250</v>
      </c>
      <c r="E456">
        <v>12700</v>
      </c>
      <c r="F456">
        <v>12600</v>
      </c>
      <c r="G456">
        <v>11950</v>
      </c>
      <c r="H456">
        <v>10350</v>
      </c>
      <c r="I456">
        <v>11650</v>
      </c>
      <c r="J456">
        <v>9750</v>
      </c>
      <c r="K456">
        <v>5550</v>
      </c>
      <c r="L456">
        <v>4500</v>
      </c>
      <c r="M456">
        <v>41800</v>
      </c>
      <c r="N456" s="2">
        <v>3.9120701402355483E-2</v>
      </c>
    </row>
    <row r="457" spans="1:14" hidden="1" x14ac:dyDescent="0.25">
      <c r="A457" t="s">
        <v>63</v>
      </c>
      <c r="B457" t="s">
        <v>86</v>
      </c>
      <c r="C457">
        <v>1400</v>
      </c>
      <c r="D457">
        <v>1600</v>
      </c>
      <c r="E457">
        <v>1600</v>
      </c>
      <c r="F457">
        <v>2300</v>
      </c>
      <c r="G457">
        <v>2900</v>
      </c>
      <c r="H457">
        <v>2500</v>
      </c>
      <c r="I457">
        <v>2500</v>
      </c>
      <c r="J457">
        <v>2500</v>
      </c>
      <c r="K457">
        <v>2500</v>
      </c>
      <c r="L457">
        <v>2500</v>
      </c>
      <c r="M457">
        <v>12500</v>
      </c>
      <c r="N457" s="2">
        <v>1.1698774342809651E-2</v>
      </c>
    </row>
    <row r="458" spans="1:14" hidden="1" x14ac:dyDescent="0.25">
      <c r="A458" t="s">
        <v>63</v>
      </c>
      <c r="B458" t="s">
        <v>193</v>
      </c>
      <c r="C458">
        <v>1460</v>
      </c>
      <c r="D458">
        <v>1520</v>
      </c>
      <c r="E458">
        <v>1142</v>
      </c>
      <c r="F458">
        <v>861</v>
      </c>
      <c r="G458">
        <v>917</v>
      </c>
      <c r="H458">
        <v>567</v>
      </c>
      <c r="I458">
        <v>270</v>
      </c>
      <c r="J458">
        <v>178</v>
      </c>
      <c r="K458">
        <v>414</v>
      </c>
      <c r="L458">
        <v>618</v>
      </c>
      <c r="M458">
        <v>2047</v>
      </c>
      <c r="N458" s="2">
        <v>1.915791286378509E-3</v>
      </c>
    </row>
    <row r="459" spans="1:14" hidden="1" x14ac:dyDescent="0.25">
      <c r="A459" t="s">
        <v>63</v>
      </c>
      <c r="B459" t="s">
        <v>154</v>
      </c>
      <c r="C459">
        <v>429</v>
      </c>
      <c r="D459">
        <v>946</v>
      </c>
      <c r="E459">
        <v>1060</v>
      </c>
      <c r="F459">
        <v>992</v>
      </c>
      <c r="G459">
        <v>1154</v>
      </c>
      <c r="H459">
        <v>1418</v>
      </c>
      <c r="I459">
        <v>1576</v>
      </c>
      <c r="J459">
        <v>953</v>
      </c>
      <c r="K459">
        <v>1276</v>
      </c>
      <c r="L459">
        <v>1447</v>
      </c>
      <c r="M459">
        <v>6670</v>
      </c>
      <c r="N459" s="2">
        <v>6.242465989323231E-3</v>
      </c>
    </row>
    <row r="460" spans="1:14" hidden="1" x14ac:dyDescent="0.25">
      <c r="A460" t="s">
        <v>63</v>
      </c>
      <c r="B460" t="s">
        <v>151</v>
      </c>
      <c r="C460">
        <v>39</v>
      </c>
      <c r="D460">
        <v>51</v>
      </c>
      <c r="E460">
        <v>40</v>
      </c>
      <c r="F460">
        <v>40</v>
      </c>
      <c r="G460">
        <v>50</v>
      </c>
      <c r="H460">
        <v>11</v>
      </c>
      <c r="I460">
        <v>8</v>
      </c>
      <c r="J460">
        <v>8</v>
      </c>
      <c r="K460">
        <v>8</v>
      </c>
      <c r="L460">
        <v>8</v>
      </c>
      <c r="M460">
        <v>43</v>
      </c>
      <c r="N460" s="2">
        <v>4.0243783739265212E-5</v>
      </c>
    </row>
    <row r="461" spans="1:14" hidden="1" x14ac:dyDescent="0.25">
      <c r="A461" t="s">
        <v>63</v>
      </c>
      <c r="B461" t="s">
        <v>107</v>
      </c>
      <c r="C461">
        <v>26300</v>
      </c>
      <c r="D461">
        <v>26300</v>
      </c>
      <c r="E461">
        <v>23400</v>
      </c>
      <c r="F461">
        <v>22050</v>
      </c>
      <c r="G461">
        <v>21800</v>
      </c>
      <c r="H461">
        <v>23300</v>
      </c>
      <c r="I461">
        <v>24850</v>
      </c>
      <c r="J461">
        <v>23150</v>
      </c>
      <c r="K461">
        <v>24400</v>
      </c>
      <c r="L461">
        <v>21800</v>
      </c>
      <c r="M461">
        <v>117500</v>
      </c>
      <c r="N461" s="2">
        <v>0.1099684788224107</v>
      </c>
    </row>
    <row r="462" spans="1:14" hidden="1" x14ac:dyDescent="0.25">
      <c r="A462" t="s">
        <v>63</v>
      </c>
      <c r="B462" t="s">
        <v>179</v>
      </c>
      <c r="C462">
        <v>3</v>
      </c>
      <c r="D462">
        <v>2</v>
      </c>
      <c r="E462">
        <v>3</v>
      </c>
      <c r="F462">
        <v>2</v>
      </c>
      <c r="G462">
        <v>4</v>
      </c>
      <c r="H462">
        <v>2</v>
      </c>
      <c r="I462">
        <v>5</v>
      </c>
      <c r="J462">
        <v>10</v>
      </c>
      <c r="K462">
        <v>20</v>
      </c>
      <c r="L462">
        <v>20</v>
      </c>
      <c r="M462">
        <v>57</v>
      </c>
      <c r="N462" s="2">
        <v>5.3346411003212008E-5</v>
      </c>
    </row>
    <row r="463" spans="1:14" hidden="1" x14ac:dyDescent="0.25">
      <c r="A463" t="s">
        <v>63</v>
      </c>
      <c r="B463" t="s">
        <v>137</v>
      </c>
      <c r="C463">
        <v>154095</v>
      </c>
      <c r="D463">
        <v>162602</v>
      </c>
      <c r="E463">
        <v>112012.5</v>
      </c>
      <c r="F463">
        <v>165974.5</v>
      </c>
      <c r="G463">
        <v>160310.5</v>
      </c>
      <c r="H463">
        <v>155694.5</v>
      </c>
      <c r="I463">
        <v>163535</v>
      </c>
      <c r="J463">
        <v>160186.5</v>
      </c>
      <c r="K463">
        <v>135410.5</v>
      </c>
      <c r="L463">
        <v>171298</v>
      </c>
      <c r="M463">
        <v>786124.5</v>
      </c>
      <c r="N463" s="2">
        <v>0.73573545046832534</v>
      </c>
    </row>
    <row r="464" spans="1:14" hidden="1" x14ac:dyDescent="0.25">
      <c r="A464" t="s">
        <v>63</v>
      </c>
      <c r="B464" t="s">
        <v>113</v>
      </c>
      <c r="C464">
        <v>3670</v>
      </c>
      <c r="D464">
        <v>3720</v>
      </c>
      <c r="E464">
        <v>3722</v>
      </c>
      <c r="F464">
        <v>3718</v>
      </c>
      <c r="G464">
        <v>3941.5</v>
      </c>
      <c r="H464">
        <v>4030</v>
      </c>
      <c r="I464">
        <v>4210</v>
      </c>
      <c r="J464">
        <v>4200</v>
      </c>
      <c r="K464">
        <v>4550</v>
      </c>
      <c r="L464">
        <v>4550</v>
      </c>
      <c r="M464">
        <v>21540</v>
      </c>
      <c r="N464" s="2">
        <v>2.0159327947529591E-2</v>
      </c>
    </row>
    <row r="465" spans="1:14" hidden="1" x14ac:dyDescent="0.25">
      <c r="A465" t="s">
        <v>63</v>
      </c>
      <c r="B465" t="s">
        <v>158</v>
      </c>
      <c r="C465">
        <v>11569</v>
      </c>
      <c r="D465">
        <v>14404.5</v>
      </c>
      <c r="E465">
        <v>13816.5</v>
      </c>
      <c r="F465">
        <v>13870</v>
      </c>
      <c r="G465">
        <v>16656.5</v>
      </c>
      <c r="H465">
        <v>15759.5</v>
      </c>
      <c r="I465">
        <v>16241</v>
      </c>
      <c r="J465">
        <v>15257</v>
      </c>
      <c r="K465">
        <v>16619.5</v>
      </c>
      <c r="L465">
        <v>16329.5</v>
      </c>
      <c r="M465">
        <v>80206.5</v>
      </c>
      <c r="N465" s="2">
        <v>7.5065419546124987E-2</v>
      </c>
    </row>
    <row r="466" spans="1:14" hidden="1" x14ac:dyDescent="0.25">
      <c r="A466" t="s">
        <v>61</v>
      </c>
      <c r="B466" t="s">
        <v>183</v>
      </c>
      <c r="C466">
        <v>1250300</v>
      </c>
      <c r="D466">
        <v>1150000</v>
      </c>
      <c r="E466">
        <v>1417950</v>
      </c>
      <c r="F466">
        <v>1288900</v>
      </c>
      <c r="G466">
        <v>1274000</v>
      </c>
      <c r="H466">
        <v>1112000</v>
      </c>
      <c r="I466">
        <v>1204100</v>
      </c>
      <c r="J466">
        <v>1338400</v>
      </c>
      <c r="K466">
        <v>1300000</v>
      </c>
      <c r="L466">
        <v>1300000</v>
      </c>
      <c r="M466">
        <v>6254500</v>
      </c>
      <c r="N466" s="2">
        <v>5.4091216230614577E-3</v>
      </c>
    </row>
    <row r="467" spans="1:14" hidden="1" x14ac:dyDescent="0.25">
      <c r="A467" t="s">
        <v>61</v>
      </c>
      <c r="B467" t="s">
        <v>83</v>
      </c>
      <c r="C467">
        <v>884643</v>
      </c>
      <c r="D467">
        <v>2064291</v>
      </c>
      <c r="E467">
        <v>628647</v>
      </c>
      <c r="F467">
        <v>1027622</v>
      </c>
      <c r="G467">
        <v>1037265</v>
      </c>
      <c r="H467">
        <v>942373</v>
      </c>
      <c r="I467">
        <v>850987</v>
      </c>
      <c r="J467">
        <v>720615</v>
      </c>
      <c r="K467">
        <v>936043</v>
      </c>
      <c r="L467">
        <v>900741</v>
      </c>
      <c r="M467">
        <v>4350759</v>
      </c>
      <c r="N467" s="2">
        <v>3.7626963919784552E-3</v>
      </c>
    </row>
    <row r="468" spans="1:14" hidden="1" x14ac:dyDescent="0.25">
      <c r="A468" t="s">
        <v>61</v>
      </c>
      <c r="B468" t="s">
        <v>85</v>
      </c>
      <c r="C468">
        <v>6740000</v>
      </c>
      <c r="D468">
        <v>6715000</v>
      </c>
      <c r="E468">
        <v>6513000</v>
      </c>
      <c r="F468">
        <v>5600000</v>
      </c>
      <c r="G468">
        <v>5850000</v>
      </c>
      <c r="H468">
        <v>6033000</v>
      </c>
      <c r="I468">
        <v>5740000</v>
      </c>
      <c r="J468">
        <v>4700000</v>
      </c>
      <c r="K468">
        <v>5500000</v>
      </c>
      <c r="L468">
        <v>5500000</v>
      </c>
      <c r="M468">
        <v>27473000</v>
      </c>
      <c r="N468" s="2">
        <v>2.3759660780296971E-2</v>
      </c>
    </row>
    <row r="469" spans="1:14" hidden="1" x14ac:dyDescent="0.25">
      <c r="A469" t="s">
        <v>61</v>
      </c>
      <c r="B469" t="s">
        <v>186</v>
      </c>
      <c r="C469">
        <v>2688</v>
      </c>
      <c r="D469">
        <v>1414</v>
      </c>
      <c r="E469">
        <v>1832</v>
      </c>
      <c r="F469">
        <v>1000</v>
      </c>
      <c r="G469">
        <v>1000</v>
      </c>
      <c r="H469">
        <v>0</v>
      </c>
      <c r="I469">
        <v>1320</v>
      </c>
      <c r="J469">
        <v>1800</v>
      </c>
      <c r="K469">
        <v>2803</v>
      </c>
      <c r="L469">
        <v>2400</v>
      </c>
      <c r="M469">
        <v>8323</v>
      </c>
      <c r="N469" s="2">
        <v>7.1980364967208426E-6</v>
      </c>
    </row>
    <row r="470" spans="1:14" hidden="1" x14ac:dyDescent="0.25">
      <c r="A470" t="s">
        <v>61</v>
      </c>
      <c r="B470" t="s">
        <v>145</v>
      </c>
      <c r="C470">
        <v>1266</v>
      </c>
      <c r="D470">
        <v>2915</v>
      </c>
      <c r="E470">
        <v>2717</v>
      </c>
      <c r="F470">
        <v>3408</v>
      </c>
      <c r="G470">
        <v>4601</v>
      </c>
      <c r="H470">
        <v>4238</v>
      </c>
      <c r="I470">
        <v>4154</v>
      </c>
      <c r="J470">
        <v>3405</v>
      </c>
      <c r="K470">
        <v>2091</v>
      </c>
      <c r="L470">
        <v>2229</v>
      </c>
      <c r="M470">
        <v>16117</v>
      </c>
      <c r="N470" s="2">
        <v>1.3938574338297469E-5</v>
      </c>
    </row>
    <row r="471" spans="1:14" hidden="1" x14ac:dyDescent="0.25">
      <c r="A471" t="s">
        <v>61</v>
      </c>
      <c r="B471" t="s">
        <v>86</v>
      </c>
      <c r="C471">
        <v>95296000</v>
      </c>
      <c r="D471">
        <v>108510000</v>
      </c>
      <c r="E471">
        <v>120438000</v>
      </c>
      <c r="F471">
        <v>142039000</v>
      </c>
      <c r="G471">
        <v>144398000</v>
      </c>
      <c r="H471">
        <v>123132000</v>
      </c>
      <c r="I471">
        <v>96326000</v>
      </c>
      <c r="J471">
        <v>93324000</v>
      </c>
      <c r="K471">
        <v>88000000</v>
      </c>
      <c r="L471">
        <v>86000000</v>
      </c>
      <c r="M471">
        <v>486782000</v>
      </c>
      <c r="N471" s="2">
        <v>0.42098697608395602</v>
      </c>
    </row>
    <row r="472" spans="1:14" hidden="1" x14ac:dyDescent="0.25">
      <c r="A472" t="s">
        <v>61</v>
      </c>
      <c r="B472" t="s">
        <v>233</v>
      </c>
      <c r="C472">
        <v>653000</v>
      </c>
      <c r="D472">
        <v>672000</v>
      </c>
      <c r="E472">
        <v>575000</v>
      </c>
      <c r="F472">
        <v>671000</v>
      </c>
      <c r="G472">
        <v>770000</v>
      </c>
      <c r="H472">
        <v>644000</v>
      </c>
      <c r="I472">
        <v>643000</v>
      </c>
      <c r="J472">
        <v>486000</v>
      </c>
      <c r="K472">
        <v>387000</v>
      </c>
      <c r="L472">
        <v>525000</v>
      </c>
      <c r="M472">
        <v>2685000</v>
      </c>
      <c r="N472" s="2">
        <v>2.3220867468094989E-3</v>
      </c>
    </row>
    <row r="473" spans="1:14" hidden="1" x14ac:dyDescent="0.25">
      <c r="A473" t="s">
        <v>61</v>
      </c>
      <c r="B473" t="s">
        <v>87</v>
      </c>
      <c r="C473">
        <v>54000</v>
      </c>
      <c r="D473">
        <v>65759</v>
      </c>
      <c r="E473">
        <v>41692</v>
      </c>
      <c r="F473">
        <v>95483</v>
      </c>
      <c r="G473">
        <v>84179</v>
      </c>
      <c r="H473">
        <v>63483</v>
      </c>
      <c r="I473">
        <v>52945</v>
      </c>
      <c r="J473">
        <v>81903</v>
      </c>
      <c r="K473">
        <v>56846</v>
      </c>
      <c r="L473">
        <v>37866</v>
      </c>
      <c r="M473">
        <v>293043</v>
      </c>
      <c r="N473" s="2">
        <v>2.5343436370402092E-4</v>
      </c>
    </row>
    <row r="474" spans="1:14" hidden="1" x14ac:dyDescent="0.25">
      <c r="A474" t="s">
        <v>61</v>
      </c>
      <c r="B474" t="s">
        <v>160</v>
      </c>
      <c r="C474">
        <v>1700</v>
      </c>
      <c r="D474">
        <v>3000</v>
      </c>
      <c r="E474">
        <v>1300</v>
      </c>
      <c r="G474">
        <v>0</v>
      </c>
      <c r="H474">
        <v>0</v>
      </c>
      <c r="I474">
        <v>0</v>
      </c>
      <c r="J474">
        <v>0</v>
      </c>
      <c r="K474">
        <v>1600</v>
      </c>
      <c r="L474">
        <v>1400</v>
      </c>
      <c r="M474">
        <v>3000</v>
      </c>
      <c r="N474" s="2">
        <v>2.5945103316307259E-6</v>
      </c>
    </row>
    <row r="475" spans="1:14" hidden="1" x14ac:dyDescent="0.25">
      <c r="A475" t="s">
        <v>61</v>
      </c>
      <c r="B475" t="s">
        <v>128</v>
      </c>
      <c r="C475">
        <v>6168000</v>
      </c>
      <c r="D475">
        <v>4500501</v>
      </c>
      <c r="E475">
        <v>4830918</v>
      </c>
      <c r="F475">
        <v>3427000</v>
      </c>
      <c r="G475">
        <v>3523785</v>
      </c>
      <c r="H475">
        <v>3524000</v>
      </c>
      <c r="I475">
        <v>3003000</v>
      </c>
      <c r="J475">
        <v>3378000</v>
      </c>
      <c r="K475">
        <v>2500000</v>
      </c>
      <c r="L475">
        <v>2000000</v>
      </c>
      <c r="M475">
        <v>14405000</v>
      </c>
      <c r="N475" s="2">
        <v>1.2457973775713531E-2</v>
      </c>
    </row>
    <row r="476" spans="1:14" hidden="1" x14ac:dyDescent="0.25">
      <c r="A476" t="s">
        <v>61</v>
      </c>
      <c r="B476" t="s">
        <v>154</v>
      </c>
      <c r="C476">
        <v>858005</v>
      </c>
      <c r="D476">
        <v>877189</v>
      </c>
      <c r="E476">
        <v>946234</v>
      </c>
      <c r="F476">
        <v>956564</v>
      </c>
      <c r="G476">
        <v>939531</v>
      </c>
      <c r="H476">
        <v>978613</v>
      </c>
      <c r="I476">
        <v>989073</v>
      </c>
      <c r="J476">
        <v>994572</v>
      </c>
      <c r="K476">
        <v>995066</v>
      </c>
      <c r="L476">
        <v>990261</v>
      </c>
      <c r="M476">
        <v>4947585</v>
      </c>
      <c r="N476" s="2">
        <v>4.2788534663737348E-3</v>
      </c>
    </row>
    <row r="477" spans="1:14" hidden="1" x14ac:dyDescent="0.25">
      <c r="A477" t="s">
        <v>61</v>
      </c>
      <c r="B477" t="s">
        <v>97</v>
      </c>
      <c r="C477">
        <v>1941158</v>
      </c>
      <c r="D477">
        <v>1453580</v>
      </c>
      <c r="E477">
        <v>1608145</v>
      </c>
      <c r="F477">
        <v>1571973</v>
      </c>
      <c r="G477">
        <v>1124440</v>
      </c>
      <c r="H477">
        <v>1515645</v>
      </c>
      <c r="I477">
        <v>1284580</v>
      </c>
      <c r="J477">
        <v>1400186</v>
      </c>
      <c r="K477">
        <v>1455627</v>
      </c>
      <c r="L477">
        <v>1440000</v>
      </c>
      <c r="M477">
        <v>7096038</v>
      </c>
      <c r="N477" s="2">
        <v>6.1369146348814107E-3</v>
      </c>
    </row>
    <row r="478" spans="1:14" hidden="1" x14ac:dyDescent="0.25">
      <c r="A478" t="s">
        <v>61</v>
      </c>
      <c r="B478" t="s">
        <v>99</v>
      </c>
      <c r="C478">
        <v>33333</v>
      </c>
      <c r="D478">
        <v>119961</v>
      </c>
      <c r="E478">
        <v>75092</v>
      </c>
      <c r="F478">
        <v>85066</v>
      </c>
      <c r="G478">
        <v>64805</v>
      </c>
      <c r="H478">
        <v>52600</v>
      </c>
      <c r="I478">
        <v>86579</v>
      </c>
      <c r="J478">
        <v>119227</v>
      </c>
      <c r="K478">
        <v>96160</v>
      </c>
      <c r="L478">
        <v>97000</v>
      </c>
      <c r="M478">
        <v>451566</v>
      </c>
      <c r="N478" s="2">
        <v>3.9053088413772011E-4</v>
      </c>
    </row>
    <row r="479" spans="1:14" hidden="1" x14ac:dyDescent="0.25">
      <c r="A479" t="s">
        <v>61</v>
      </c>
      <c r="B479" t="s">
        <v>234</v>
      </c>
      <c r="C479">
        <v>100000</v>
      </c>
      <c r="D479">
        <v>140000</v>
      </c>
      <c r="E479">
        <v>140000</v>
      </c>
      <c r="F479">
        <v>140000</v>
      </c>
      <c r="G479">
        <v>40000</v>
      </c>
      <c r="H479">
        <v>40000</v>
      </c>
      <c r="I479">
        <v>377120</v>
      </c>
      <c r="J479">
        <v>300000</v>
      </c>
      <c r="K479">
        <v>300000</v>
      </c>
      <c r="L479">
        <v>0</v>
      </c>
      <c r="M479">
        <v>1017120</v>
      </c>
      <c r="N479" s="2">
        <v>8.7964278283608126E-4</v>
      </c>
    </row>
    <row r="480" spans="1:14" hidden="1" x14ac:dyDescent="0.25">
      <c r="A480" t="s">
        <v>61</v>
      </c>
      <c r="B480" t="s">
        <v>222</v>
      </c>
      <c r="C480">
        <v>2488496</v>
      </c>
      <c r="D480">
        <v>2539166</v>
      </c>
      <c r="E480">
        <v>2778715</v>
      </c>
      <c r="F480">
        <v>3427469</v>
      </c>
      <c r="G480">
        <v>3591200</v>
      </c>
      <c r="H480">
        <v>2637440</v>
      </c>
      <c r="I480">
        <v>3028800</v>
      </c>
      <c r="J480">
        <v>2649800</v>
      </c>
      <c r="K480">
        <v>2505200</v>
      </c>
      <c r="L480">
        <v>1957200</v>
      </c>
      <c r="M480">
        <v>12778440</v>
      </c>
      <c r="N480" s="2">
        <v>1.105126486737444E-2</v>
      </c>
    </row>
    <row r="481" spans="1:14" hidden="1" x14ac:dyDescent="0.25">
      <c r="A481" t="s">
        <v>61</v>
      </c>
      <c r="B481" t="s">
        <v>223</v>
      </c>
      <c r="C481">
        <v>6383000</v>
      </c>
      <c r="D481">
        <v>5398600</v>
      </c>
      <c r="E481">
        <v>7143713</v>
      </c>
      <c r="F481">
        <v>8335993</v>
      </c>
      <c r="G481">
        <v>7991157</v>
      </c>
      <c r="H481">
        <v>8687581</v>
      </c>
      <c r="I481">
        <v>8022393</v>
      </c>
      <c r="J481">
        <v>9223346</v>
      </c>
      <c r="K481">
        <v>8937752</v>
      </c>
      <c r="L481">
        <v>10015243</v>
      </c>
      <c r="M481">
        <v>44886315</v>
      </c>
      <c r="N481" s="2">
        <v>3.8819336005443739E-2</v>
      </c>
    </row>
    <row r="482" spans="1:14" hidden="1" x14ac:dyDescent="0.25">
      <c r="A482" t="s">
        <v>61</v>
      </c>
      <c r="B482" t="s">
        <v>102</v>
      </c>
      <c r="C482">
        <v>1868200</v>
      </c>
      <c r="D482">
        <v>1831800</v>
      </c>
      <c r="E482">
        <v>1830000</v>
      </c>
      <c r="F482">
        <v>1830000</v>
      </c>
      <c r="G482">
        <v>1830000</v>
      </c>
      <c r="H482">
        <v>1207900</v>
      </c>
      <c r="I482">
        <v>1300000</v>
      </c>
      <c r="J482">
        <v>1500000</v>
      </c>
      <c r="K482">
        <v>1300000</v>
      </c>
      <c r="L482">
        <v>1500000</v>
      </c>
      <c r="M482">
        <v>6807900</v>
      </c>
      <c r="N482" s="2">
        <v>5.8877222955696059E-3</v>
      </c>
    </row>
    <row r="483" spans="1:14" hidden="1" x14ac:dyDescent="0.25">
      <c r="A483" t="s">
        <v>61</v>
      </c>
      <c r="B483" t="s">
        <v>171</v>
      </c>
      <c r="D483">
        <v>5000000</v>
      </c>
      <c r="E483">
        <v>0</v>
      </c>
      <c r="F483">
        <v>0</v>
      </c>
      <c r="G483">
        <v>181000</v>
      </c>
      <c r="H483">
        <v>435000</v>
      </c>
      <c r="I483">
        <v>0</v>
      </c>
      <c r="J483">
        <v>635</v>
      </c>
      <c r="K483">
        <v>230</v>
      </c>
      <c r="L483">
        <v>0</v>
      </c>
      <c r="M483">
        <v>435865</v>
      </c>
      <c r="N483" s="2">
        <v>3.7695208189874208E-4</v>
      </c>
    </row>
    <row r="484" spans="1:14" hidden="1" x14ac:dyDescent="0.25">
      <c r="A484" t="s">
        <v>61</v>
      </c>
      <c r="B484" t="s">
        <v>213</v>
      </c>
      <c r="C484">
        <v>12403</v>
      </c>
      <c r="D484">
        <v>11783</v>
      </c>
      <c r="E484">
        <v>11194</v>
      </c>
      <c r="F484">
        <v>12400</v>
      </c>
      <c r="G484">
        <v>2500</v>
      </c>
      <c r="H484">
        <v>1000</v>
      </c>
      <c r="I484">
        <v>1594</v>
      </c>
      <c r="J484">
        <v>1753</v>
      </c>
      <c r="K484">
        <v>0</v>
      </c>
      <c r="L484">
        <v>0</v>
      </c>
      <c r="M484">
        <v>4347</v>
      </c>
      <c r="N484" s="2">
        <v>3.7594454705329222E-6</v>
      </c>
    </row>
    <row r="485" spans="1:14" hidden="1" x14ac:dyDescent="0.25">
      <c r="A485" t="s">
        <v>61</v>
      </c>
      <c r="B485" t="s">
        <v>200</v>
      </c>
      <c r="C485">
        <v>7500</v>
      </c>
      <c r="D485">
        <v>7500</v>
      </c>
      <c r="E485">
        <v>15000</v>
      </c>
      <c r="F485">
        <v>31000</v>
      </c>
      <c r="G485">
        <v>37236</v>
      </c>
      <c r="H485">
        <v>41000</v>
      </c>
      <c r="I485">
        <v>45000</v>
      </c>
      <c r="J485">
        <v>110000</v>
      </c>
      <c r="K485">
        <v>57600</v>
      </c>
      <c r="L485">
        <v>65000</v>
      </c>
      <c r="M485">
        <v>318600</v>
      </c>
      <c r="N485" s="2">
        <v>2.755369972191831E-4</v>
      </c>
    </row>
    <row r="486" spans="1:14" hidden="1" x14ac:dyDescent="0.25">
      <c r="A486" t="s">
        <v>61</v>
      </c>
      <c r="B486" t="s">
        <v>150</v>
      </c>
      <c r="C486">
        <v>1724662</v>
      </c>
      <c r="D486">
        <v>2217481</v>
      </c>
      <c r="E486">
        <v>1733479</v>
      </c>
      <c r="F486">
        <v>1929439</v>
      </c>
      <c r="G486">
        <v>3294266</v>
      </c>
      <c r="H486">
        <v>2307180</v>
      </c>
      <c r="I486">
        <v>741678</v>
      </c>
      <c r="J486">
        <v>831737</v>
      </c>
      <c r="K486">
        <v>304136</v>
      </c>
      <c r="L486">
        <v>456335</v>
      </c>
      <c r="M486">
        <v>4641066</v>
      </c>
      <c r="N486" s="2">
        <v>4.0137645622600289E-3</v>
      </c>
    </row>
    <row r="487" spans="1:14" hidden="1" x14ac:dyDescent="0.25">
      <c r="A487" t="s">
        <v>61</v>
      </c>
      <c r="B487" t="s">
        <v>161</v>
      </c>
      <c r="C487">
        <v>27060000</v>
      </c>
      <c r="D487">
        <v>26400000</v>
      </c>
      <c r="E487">
        <v>27390000</v>
      </c>
      <c r="F487">
        <v>26264000</v>
      </c>
      <c r="G487">
        <v>26900000</v>
      </c>
      <c r="H487">
        <v>32800000</v>
      </c>
      <c r="I487">
        <v>37600000</v>
      </c>
      <c r="J487">
        <v>35300000</v>
      </c>
      <c r="K487">
        <v>40700000</v>
      </c>
      <c r="L487">
        <v>38122000</v>
      </c>
      <c r="M487">
        <v>184522000</v>
      </c>
      <c r="N487" s="2">
        <v>0.15958141180438831</v>
      </c>
    </row>
    <row r="488" spans="1:14" hidden="1" x14ac:dyDescent="0.25">
      <c r="A488" t="s">
        <v>61</v>
      </c>
      <c r="B488" t="s">
        <v>235</v>
      </c>
      <c r="C488">
        <v>521491</v>
      </c>
      <c r="D488">
        <v>347184</v>
      </c>
      <c r="E488">
        <v>153418</v>
      </c>
      <c r="F488">
        <v>94021</v>
      </c>
      <c r="G488">
        <v>114350</v>
      </c>
      <c r="H488">
        <v>126000</v>
      </c>
      <c r="I488">
        <v>61042</v>
      </c>
      <c r="J488">
        <v>81500</v>
      </c>
      <c r="K488">
        <v>119498</v>
      </c>
      <c r="L488">
        <v>274423</v>
      </c>
      <c r="M488">
        <v>662463</v>
      </c>
      <c r="N488" s="2">
        <v>5.7292236594102847E-4</v>
      </c>
    </row>
    <row r="489" spans="1:14" hidden="1" x14ac:dyDescent="0.25">
      <c r="A489" t="s">
        <v>61</v>
      </c>
      <c r="B489" t="s">
        <v>106</v>
      </c>
      <c r="C489">
        <v>69400</v>
      </c>
      <c r="D489">
        <v>104961</v>
      </c>
      <c r="E489">
        <v>101971</v>
      </c>
      <c r="F489">
        <v>109874</v>
      </c>
      <c r="G489">
        <v>115140</v>
      </c>
      <c r="H489">
        <v>61677</v>
      </c>
      <c r="I489">
        <v>68541</v>
      </c>
      <c r="J489">
        <v>96208</v>
      </c>
      <c r="K489">
        <v>87724</v>
      </c>
      <c r="L489">
        <v>120216</v>
      </c>
      <c r="M489">
        <v>434366</v>
      </c>
      <c r="N489" s="2">
        <v>3.7565569156970392E-4</v>
      </c>
    </row>
    <row r="490" spans="1:14" hidden="1" x14ac:dyDescent="0.25">
      <c r="A490" t="s">
        <v>61</v>
      </c>
      <c r="B490" t="s">
        <v>146</v>
      </c>
      <c r="C490">
        <v>10345925</v>
      </c>
      <c r="D490">
        <v>14842307</v>
      </c>
      <c r="E490">
        <v>10884269</v>
      </c>
      <c r="F490">
        <v>11161636</v>
      </c>
      <c r="G490">
        <v>10561111</v>
      </c>
      <c r="H490">
        <v>8450379</v>
      </c>
      <c r="I490">
        <v>10308276</v>
      </c>
      <c r="J490">
        <v>11091502</v>
      </c>
      <c r="K490">
        <v>8594180</v>
      </c>
      <c r="L490">
        <v>10776136</v>
      </c>
      <c r="M490">
        <v>49220473</v>
      </c>
      <c r="N490" s="2">
        <v>4.2567675242083727E-2</v>
      </c>
    </row>
    <row r="491" spans="1:14" hidden="1" x14ac:dyDescent="0.25">
      <c r="A491" t="s">
        <v>61</v>
      </c>
      <c r="B491" t="s">
        <v>156</v>
      </c>
      <c r="C491">
        <v>331</v>
      </c>
      <c r="D491">
        <v>443</v>
      </c>
      <c r="E491">
        <v>409</v>
      </c>
      <c r="F491">
        <v>495</v>
      </c>
      <c r="G491">
        <v>670</v>
      </c>
      <c r="H491">
        <v>700</v>
      </c>
      <c r="I491">
        <v>1500</v>
      </c>
      <c r="J491">
        <v>1500</v>
      </c>
      <c r="K491">
        <v>1500</v>
      </c>
      <c r="L491">
        <v>1500</v>
      </c>
      <c r="M491">
        <v>6700</v>
      </c>
      <c r="N491" s="2">
        <v>5.7944064073086207E-6</v>
      </c>
    </row>
    <row r="492" spans="1:14" hidden="1" x14ac:dyDescent="0.25">
      <c r="A492" t="s">
        <v>61</v>
      </c>
      <c r="B492" t="s">
        <v>156</v>
      </c>
      <c r="C492">
        <v>2952</v>
      </c>
      <c r="D492">
        <v>3478</v>
      </c>
      <c r="E492">
        <v>3897</v>
      </c>
      <c r="F492">
        <v>5437</v>
      </c>
      <c r="G492">
        <v>8019</v>
      </c>
      <c r="H492">
        <v>159</v>
      </c>
      <c r="I492">
        <v>1236</v>
      </c>
      <c r="J492">
        <v>1500</v>
      </c>
      <c r="K492">
        <v>1500</v>
      </c>
      <c r="L492">
        <v>0</v>
      </c>
      <c r="M492">
        <v>4395</v>
      </c>
      <c r="N492" s="2">
        <v>3.8009576358390131E-6</v>
      </c>
    </row>
    <row r="493" spans="1:14" hidden="1" x14ac:dyDescent="0.25">
      <c r="A493" t="s">
        <v>61</v>
      </c>
      <c r="B493" t="s">
        <v>107</v>
      </c>
      <c r="C493">
        <v>10017000</v>
      </c>
      <c r="D493">
        <v>10500000</v>
      </c>
      <c r="E493">
        <v>10700000</v>
      </c>
      <c r="F493">
        <v>11500000</v>
      </c>
      <c r="G493">
        <v>12300000</v>
      </c>
      <c r="H493">
        <v>13200000</v>
      </c>
      <c r="I493">
        <v>13600000</v>
      </c>
      <c r="J493">
        <v>13800000</v>
      </c>
      <c r="K493">
        <v>13800000</v>
      </c>
      <c r="L493">
        <v>13800000</v>
      </c>
      <c r="M493">
        <v>68200000</v>
      </c>
      <c r="N493" s="2">
        <v>5.8981868205738502E-2</v>
      </c>
    </row>
    <row r="494" spans="1:14" hidden="1" x14ac:dyDescent="0.25">
      <c r="A494" t="s">
        <v>61</v>
      </c>
      <c r="B494" t="s">
        <v>108</v>
      </c>
      <c r="C494">
        <v>1534000</v>
      </c>
      <c r="D494">
        <v>1820000</v>
      </c>
      <c r="E494">
        <v>1911000</v>
      </c>
      <c r="F494">
        <v>2002000</v>
      </c>
      <c r="G494">
        <v>5400000</v>
      </c>
      <c r="H494">
        <v>5800000</v>
      </c>
      <c r="I494">
        <v>5444000</v>
      </c>
      <c r="J494">
        <v>5716000</v>
      </c>
      <c r="K494">
        <v>8000000</v>
      </c>
      <c r="L494">
        <v>8400000</v>
      </c>
      <c r="M494">
        <v>33360000</v>
      </c>
      <c r="N494" s="2">
        <v>2.8850954887733669E-2</v>
      </c>
    </row>
    <row r="495" spans="1:14" hidden="1" x14ac:dyDescent="0.25">
      <c r="A495" t="s">
        <v>61</v>
      </c>
      <c r="B495" t="s">
        <v>205</v>
      </c>
      <c r="F495">
        <v>800000</v>
      </c>
      <c r="G495">
        <v>1000000</v>
      </c>
      <c r="H495">
        <v>1000000</v>
      </c>
      <c r="I495">
        <v>917200</v>
      </c>
      <c r="J495">
        <v>643900</v>
      </c>
      <c r="K495">
        <v>1427500</v>
      </c>
      <c r="L495">
        <v>1400000</v>
      </c>
      <c r="M495">
        <v>5388600</v>
      </c>
      <c r="N495" s="2">
        <v>4.6602594576751104E-3</v>
      </c>
    </row>
    <row r="496" spans="1:14" hidden="1" x14ac:dyDescent="0.25">
      <c r="A496" t="s">
        <v>61</v>
      </c>
      <c r="B496" t="s">
        <v>205</v>
      </c>
      <c r="C496">
        <v>1380900</v>
      </c>
      <c r="D496">
        <v>882400</v>
      </c>
      <c r="E496">
        <v>806200</v>
      </c>
      <c r="F496">
        <v>1062000</v>
      </c>
      <c r="G496">
        <v>1609000</v>
      </c>
      <c r="H496">
        <v>1385000</v>
      </c>
      <c r="I496">
        <v>1782000</v>
      </c>
      <c r="J496">
        <v>2295975</v>
      </c>
      <c r="K496">
        <v>2230504</v>
      </c>
      <c r="L496">
        <v>2402469</v>
      </c>
      <c r="M496">
        <v>10095948</v>
      </c>
      <c r="N496" s="2">
        <v>8.7313471312021867E-3</v>
      </c>
    </row>
    <row r="497" spans="1:14" hidden="1" x14ac:dyDescent="0.25">
      <c r="A497" t="s">
        <v>61</v>
      </c>
      <c r="B497" t="s">
        <v>137</v>
      </c>
      <c r="C497">
        <v>2242213</v>
      </c>
      <c r="D497">
        <v>2131854</v>
      </c>
      <c r="E497">
        <v>2011151</v>
      </c>
      <c r="F497">
        <v>1852348</v>
      </c>
      <c r="G497">
        <v>1696533</v>
      </c>
      <c r="H497">
        <v>2079294</v>
      </c>
      <c r="I497">
        <v>2058274</v>
      </c>
      <c r="J497">
        <v>1825719</v>
      </c>
      <c r="K497">
        <v>581392</v>
      </c>
      <c r="L497">
        <v>2132135</v>
      </c>
      <c r="M497">
        <v>8676814</v>
      </c>
      <c r="N497" s="2">
        <v>7.5040278562127083E-3</v>
      </c>
    </row>
    <row r="498" spans="1:14" hidden="1" x14ac:dyDescent="0.25">
      <c r="A498" t="s">
        <v>61</v>
      </c>
      <c r="B498" t="s">
        <v>211</v>
      </c>
      <c r="C498">
        <v>47559</v>
      </c>
      <c r="D498">
        <v>49106</v>
      </c>
      <c r="E498">
        <v>62595</v>
      </c>
      <c r="F498">
        <v>52518</v>
      </c>
      <c r="G498">
        <v>38848</v>
      </c>
      <c r="H498">
        <v>42435</v>
      </c>
      <c r="I498">
        <v>46530</v>
      </c>
      <c r="J498">
        <v>47438</v>
      </c>
      <c r="K498">
        <v>52103</v>
      </c>
      <c r="L498">
        <v>68217</v>
      </c>
      <c r="M498">
        <v>256723</v>
      </c>
      <c r="N498" s="2">
        <v>2.220234919557449E-4</v>
      </c>
    </row>
    <row r="499" spans="1:14" hidden="1" x14ac:dyDescent="0.25">
      <c r="A499" t="s">
        <v>61</v>
      </c>
      <c r="B499" t="s">
        <v>229</v>
      </c>
      <c r="C499">
        <v>1780300</v>
      </c>
      <c r="D499">
        <v>897600</v>
      </c>
      <c r="E499">
        <v>1230000</v>
      </c>
      <c r="F499">
        <v>750000</v>
      </c>
      <c r="G499">
        <v>0</v>
      </c>
      <c r="H499">
        <v>10000</v>
      </c>
      <c r="I499">
        <v>100000</v>
      </c>
      <c r="J499">
        <v>100000</v>
      </c>
      <c r="K499">
        <v>130000</v>
      </c>
      <c r="L499">
        <v>350000</v>
      </c>
      <c r="M499">
        <v>690000</v>
      </c>
      <c r="N499" s="2">
        <v>5.9673737627506695E-4</v>
      </c>
    </row>
    <row r="500" spans="1:14" hidden="1" x14ac:dyDescent="0.25">
      <c r="A500" t="s">
        <v>61</v>
      </c>
      <c r="B500" t="s">
        <v>111</v>
      </c>
      <c r="C500">
        <v>19984</v>
      </c>
      <c r="D500">
        <v>23020</v>
      </c>
      <c r="E500">
        <v>23000</v>
      </c>
      <c r="F500">
        <v>23000</v>
      </c>
      <c r="G500">
        <v>23658</v>
      </c>
      <c r="H500">
        <v>1351</v>
      </c>
      <c r="I500">
        <v>0</v>
      </c>
      <c r="J500">
        <v>0</v>
      </c>
      <c r="K500">
        <v>28376</v>
      </c>
      <c r="L500">
        <v>24493</v>
      </c>
      <c r="M500">
        <v>54220</v>
      </c>
      <c r="N500" s="2">
        <v>4.6891450060339313E-5</v>
      </c>
    </row>
    <row r="501" spans="1:14" hidden="1" x14ac:dyDescent="0.25">
      <c r="A501" t="s">
        <v>61</v>
      </c>
      <c r="B501" t="s">
        <v>215</v>
      </c>
      <c r="C501">
        <v>1990</v>
      </c>
      <c r="D501">
        <v>350</v>
      </c>
      <c r="E501">
        <v>500</v>
      </c>
      <c r="F501">
        <v>500</v>
      </c>
      <c r="G501">
        <v>500</v>
      </c>
      <c r="H501">
        <v>8000</v>
      </c>
      <c r="I501">
        <v>0</v>
      </c>
      <c r="J501">
        <v>0</v>
      </c>
      <c r="K501">
        <v>0</v>
      </c>
      <c r="L501">
        <v>0</v>
      </c>
      <c r="M501">
        <v>8000</v>
      </c>
      <c r="N501" s="2">
        <v>6.9186942176819352E-6</v>
      </c>
    </row>
    <row r="502" spans="1:14" hidden="1" x14ac:dyDescent="0.25">
      <c r="A502" t="s">
        <v>61</v>
      </c>
      <c r="B502" t="s">
        <v>209</v>
      </c>
      <c r="C502">
        <v>1100000</v>
      </c>
      <c r="D502">
        <v>1213657</v>
      </c>
      <c r="E502">
        <v>1085546</v>
      </c>
      <c r="F502">
        <v>1150194</v>
      </c>
      <c r="G502">
        <v>850076</v>
      </c>
      <c r="H502">
        <v>732503</v>
      </c>
      <c r="I502">
        <v>930857</v>
      </c>
      <c r="J502">
        <v>703573</v>
      </c>
      <c r="K502">
        <v>1300000</v>
      </c>
      <c r="L502">
        <v>1450000</v>
      </c>
      <c r="M502">
        <v>5116933</v>
      </c>
      <c r="N502" s="2">
        <v>4.4253118449207344E-3</v>
      </c>
    </row>
    <row r="503" spans="1:14" hidden="1" x14ac:dyDescent="0.25">
      <c r="A503" t="s">
        <v>61</v>
      </c>
      <c r="B503" t="s">
        <v>216</v>
      </c>
      <c r="C503">
        <v>2762269</v>
      </c>
      <c r="D503">
        <v>3283522</v>
      </c>
      <c r="E503">
        <v>3783969</v>
      </c>
      <c r="F503">
        <v>3228311</v>
      </c>
      <c r="G503">
        <v>3663613</v>
      </c>
      <c r="H503">
        <v>4422100</v>
      </c>
      <c r="I503">
        <v>2802000</v>
      </c>
      <c r="J503">
        <v>4108800</v>
      </c>
      <c r="K503">
        <v>3194100</v>
      </c>
      <c r="L503">
        <v>3726400</v>
      </c>
      <c r="M503">
        <v>18253400</v>
      </c>
      <c r="N503" s="2">
        <v>1.578621162912943E-2</v>
      </c>
    </row>
    <row r="504" spans="1:14" hidden="1" x14ac:dyDescent="0.25">
      <c r="A504" t="s">
        <v>61</v>
      </c>
      <c r="B504" t="s">
        <v>112</v>
      </c>
      <c r="C504">
        <v>0</v>
      </c>
      <c r="D504">
        <v>510080</v>
      </c>
      <c r="E504">
        <v>604000</v>
      </c>
      <c r="F504">
        <v>713230</v>
      </c>
      <c r="G504">
        <v>772500</v>
      </c>
      <c r="H504">
        <v>0</v>
      </c>
      <c r="I504">
        <v>0</v>
      </c>
      <c r="J504">
        <v>315215</v>
      </c>
      <c r="K504">
        <v>872894</v>
      </c>
      <c r="L504">
        <v>957045</v>
      </c>
      <c r="M504">
        <v>2145154</v>
      </c>
      <c r="N504" s="2">
        <v>1.8552080719796589E-3</v>
      </c>
    </row>
    <row r="505" spans="1:14" hidden="1" x14ac:dyDescent="0.25">
      <c r="A505" t="s">
        <v>61</v>
      </c>
      <c r="B505" t="s">
        <v>113</v>
      </c>
      <c r="C505">
        <v>30100000</v>
      </c>
      <c r="D505">
        <v>31200000</v>
      </c>
      <c r="E505">
        <v>25300000</v>
      </c>
      <c r="F505">
        <v>27400000</v>
      </c>
      <c r="G505">
        <v>27100000</v>
      </c>
      <c r="H505">
        <v>27900000</v>
      </c>
      <c r="I505">
        <v>25800000</v>
      </c>
      <c r="J505">
        <v>23300000</v>
      </c>
      <c r="K505">
        <v>23500000</v>
      </c>
      <c r="L505">
        <v>22000000</v>
      </c>
      <c r="M505">
        <v>122500000</v>
      </c>
      <c r="N505" s="2">
        <v>0.1059425052082546</v>
      </c>
    </row>
    <row r="506" spans="1:14" hidden="1" x14ac:dyDescent="0.25">
      <c r="A506" t="s">
        <v>61</v>
      </c>
      <c r="B506" t="s">
        <v>180</v>
      </c>
      <c r="C506">
        <v>664300</v>
      </c>
      <c r="D506">
        <v>700000</v>
      </c>
      <c r="E506">
        <v>700000</v>
      </c>
      <c r="F506">
        <v>700000</v>
      </c>
      <c r="G506">
        <v>700000</v>
      </c>
      <c r="H506">
        <v>700000</v>
      </c>
      <c r="I506">
        <v>617900</v>
      </c>
      <c r="J506">
        <v>588600</v>
      </c>
      <c r="K506">
        <v>646000</v>
      </c>
      <c r="L506">
        <v>681000</v>
      </c>
      <c r="M506">
        <v>3233500</v>
      </c>
      <c r="N506" s="2">
        <v>2.7964497191093171E-3</v>
      </c>
    </row>
    <row r="507" spans="1:14" hidden="1" x14ac:dyDescent="0.25">
      <c r="A507" t="s">
        <v>61</v>
      </c>
      <c r="B507" t="s">
        <v>114</v>
      </c>
      <c r="C507">
        <v>151539</v>
      </c>
      <c r="D507">
        <v>98458</v>
      </c>
      <c r="E507">
        <v>35820</v>
      </c>
      <c r="F507">
        <v>26324</v>
      </c>
      <c r="G507">
        <v>25000</v>
      </c>
      <c r="H507">
        <v>68062</v>
      </c>
      <c r="I507">
        <v>13890</v>
      </c>
      <c r="J507">
        <v>70000</v>
      </c>
      <c r="K507">
        <v>70000</v>
      </c>
      <c r="L507">
        <v>70000</v>
      </c>
      <c r="M507">
        <v>291952</v>
      </c>
      <c r="N507" s="2">
        <v>2.5249082678008462E-4</v>
      </c>
    </row>
    <row r="508" spans="1:14" hidden="1" x14ac:dyDescent="0.25">
      <c r="A508" t="s">
        <v>61</v>
      </c>
      <c r="B508" t="s">
        <v>115</v>
      </c>
      <c r="C508">
        <v>2363800</v>
      </c>
      <c r="D508">
        <v>2656100</v>
      </c>
      <c r="E508">
        <v>2470900</v>
      </c>
      <c r="F508">
        <v>2923400</v>
      </c>
      <c r="G508">
        <v>3142500</v>
      </c>
      <c r="H508">
        <v>4588000</v>
      </c>
      <c r="I508">
        <v>4332216</v>
      </c>
      <c r="J508">
        <v>4489600</v>
      </c>
      <c r="K508">
        <v>2022160</v>
      </c>
      <c r="L508">
        <v>1994660</v>
      </c>
      <c r="M508">
        <v>17426636</v>
      </c>
      <c r="N508" s="2">
        <v>1.5071195715855979E-2</v>
      </c>
    </row>
    <row r="509" spans="1:14" hidden="1" x14ac:dyDescent="0.25">
      <c r="A509" t="s">
        <v>61</v>
      </c>
      <c r="B509" t="s">
        <v>158</v>
      </c>
      <c r="C509">
        <v>34600</v>
      </c>
      <c r="D509">
        <v>17900</v>
      </c>
      <c r="E509">
        <v>6100</v>
      </c>
      <c r="F509">
        <v>6200</v>
      </c>
      <c r="G509">
        <v>6500</v>
      </c>
      <c r="H509">
        <v>24000</v>
      </c>
      <c r="I509">
        <v>20000</v>
      </c>
      <c r="J509">
        <v>14649</v>
      </c>
      <c r="K509">
        <v>9192</v>
      </c>
      <c r="L509">
        <v>15850</v>
      </c>
      <c r="M509">
        <v>83691</v>
      </c>
      <c r="N509" s="2">
        <v>7.237905472150236E-5</v>
      </c>
    </row>
    <row r="510" spans="1:14" hidden="1" x14ac:dyDescent="0.25">
      <c r="A510" t="s">
        <v>62</v>
      </c>
      <c r="B510" t="s">
        <v>83</v>
      </c>
      <c r="C510">
        <v>706</v>
      </c>
      <c r="D510">
        <v>786</v>
      </c>
      <c r="E510">
        <v>766</v>
      </c>
      <c r="F510">
        <v>533</v>
      </c>
      <c r="G510">
        <v>762</v>
      </c>
      <c r="H510">
        <v>765</v>
      </c>
      <c r="I510">
        <v>541</v>
      </c>
      <c r="J510">
        <v>483</v>
      </c>
      <c r="K510">
        <v>522</v>
      </c>
      <c r="L510">
        <v>470</v>
      </c>
      <c r="M510">
        <v>2781</v>
      </c>
      <c r="N510" s="2">
        <v>2.305455914062286E-3</v>
      </c>
    </row>
    <row r="511" spans="1:14" hidden="1" x14ac:dyDescent="0.25">
      <c r="A511" t="s">
        <v>62</v>
      </c>
      <c r="B511" t="s">
        <v>116</v>
      </c>
      <c r="C511">
        <v>14850</v>
      </c>
      <c r="D511">
        <v>20350</v>
      </c>
      <c r="E511">
        <v>21700</v>
      </c>
      <c r="F511">
        <v>21500</v>
      </c>
      <c r="G511">
        <v>20350</v>
      </c>
      <c r="H511">
        <v>17650</v>
      </c>
      <c r="I511">
        <v>19850</v>
      </c>
      <c r="J511">
        <v>22578</v>
      </c>
      <c r="K511">
        <v>11247</v>
      </c>
      <c r="L511">
        <v>15833</v>
      </c>
      <c r="M511">
        <v>87158</v>
      </c>
      <c r="N511" s="2">
        <v>7.2254198690341873E-2</v>
      </c>
    </row>
    <row r="512" spans="1:14" hidden="1" x14ac:dyDescent="0.25">
      <c r="A512" t="s">
        <v>62</v>
      </c>
      <c r="B512" t="s">
        <v>86</v>
      </c>
      <c r="C512">
        <v>750</v>
      </c>
      <c r="D512">
        <v>850</v>
      </c>
      <c r="E512">
        <v>1000</v>
      </c>
      <c r="F512">
        <v>1200</v>
      </c>
      <c r="G512">
        <v>1400</v>
      </c>
      <c r="H512">
        <v>1400</v>
      </c>
      <c r="I512">
        <v>1300</v>
      </c>
      <c r="J512">
        <v>1300</v>
      </c>
      <c r="K512">
        <v>1300</v>
      </c>
      <c r="L512">
        <v>1300</v>
      </c>
      <c r="M512">
        <v>6600</v>
      </c>
      <c r="N512" s="2">
        <v>5.47141640877781E-3</v>
      </c>
    </row>
    <row r="513" spans="1:14" hidden="1" x14ac:dyDescent="0.25">
      <c r="A513" t="s">
        <v>62</v>
      </c>
      <c r="B513" t="s">
        <v>154</v>
      </c>
      <c r="C513">
        <v>379</v>
      </c>
      <c r="D513">
        <v>766</v>
      </c>
      <c r="E513">
        <v>808</v>
      </c>
      <c r="F513">
        <v>784</v>
      </c>
      <c r="G513">
        <v>883</v>
      </c>
      <c r="H513">
        <v>1021</v>
      </c>
      <c r="I513">
        <v>1157</v>
      </c>
      <c r="J513">
        <v>699</v>
      </c>
      <c r="K513">
        <v>858</v>
      </c>
      <c r="L513">
        <v>1036</v>
      </c>
      <c r="M513">
        <v>4771</v>
      </c>
      <c r="N513" s="2">
        <v>3.955170861557414E-3</v>
      </c>
    </row>
    <row r="514" spans="1:14" hidden="1" x14ac:dyDescent="0.25">
      <c r="A514" t="s">
        <v>62</v>
      </c>
      <c r="B514" t="s">
        <v>151</v>
      </c>
      <c r="C514">
        <v>23</v>
      </c>
      <c r="D514">
        <v>30</v>
      </c>
      <c r="E514">
        <v>25</v>
      </c>
      <c r="F514">
        <v>20</v>
      </c>
      <c r="G514">
        <v>30</v>
      </c>
      <c r="H514">
        <v>7</v>
      </c>
      <c r="I514">
        <v>7</v>
      </c>
      <c r="J514">
        <v>7</v>
      </c>
      <c r="K514">
        <v>7</v>
      </c>
      <c r="L514">
        <v>7</v>
      </c>
      <c r="M514">
        <v>35</v>
      </c>
      <c r="N514" s="2">
        <v>2.901508701624596E-5</v>
      </c>
    </row>
    <row r="515" spans="1:14" hidden="1" x14ac:dyDescent="0.25">
      <c r="A515" t="s">
        <v>62</v>
      </c>
      <c r="B515" t="s">
        <v>107</v>
      </c>
      <c r="C515">
        <v>91300</v>
      </c>
      <c r="D515">
        <v>85300</v>
      </c>
      <c r="E515">
        <v>82700</v>
      </c>
      <c r="F515">
        <v>76750</v>
      </c>
      <c r="G515">
        <v>79600</v>
      </c>
      <c r="H515">
        <v>87500</v>
      </c>
      <c r="I515">
        <v>86350</v>
      </c>
      <c r="J515">
        <v>87650</v>
      </c>
      <c r="K515">
        <v>93200</v>
      </c>
      <c r="L515">
        <v>85800</v>
      </c>
      <c r="M515">
        <v>440500</v>
      </c>
      <c r="N515" s="2">
        <v>0.36517559516160991</v>
      </c>
    </row>
    <row r="516" spans="1:14" hidden="1" x14ac:dyDescent="0.25">
      <c r="A516" t="s">
        <v>62</v>
      </c>
      <c r="B516" t="s">
        <v>179</v>
      </c>
      <c r="C516">
        <v>22</v>
      </c>
      <c r="D516">
        <v>25</v>
      </c>
      <c r="E516">
        <v>23</v>
      </c>
      <c r="F516">
        <v>22</v>
      </c>
      <c r="G516">
        <v>31</v>
      </c>
      <c r="H516">
        <v>38</v>
      </c>
      <c r="I516">
        <v>55</v>
      </c>
      <c r="J516">
        <v>100</v>
      </c>
      <c r="K516">
        <v>100</v>
      </c>
      <c r="L516">
        <v>100</v>
      </c>
      <c r="M516">
        <v>393</v>
      </c>
      <c r="N516" s="2">
        <v>3.2579797706813323E-4</v>
      </c>
    </row>
    <row r="517" spans="1:14" hidden="1" x14ac:dyDescent="0.25">
      <c r="A517" t="s">
        <v>62</v>
      </c>
      <c r="B517" t="s">
        <v>137</v>
      </c>
      <c r="C517">
        <v>100243</v>
      </c>
      <c r="D517">
        <v>101586</v>
      </c>
      <c r="E517">
        <v>76431.5</v>
      </c>
      <c r="F517">
        <v>109540.5</v>
      </c>
      <c r="G517">
        <v>103342.5</v>
      </c>
      <c r="H517">
        <v>104581.5</v>
      </c>
      <c r="I517">
        <v>107111</v>
      </c>
      <c r="J517">
        <v>107881.5</v>
      </c>
      <c r="K517">
        <v>89681.5</v>
      </c>
      <c r="L517">
        <v>114008</v>
      </c>
      <c r="M517">
        <v>523263.5</v>
      </c>
      <c r="N517" s="2">
        <v>0.43378674242644061</v>
      </c>
    </row>
    <row r="518" spans="1:14" hidden="1" x14ac:dyDescent="0.25">
      <c r="A518" t="s">
        <v>62</v>
      </c>
      <c r="B518" t="s">
        <v>113</v>
      </c>
      <c r="C518">
        <v>12300</v>
      </c>
      <c r="D518">
        <v>12600</v>
      </c>
      <c r="E518">
        <v>12550</v>
      </c>
      <c r="F518">
        <v>12580</v>
      </c>
      <c r="G518">
        <v>13121.5</v>
      </c>
      <c r="H518">
        <v>13650</v>
      </c>
      <c r="I518">
        <v>14350</v>
      </c>
      <c r="J518">
        <v>14350</v>
      </c>
      <c r="K518">
        <v>14850</v>
      </c>
      <c r="L518">
        <v>14850</v>
      </c>
      <c r="M518">
        <v>72050</v>
      </c>
      <c r="N518" s="2">
        <v>5.972962912915776E-2</v>
      </c>
    </row>
    <row r="519" spans="1:14" hidden="1" x14ac:dyDescent="0.25">
      <c r="A519" t="s">
        <v>62</v>
      </c>
      <c r="B519" t="s">
        <v>158</v>
      </c>
      <c r="C519">
        <v>11569</v>
      </c>
      <c r="D519">
        <v>11491.5</v>
      </c>
      <c r="E519">
        <v>11471.5</v>
      </c>
      <c r="F519">
        <v>11361</v>
      </c>
      <c r="G519">
        <v>13768.5</v>
      </c>
      <c r="H519">
        <v>13324.5</v>
      </c>
      <c r="I519">
        <v>13632</v>
      </c>
      <c r="J519">
        <v>13039</v>
      </c>
      <c r="K519">
        <v>14505.5</v>
      </c>
      <c r="L519">
        <v>14216.5</v>
      </c>
      <c r="M519">
        <v>68717.5</v>
      </c>
      <c r="N519" s="2">
        <v>5.6966978343968057E-2</v>
      </c>
    </row>
    <row r="520" spans="1:14" hidden="1" x14ac:dyDescent="0.25">
      <c r="A520" t="s">
        <v>46</v>
      </c>
      <c r="B520" t="s">
        <v>85</v>
      </c>
      <c r="C520">
        <v>38784</v>
      </c>
      <c r="D520">
        <v>40000</v>
      </c>
      <c r="E520">
        <v>40000</v>
      </c>
      <c r="F520">
        <v>40000</v>
      </c>
      <c r="G520">
        <v>40000</v>
      </c>
      <c r="H520">
        <v>40000</v>
      </c>
      <c r="I520">
        <v>40000</v>
      </c>
      <c r="J520">
        <v>40000</v>
      </c>
      <c r="K520">
        <v>40000</v>
      </c>
      <c r="L520">
        <v>40000</v>
      </c>
      <c r="M520">
        <v>200000</v>
      </c>
      <c r="N520" s="2">
        <v>0.13280168392535219</v>
      </c>
    </row>
    <row r="521" spans="1:14" hidden="1" x14ac:dyDescent="0.25">
      <c r="A521" t="s">
        <v>46</v>
      </c>
      <c r="B521" t="s">
        <v>128</v>
      </c>
      <c r="C521">
        <v>30000</v>
      </c>
      <c r="D521">
        <v>30000</v>
      </c>
      <c r="E521">
        <v>12000</v>
      </c>
      <c r="F521">
        <v>12000</v>
      </c>
      <c r="G521">
        <v>23802</v>
      </c>
      <c r="H521">
        <v>22871</v>
      </c>
      <c r="I521">
        <v>20000</v>
      </c>
      <c r="J521">
        <v>20000</v>
      </c>
      <c r="K521">
        <v>20000</v>
      </c>
      <c r="L521">
        <v>20000</v>
      </c>
      <c r="M521">
        <v>102871</v>
      </c>
      <c r="N521" s="2">
        <v>6.8307210135424512E-2</v>
      </c>
    </row>
    <row r="522" spans="1:14" hidden="1" x14ac:dyDescent="0.25">
      <c r="A522" t="s">
        <v>46</v>
      </c>
      <c r="B522" t="s">
        <v>117</v>
      </c>
      <c r="C522">
        <v>8248</v>
      </c>
      <c r="D522">
        <v>8200</v>
      </c>
      <c r="E522">
        <v>8200</v>
      </c>
      <c r="F522">
        <v>8200</v>
      </c>
      <c r="G522">
        <v>8200</v>
      </c>
      <c r="H522">
        <v>8200</v>
      </c>
      <c r="I522">
        <v>8200</v>
      </c>
      <c r="J522">
        <v>8200</v>
      </c>
      <c r="K522">
        <v>8000</v>
      </c>
      <c r="L522">
        <v>8000</v>
      </c>
      <c r="M522">
        <v>40600</v>
      </c>
      <c r="N522" s="2">
        <v>2.6958741836846489E-2</v>
      </c>
    </row>
    <row r="523" spans="1:14" hidden="1" x14ac:dyDescent="0.25">
      <c r="A523" t="s">
        <v>46</v>
      </c>
      <c r="B523" t="s">
        <v>119</v>
      </c>
      <c r="C523">
        <v>19364</v>
      </c>
      <c r="D523">
        <v>19394</v>
      </c>
      <c r="E523">
        <v>79912</v>
      </c>
      <c r="F523">
        <v>73651</v>
      </c>
      <c r="G523">
        <v>77453</v>
      </c>
      <c r="H523">
        <v>79809</v>
      </c>
      <c r="I523">
        <v>73094</v>
      </c>
      <c r="J523">
        <v>74015</v>
      </c>
      <c r="K523">
        <v>49544</v>
      </c>
      <c r="L523">
        <v>54275</v>
      </c>
      <c r="M523">
        <v>330737</v>
      </c>
      <c r="N523" s="2">
        <v>0.219612152682096</v>
      </c>
    </row>
    <row r="524" spans="1:14" hidden="1" x14ac:dyDescent="0.25">
      <c r="A524" t="s">
        <v>46</v>
      </c>
      <c r="B524" t="s">
        <v>148</v>
      </c>
      <c r="C524">
        <v>4200</v>
      </c>
      <c r="D524">
        <v>4200</v>
      </c>
      <c r="E524">
        <v>4200</v>
      </c>
      <c r="F524">
        <v>4200</v>
      </c>
      <c r="G524">
        <v>4200</v>
      </c>
      <c r="H524">
        <v>4200</v>
      </c>
      <c r="I524">
        <v>4200</v>
      </c>
      <c r="J524">
        <v>4200</v>
      </c>
      <c r="K524">
        <v>4200</v>
      </c>
      <c r="L524">
        <v>4200</v>
      </c>
      <c r="M524">
        <v>21000</v>
      </c>
      <c r="N524" s="2">
        <v>1.3944176812161981E-2</v>
      </c>
    </row>
    <row r="525" spans="1:14" hidden="1" x14ac:dyDescent="0.25">
      <c r="A525" t="s">
        <v>46</v>
      </c>
      <c r="B525" t="s">
        <v>151</v>
      </c>
      <c r="C525">
        <v>300</v>
      </c>
      <c r="D525">
        <v>11250</v>
      </c>
      <c r="E525">
        <v>24909</v>
      </c>
      <c r="F525">
        <v>460</v>
      </c>
      <c r="G525">
        <v>12517</v>
      </c>
      <c r="H525">
        <v>24800</v>
      </c>
      <c r="I525">
        <v>33250</v>
      </c>
      <c r="J525">
        <v>16815</v>
      </c>
      <c r="K525">
        <v>38104</v>
      </c>
      <c r="L525">
        <v>31170</v>
      </c>
      <c r="M525">
        <v>144139</v>
      </c>
      <c r="N525" s="2">
        <v>9.5709509596581685E-2</v>
      </c>
    </row>
    <row r="526" spans="1:14" hidden="1" x14ac:dyDescent="0.25">
      <c r="A526" t="s">
        <v>46</v>
      </c>
      <c r="B526" t="s">
        <v>107</v>
      </c>
      <c r="C526">
        <v>34000</v>
      </c>
      <c r="D526">
        <v>34000</v>
      </c>
      <c r="E526">
        <v>34000</v>
      </c>
      <c r="F526">
        <v>34000</v>
      </c>
      <c r="G526">
        <v>34000</v>
      </c>
      <c r="H526">
        <v>34000</v>
      </c>
      <c r="I526">
        <v>34000</v>
      </c>
      <c r="J526">
        <v>34000</v>
      </c>
      <c r="K526">
        <v>34000</v>
      </c>
      <c r="L526">
        <v>34000</v>
      </c>
      <c r="M526">
        <v>170000</v>
      </c>
      <c r="N526" s="2">
        <v>0.11288143133654931</v>
      </c>
    </row>
    <row r="527" spans="1:14" hidden="1" x14ac:dyDescent="0.25">
      <c r="A527" t="s">
        <v>46</v>
      </c>
      <c r="B527" t="s">
        <v>135</v>
      </c>
      <c r="C527">
        <v>20059</v>
      </c>
      <c r="D527">
        <v>0</v>
      </c>
      <c r="E527">
        <v>4700</v>
      </c>
      <c r="F527">
        <v>5700</v>
      </c>
      <c r="G527">
        <v>4300</v>
      </c>
      <c r="H527">
        <v>2700</v>
      </c>
      <c r="I527">
        <v>1300</v>
      </c>
      <c r="J527">
        <v>2100</v>
      </c>
      <c r="K527">
        <v>1200</v>
      </c>
      <c r="L527">
        <v>1500</v>
      </c>
      <c r="M527">
        <v>8800</v>
      </c>
      <c r="N527" s="2">
        <v>5.8432740927154957E-3</v>
      </c>
    </row>
    <row r="528" spans="1:14" hidden="1" x14ac:dyDescent="0.25">
      <c r="A528" t="s">
        <v>46</v>
      </c>
      <c r="B528" t="s">
        <v>122</v>
      </c>
      <c r="C528">
        <v>22115</v>
      </c>
      <c r="D528">
        <v>15908</v>
      </c>
      <c r="E528">
        <v>15326</v>
      </c>
      <c r="F528">
        <v>19360</v>
      </c>
      <c r="G528">
        <v>106244</v>
      </c>
      <c r="H528">
        <v>87094</v>
      </c>
      <c r="I528">
        <v>100764</v>
      </c>
      <c r="J528">
        <v>100000</v>
      </c>
      <c r="K528">
        <v>100000</v>
      </c>
      <c r="L528">
        <v>100000</v>
      </c>
      <c r="M528">
        <v>487858</v>
      </c>
      <c r="N528" s="2">
        <v>0.32394181958227231</v>
      </c>
    </row>
    <row r="529" spans="1:14" x14ac:dyDescent="0.25">
      <c r="A529" t="s">
        <v>60</v>
      </c>
      <c r="B529" t="s">
        <v>83</v>
      </c>
      <c r="C529">
        <v>125636</v>
      </c>
      <c r="D529">
        <v>141251</v>
      </c>
      <c r="E529">
        <v>137762</v>
      </c>
      <c r="F529">
        <v>152978</v>
      </c>
      <c r="G529">
        <v>120520</v>
      </c>
      <c r="H529">
        <v>108500</v>
      </c>
      <c r="I529">
        <v>114517</v>
      </c>
      <c r="J529">
        <v>106470</v>
      </c>
      <c r="K529">
        <v>115800</v>
      </c>
      <c r="L529">
        <v>98970</v>
      </c>
      <c r="M529">
        <v>544257</v>
      </c>
      <c r="N529" s="2">
        <v>4.492378490050325E-2</v>
      </c>
    </row>
    <row r="530" spans="1:14" x14ac:dyDescent="0.25">
      <c r="A530" t="s">
        <v>60</v>
      </c>
      <c r="B530" t="s">
        <v>181</v>
      </c>
      <c r="C530">
        <v>500</v>
      </c>
      <c r="D530">
        <v>500</v>
      </c>
      <c r="E530">
        <v>600</v>
      </c>
      <c r="F530">
        <v>700</v>
      </c>
      <c r="G530">
        <v>700</v>
      </c>
      <c r="H530">
        <v>700</v>
      </c>
      <c r="I530">
        <v>700</v>
      </c>
      <c r="J530">
        <v>700</v>
      </c>
      <c r="K530">
        <v>700</v>
      </c>
      <c r="L530">
        <v>700</v>
      </c>
      <c r="M530">
        <v>3500</v>
      </c>
      <c r="N530" s="2">
        <v>2.8889522257272089E-4</v>
      </c>
    </row>
    <row r="531" spans="1:14" x14ac:dyDescent="0.25">
      <c r="A531" t="s">
        <v>60</v>
      </c>
      <c r="B531" t="s">
        <v>85</v>
      </c>
      <c r="C531">
        <v>59779</v>
      </c>
      <c r="D531">
        <v>57500</v>
      </c>
      <c r="E531">
        <v>79600</v>
      </c>
      <c r="F531">
        <v>77700</v>
      </c>
      <c r="G531">
        <v>77100</v>
      </c>
      <c r="H531">
        <v>68500</v>
      </c>
      <c r="I531">
        <v>62200</v>
      </c>
      <c r="J531">
        <v>54300</v>
      </c>
      <c r="K531">
        <v>59600</v>
      </c>
      <c r="L531">
        <v>60800</v>
      </c>
      <c r="M531">
        <v>305400</v>
      </c>
      <c r="N531" s="2">
        <v>2.5208171706773991E-2</v>
      </c>
    </row>
    <row r="532" spans="1:14" x14ac:dyDescent="0.25">
      <c r="A532" t="s">
        <v>60</v>
      </c>
      <c r="B532" t="s">
        <v>116</v>
      </c>
      <c r="C532">
        <v>146850</v>
      </c>
      <c r="D532">
        <v>152728</v>
      </c>
      <c r="E532">
        <v>149486</v>
      </c>
      <c r="F532">
        <v>149716</v>
      </c>
      <c r="G532">
        <v>158299</v>
      </c>
      <c r="H532">
        <v>154759</v>
      </c>
      <c r="I532">
        <v>137411</v>
      </c>
      <c r="J532">
        <v>124736</v>
      </c>
      <c r="K532">
        <v>124043</v>
      </c>
      <c r="L532">
        <v>119000</v>
      </c>
      <c r="M532">
        <v>659949</v>
      </c>
      <c r="N532" s="2">
        <v>5.4473175211898463E-2</v>
      </c>
    </row>
    <row r="533" spans="1:14" x14ac:dyDescent="0.25">
      <c r="A533" t="s">
        <v>60</v>
      </c>
      <c r="B533" t="s">
        <v>86</v>
      </c>
      <c r="C533">
        <v>519200</v>
      </c>
      <c r="D533">
        <v>693500</v>
      </c>
      <c r="E533">
        <v>690500</v>
      </c>
      <c r="F533">
        <v>600000</v>
      </c>
      <c r="G533">
        <v>573400</v>
      </c>
      <c r="H533">
        <v>670000</v>
      </c>
      <c r="I533">
        <v>705000</v>
      </c>
      <c r="J533">
        <v>806000</v>
      </c>
      <c r="K533">
        <v>745000</v>
      </c>
      <c r="L533">
        <v>669000</v>
      </c>
      <c r="M533">
        <v>3595000</v>
      </c>
      <c r="N533" s="2">
        <v>0.29673666432826618</v>
      </c>
    </row>
    <row r="534" spans="1:14" x14ac:dyDescent="0.25">
      <c r="A534" t="s">
        <v>60</v>
      </c>
      <c r="B534" t="s">
        <v>87</v>
      </c>
      <c r="C534">
        <v>103967</v>
      </c>
      <c r="D534">
        <v>49369</v>
      </c>
      <c r="E534">
        <v>41221</v>
      </c>
      <c r="F534">
        <v>36671</v>
      </c>
      <c r="G534">
        <v>37091</v>
      </c>
      <c r="H534">
        <v>40606</v>
      </c>
      <c r="I534">
        <v>43055</v>
      </c>
      <c r="J534">
        <v>40571</v>
      </c>
      <c r="K534">
        <v>36094</v>
      </c>
      <c r="L534">
        <v>38300</v>
      </c>
      <c r="M534">
        <v>198626</v>
      </c>
      <c r="N534" s="2">
        <v>1.6394886422494079E-2</v>
      </c>
    </row>
    <row r="535" spans="1:14" x14ac:dyDescent="0.25">
      <c r="A535" t="s">
        <v>60</v>
      </c>
      <c r="B535" t="s">
        <v>160</v>
      </c>
      <c r="C535">
        <v>25700</v>
      </c>
      <c r="D535">
        <v>16600</v>
      </c>
      <c r="E535">
        <v>13300</v>
      </c>
      <c r="F535">
        <v>14700</v>
      </c>
      <c r="G535">
        <v>15000</v>
      </c>
      <c r="H535">
        <v>15800</v>
      </c>
      <c r="I535">
        <v>14700</v>
      </c>
      <c r="J535">
        <v>12900</v>
      </c>
      <c r="K535">
        <v>14800</v>
      </c>
      <c r="L535">
        <v>15000</v>
      </c>
      <c r="M535">
        <v>73200</v>
      </c>
      <c r="N535" s="2">
        <v>6.0420372263780484E-3</v>
      </c>
    </row>
    <row r="536" spans="1:14" x14ac:dyDescent="0.25">
      <c r="A536" t="s">
        <v>60</v>
      </c>
      <c r="B536" t="s">
        <v>166</v>
      </c>
      <c r="H536">
        <v>0</v>
      </c>
      <c r="I536">
        <v>0</v>
      </c>
      <c r="J536">
        <v>0</v>
      </c>
      <c r="K536">
        <v>0</v>
      </c>
      <c r="L536">
        <v>227</v>
      </c>
      <c r="M536">
        <v>227</v>
      </c>
      <c r="N536" s="2">
        <v>1.873691872114504E-5</v>
      </c>
    </row>
    <row r="537" spans="1:14" x14ac:dyDescent="0.25">
      <c r="A537" t="s">
        <v>60</v>
      </c>
      <c r="B537" t="s">
        <v>89</v>
      </c>
      <c r="C537">
        <v>15186</v>
      </c>
      <c r="D537">
        <v>9355</v>
      </c>
      <c r="E537">
        <v>0</v>
      </c>
      <c r="F537">
        <v>0</v>
      </c>
      <c r="G537">
        <v>9961</v>
      </c>
      <c r="H537">
        <v>15363</v>
      </c>
      <c r="I537">
        <v>18794</v>
      </c>
      <c r="J537">
        <v>27532</v>
      </c>
      <c r="K537">
        <v>20724</v>
      </c>
      <c r="L537">
        <v>26560</v>
      </c>
      <c r="M537">
        <v>108973</v>
      </c>
      <c r="N537" s="2">
        <v>8.9947940255477466E-3</v>
      </c>
    </row>
    <row r="538" spans="1:14" x14ac:dyDescent="0.25">
      <c r="A538" t="s">
        <v>60</v>
      </c>
      <c r="B538" t="s">
        <v>154</v>
      </c>
      <c r="C538">
        <v>46275</v>
      </c>
      <c r="D538">
        <v>44498</v>
      </c>
      <c r="E538">
        <v>42750</v>
      </c>
      <c r="F538">
        <v>60709</v>
      </c>
      <c r="G538">
        <v>85424</v>
      </c>
      <c r="H538">
        <v>85780</v>
      </c>
      <c r="I538">
        <v>92591</v>
      </c>
      <c r="J538">
        <v>90151</v>
      </c>
      <c r="K538">
        <v>90837</v>
      </c>
      <c r="L538">
        <v>68006</v>
      </c>
      <c r="M538">
        <v>427365</v>
      </c>
      <c r="N538" s="2">
        <v>3.5275344798511681E-2</v>
      </c>
    </row>
    <row r="539" spans="1:14" x14ac:dyDescent="0.25">
      <c r="A539" t="s">
        <v>60</v>
      </c>
      <c r="B539" t="s">
        <v>91</v>
      </c>
      <c r="C539">
        <v>13200</v>
      </c>
      <c r="D539">
        <v>12100</v>
      </c>
      <c r="E539">
        <v>8400</v>
      </c>
      <c r="F539">
        <v>6500</v>
      </c>
      <c r="G539">
        <v>4600</v>
      </c>
      <c r="H539">
        <v>2300</v>
      </c>
      <c r="I539">
        <v>3700</v>
      </c>
      <c r="J539">
        <v>6900</v>
      </c>
      <c r="K539">
        <v>6700</v>
      </c>
      <c r="L539">
        <v>8900</v>
      </c>
      <c r="M539">
        <v>28500</v>
      </c>
      <c r="N539" s="2">
        <v>2.3524325266635841E-3</v>
      </c>
    </row>
    <row r="540" spans="1:14" x14ac:dyDescent="0.25">
      <c r="A540" t="s">
        <v>60</v>
      </c>
      <c r="B540" t="s">
        <v>93</v>
      </c>
      <c r="C540">
        <v>18630</v>
      </c>
      <c r="D540">
        <v>17500</v>
      </c>
      <c r="E540">
        <v>18481</v>
      </c>
      <c r="F540">
        <v>17113</v>
      </c>
      <c r="G540">
        <v>17071</v>
      </c>
      <c r="H540">
        <v>16781</v>
      </c>
      <c r="I540">
        <v>15720</v>
      </c>
      <c r="J540">
        <v>11974</v>
      </c>
      <c r="K540">
        <v>6012</v>
      </c>
      <c r="L540">
        <v>4080</v>
      </c>
      <c r="M540">
        <v>54567</v>
      </c>
      <c r="N540" s="2">
        <v>4.5040416028930474E-3</v>
      </c>
    </row>
    <row r="541" spans="1:14" x14ac:dyDescent="0.25">
      <c r="A541" t="s">
        <v>60</v>
      </c>
      <c r="B541" t="s">
        <v>196</v>
      </c>
      <c r="C541">
        <v>0</v>
      </c>
      <c r="D541">
        <v>0</v>
      </c>
      <c r="E541">
        <v>4000</v>
      </c>
      <c r="F541">
        <v>10826</v>
      </c>
      <c r="G541">
        <v>8688</v>
      </c>
      <c r="H541">
        <v>12416</v>
      </c>
      <c r="I541">
        <v>14688</v>
      </c>
      <c r="J541">
        <v>20323</v>
      </c>
      <c r="K541">
        <v>22894</v>
      </c>
      <c r="L541">
        <v>19900</v>
      </c>
      <c r="M541">
        <v>90221</v>
      </c>
      <c r="N541" s="2">
        <v>7.4469759644952716E-3</v>
      </c>
    </row>
    <row r="542" spans="1:14" x14ac:dyDescent="0.25">
      <c r="A542" t="s">
        <v>60</v>
      </c>
      <c r="B542" t="s">
        <v>97</v>
      </c>
      <c r="D542">
        <v>290</v>
      </c>
      <c r="E542">
        <v>490</v>
      </c>
      <c r="F542">
        <v>1800</v>
      </c>
      <c r="G542">
        <v>300</v>
      </c>
      <c r="H542">
        <v>100</v>
      </c>
      <c r="I542">
        <v>100</v>
      </c>
      <c r="J542">
        <v>50</v>
      </c>
      <c r="K542">
        <v>0</v>
      </c>
      <c r="L542">
        <v>0</v>
      </c>
      <c r="M542">
        <v>250</v>
      </c>
      <c r="N542" s="2">
        <v>2.063537304090864E-5</v>
      </c>
    </row>
    <row r="543" spans="1:14" x14ac:dyDescent="0.25">
      <c r="A543" t="s">
        <v>60</v>
      </c>
      <c r="B543" t="s">
        <v>98</v>
      </c>
      <c r="C543">
        <v>18372</v>
      </c>
      <c r="D543">
        <v>21200</v>
      </c>
      <c r="E543">
        <v>21900</v>
      </c>
      <c r="F543">
        <v>38300</v>
      </c>
      <c r="G543">
        <v>116300</v>
      </c>
      <c r="H543">
        <v>204300</v>
      </c>
      <c r="I543">
        <v>289900</v>
      </c>
      <c r="J543">
        <v>409000</v>
      </c>
      <c r="K543">
        <v>632000</v>
      </c>
      <c r="L543">
        <v>873100</v>
      </c>
      <c r="M543">
        <v>2408300</v>
      </c>
      <c r="N543" s="2">
        <v>0.19878467557768109</v>
      </c>
    </row>
    <row r="544" spans="1:14" x14ac:dyDescent="0.25">
      <c r="A544" t="s">
        <v>60</v>
      </c>
      <c r="B544" t="s">
        <v>119</v>
      </c>
      <c r="C544">
        <v>169600</v>
      </c>
      <c r="D544">
        <v>177810</v>
      </c>
      <c r="E544">
        <v>177782</v>
      </c>
      <c r="F544">
        <v>192789</v>
      </c>
      <c r="G544">
        <v>195565</v>
      </c>
      <c r="H544">
        <v>187046</v>
      </c>
      <c r="I544">
        <v>186736</v>
      </c>
      <c r="J544">
        <v>182652</v>
      </c>
      <c r="K544">
        <v>170014</v>
      </c>
      <c r="L544">
        <v>180721</v>
      </c>
      <c r="M544">
        <v>907169</v>
      </c>
      <c r="N544" s="2">
        <v>7.4879082904592192E-2</v>
      </c>
    </row>
    <row r="545" spans="1:14" x14ac:dyDescent="0.25">
      <c r="A545" t="s">
        <v>60</v>
      </c>
      <c r="B545" t="s">
        <v>148</v>
      </c>
      <c r="C545">
        <v>19870</v>
      </c>
      <c r="D545">
        <v>23325</v>
      </c>
      <c r="E545">
        <v>24903</v>
      </c>
      <c r="F545">
        <v>34882</v>
      </c>
      <c r="G545">
        <v>44857</v>
      </c>
      <c r="H545">
        <v>43861</v>
      </c>
      <c r="I545">
        <v>43386</v>
      </c>
      <c r="J545">
        <v>41067</v>
      </c>
      <c r="K545">
        <v>45600</v>
      </c>
      <c r="L545">
        <v>47300</v>
      </c>
      <c r="M545">
        <v>221214</v>
      </c>
      <c r="N545" s="2">
        <v>1.8259333647486251E-2</v>
      </c>
    </row>
    <row r="546" spans="1:14" x14ac:dyDescent="0.25">
      <c r="A546" t="s">
        <v>60</v>
      </c>
      <c r="B546" t="s">
        <v>230</v>
      </c>
      <c r="C546">
        <v>4400</v>
      </c>
      <c r="D546">
        <v>7600</v>
      </c>
      <c r="E546">
        <v>6700</v>
      </c>
      <c r="F546">
        <v>11700</v>
      </c>
      <c r="G546">
        <v>5400</v>
      </c>
      <c r="H546">
        <v>7500</v>
      </c>
      <c r="I546">
        <v>5500</v>
      </c>
      <c r="J546">
        <v>6500</v>
      </c>
      <c r="K546">
        <v>6900</v>
      </c>
      <c r="L546">
        <v>5900</v>
      </c>
      <c r="M546">
        <v>32300</v>
      </c>
      <c r="N546" s="2">
        <v>2.6660901968853959E-3</v>
      </c>
    </row>
    <row r="547" spans="1:14" x14ac:dyDescent="0.25">
      <c r="A547" t="s">
        <v>60</v>
      </c>
      <c r="B547" t="s">
        <v>141</v>
      </c>
      <c r="C547">
        <v>5695</v>
      </c>
      <c r="D547">
        <v>25148</v>
      </c>
      <c r="E547">
        <v>37053</v>
      </c>
      <c r="F547">
        <v>47271</v>
      </c>
      <c r="G547">
        <v>42105</v>
      </c>
      <c r="H547">
        <v>35474</v>
      </c>
      <c r="I547">
        <v>33183</v>
      </c>
      <c r="J547">
        <v>33736</v>
      </c>
      <c r="K547">
        <v>9908</v>
      </c>
      <c r="L547">
        <v>29285</v>
      </c>
      <c r="M547">
        <v>141586</v>
      </c>
      <c r="N547" s="2">
        <v>1.168671970948036E-2</v>
      </c>
    </row>
    <row r="548" spans="1:14" x14ac:dyDescent="0.25">
      <c r="A548" t="s">
        <v>60</v>
      </c>
      <c r="B548" t="s">
        <v>161</v>
      </c>
      <c r="H548">
        <v>0</v>
      </c>
      <c r="I548">
        <v>0</v>
      </c>
      <c r="J548">
        <v>0</v>
      </c>
      <c r="K548">
        <v>0</v>
      </c>
      <c r="L548">
        <v>100</v>
      </c>
      <c r="M548">
        <v>100</v>
      </c>
      <c r="N548" s="2">
        <v>8.2541492163634552E-6</v>
      </c>
    </row>
    <row r="549" spans="1:14" x14ac:dyDescent="0.25">
      <c r="A549" t="s">
        <v>60</v>
      </c>
      <c r="B549" t="s">
        <v>174</v>
      </c>
      <c r="C549">
        <v>0</v>
      </c>
      <c r="D549">
        <v>9450</v>
      </c>
      <c r="E549">
        <v>19706</v>
      </c>
      <c r="F549">
        <v>22913</v>
      </c>
      <c r="G549">
        <v>22562</v>
      </c>
      <c r="H549">
        <v>21828</v>
      </c>
      <c r="I549">
        <v>11475</v>
      </c>
      <c r="J549">
        <v>16000</v>
      </c>
      <c r="K549">
        <v>22200</v>
      </c>
      <c r="L549">
        <v>20000</v>
      </c>
      <c r="M549">
        <v>91503</v>
      </c>
      <c r="N549" s="2">
        <v>7.5527941574490519E-3</v>
      </c>
    </row>
    <row r="550" spans="1:14" x14ac:dyDescent="0.25">
      <c r="A550" t="s">
        <v>60</v>
      </c>
      <c r="B550" t="s">
        <v>162</v>
      </c>
      <c r="C550">
        <v>45383</v>
      </c>
      <c r="D550">
        <v>48370</v>
      </c>
      <c r="E550">
        <v>62049</v>
      </c>
      <c r="F550">
        <v>77530</v>
      </c>
      <c r="G550">
        <v>95983</v>
      </c>
      <c r="H550">
        <v>104094</v>
      </c>
      <c r="I550">
        <v>107914</v>
      </c>
      <c r="J550">
        <v>87921</v>
      </c>
      <c r="K550">
        <v>72455</v>
      </c>
      <c r="L550">
        <v>56603</v>
      </c>
      <c r="M550">
        <v>428987</v>
      </c>
      <c r="N550" s="2">
        <v>3.5409227098801087E-2</v>
      </c>
    </row>
    <row r="551" spans="1:14" x14ac:dyDescent="0.25">
      <c r="A551" t="s">
        <v>60</v>
      </c>
      <c r="B551" t="s">
        <v>176</v>
      </c>
      <c r="C551">
        <v>19200</v>
      </c>
      <c r="D551">
        <v>20000</v>
      </c>
      <c r="E551">
        <v>18100</v>
      </c>
      <c r="F551">
        <v>17700</v>
      </c>
      <c r="G551">
        <v>10600</v>
      </c>
      <c r="H551">
        <v>7200</v>
      </c>
      <c r="I551">
        <v>10100</v>
      </c>
      <c r="J551">
        <v>15300</v>
      </c>
      <c r="K551">
        <v>17700</v>
      </c>
      <c r="L551">
        <v>17700</v>
      </c>
      <c r="M551">
        <v>68000</v>
      </c>
      <c r="N551" s="2">
        <v>5.6128214671271491E-3</v>
      </c>
    </row>
    <row r="552" spans="1:14" x14ac:dyDescent="0.25">
      <c r="A552" t="s">
        <v>60</v>
      </c>
      <c r="B552" t="s">
        <v>132</v>
      </c>
      <c r="C552">
        <v>91687</v>
      </c>
      <c r="D552">
        <v>91017</v>
      </c>
      <c r="E552">
        <v>90526</v>
      </c>
      <c r="F552">
        <v>91222</v>
      </c>
      <c r="G552">
        <v>92735</v>
      </c>
      <c r="H552">
        <v>86495</v>
      </c>
      <c r="I552">
        <v>90758</v>
      </c>
      <c r="J552">
        <v>92132</v>
      </c>
      <c r="K552">
        <v>91120</v>
      </c>
      <c r="L552">
        <v>91246</v>
      </c>
      <c r="M552">
        <v>451751</v>
      </c>
      <c r="N552" s="2">
        <v>3.7288201626414073E-2</v>
      </c>
    </row>
    <row r="553" spans="1:14" x14ac:dyDescent="0.25">
      <c r="A553" t="s">
        <v>60</v>
      </c>
      <c r="B553" t="s">
        <v>151</v>
      </c>
      <c r="C553">
        <v>840</v>
      </c>
      <c r="D553">
        <v>570</v>
      </c>
      <c r="E553">
        <v>780</v>
      </c>
      <c r="F553">
        <v>840</v>
      </c>
      <c r="G553">
        <v>770</v>
      </c>
      <c r="H553">
        <v>720</v>
      </c>
      <c r="I553">
        <v>700</v>
      </c>
      <c r="J553">
        <v>720</v>
      </c>
      <c r="K553">
        <v>700</v>
      </c>
      <c r="L553">
        <v>700</v>
      </c>
      <c r="M553">
        <v>3540</v>
      </c>
      <c r="N553" s="2">
        <v>2.9219688225926629E-4</v>
      </c>
    </row>
    <row r="554" spans="1:14" x14ac:dyDescent="0.25">
      <c r="A554" t="s">
        <v>60</v>
      </c>
      <c r="B554" t="s">
        <v>107</v>
      </c>
      <c r="C554">
        <v>254100</v>
      </c>
      <c r="D554">
        <v>241800</v>
      </c>
      <c r="E554">
        <v>234700</v>
      </c>
      <c r="F554">
        <v>231200</v>
      </c>
      <c r="G554">
        <v>188700</v>
      </c>
      <c r="H554">
        <v>212300</v>
      </c>
      <c r="I554">
        <v>158000</v>
      </c>
      <c r="J554">
        <v>166300</v>
      </c>
      <c r="K554">
        <v>172400</v>
      </c>
      <c r="L554">
        <v>121100</v>
      </c>
      <c r="M554">
        <v>830100</v>
      </c>
      <c r="N554" s="2">
        <v>6.8517692645033032E-2</v>
      </c>
    </row>
    <row r="555" spans="1:14" x14ac:dyDescent="0.25">
      <c r="A555" t="s">
        <v>60</v>
      </c>
      <c r="B555" t="s">
        <v>137</v>
      </c>
      <c r="C555">
        <v>32900</v>
      </c>
      <c r="D555">
        <v>32200</v>
      </c>
      <c r="E555">
        <v>34100</v>
      </c>
      <c r="F555">
        <v>41900</v>
      </c>
      <c r="G555">
        <v>42100</v>
      </c>
      <c r="H555">
        <v>43000</v>
      </c>
      <c r="I555">
        <v>39500</v>
      </c>
      <c r="J555">
        <v>39100</v>
      </c>
      <c r="K555">
        <v>29100</v>
      </c>
      <c r="L555">
        <v>38000</v>
      </c>
      <c r="M555">
        <v>188700</v>
      </c>
      <c r="N555" s="2">
        <v>1.557557957127784E-2</v>
      </c>
    </row>
    <row r="556" spans="1:14" x14ac:dyDescent="0.25">
      <c r="A556" t="s">
        <v>60</v>
      </c>
      <c r="B556" t="s">
        <v>122</v>
      </c>
      <c r="C556">
        <v>20800</v>
      </c>
      <c r="D556">
        <v>21200</v>
      </c>
      <c r="E556">
        <v>18600</v>
      </c>
      <c r="F556">
        <v>17952</v>
      </c>
      <c r="G556">
        <v>18100</v>
      </c>
      <c r="H556">
        <v>15300</v>
      </c>
      <c r="I556">
        <v>15807</v>
      </c>
      <c r="J556">
        <v>14200</v>
      </c>
      <c r="K556">
        <v>14719</v>
      </c>
      <c r="L556">
        <v>15700</v>
      </c>
      <c r="M556">
        <v>75726</v>
      </c>
      <c r="N556" s="2">
        <v>6.25053703558339E-3</v>
      </c>
    </row>
    <row r="557" spans="1:14" x14ac:dyDescent="0.25">
      <c r="A557" t="s">
        <v>60</v>
      </c>
      <c r="B557" t="s">
        <v>140</v>
      </c>
      <c r="C557">
        <v>39400</v>
      </c>
      <c r="D557">
        <v>42400</v>
      </c>
      <c r="E557">
        <v>39100</v>
      </c>
      <c r="F557">
        <v>38804</v>
      </c>
      <c r="G557">
        <v>43104</v>
      </c>
      <c r="H557">
        <v>37090</v>
      </c>
      <c r="I557">
        <v>38211</v>
      </c>
      <c r="J557">
        <v>34976</v>
      </c>
      <c r="K557">
        <v>35177</v>
      </c>
      <c r="L557">
        <v>30654</v>
      </c>
      <c r="M557">
        <v>176108</v>
      </c>
      <c r="N557" s="2">
        <v>1.4536217101953351E-2</v>
      </c>
    </row>
    <row r="558" spans="1:14" x14ac:dyDescent="0.25">
      <c r="A558" t="s">
        <v>59</v>
      </c>
      <c r="B558" t="s">
        <v>153</v>
      </c>
      <c r="C558">
        <v>750</v>
      </c>
      <c r="D558">
        <v>2151</v>
      </c>
      <c r="E558">
        <v>5091</v>
      </c>
      <c r="F558">
        <v>6280</v>
      </c>
      <c r="G558">
        <v>3952</v>
      </c>
      <c r="H558">
        <v>5323</v>
      </c>
      <c r="I558">
        <v>4204</v>
      </c>
      <c r="J558">
        <v>2830</v>
      </c>
      <c r="K558">
        <v>3764</v>
      </c>
      <c r="L558">
        <v>4178</v>
      </c>
      <c r="M558">
        <v>20299</v>
      </c>
      <c r="N558" s="2">
        <v>1.627461355910461E-3</v>
      </c>
    </row>
    <row r="559" spans="1:14" x14ac:dyDescent="0.25">
      <c r="A559" t="s">
        <v>59</v>
      </c>
      <c r="B559" t="s">
        <v>83</v>
      </c>
      <c r="C559">
        <v>304152</v>
      </c>
      <c r="D559">
        <v>292619</v>
      </c>
      <c r="E559">
        <v>266181</v>
      </c>
      <c r="F559">
        <v>225227</v>
      </c>
      <c r="G559">
        <v>203135</v>
      </c>
      <c r="H559">
        <v>185466</v>
      </c>
      <c r="I559">
        <v>160022</v>
      </c>
      <c r="J559">
        <v>158751</v>
      </c>
      <c r="K559">
        <v>169344</v>
      </c>
      <c r="L559">
        <v>150876</v>
      </c>
      <c r="M559">
        <v>824459</v>
      </c>
      <c r="N559" s="2">
        <v>6.6100554807260598E-2</v>
      </c>
    </row>
    <row r="560" spans="1:14" x14ac:dyDescent="0.25">
      <c r="A560" t="s">
        <v>59</v>
      </c>
      <c r="B560" t="s">
        <v>85</v>
      </c>
      <c r="C560">
        <v>89600</v>
      </c>
      <c r="D560">
        <v>77400</v>
      </c>
      <c r="E560">
        <v>85600</v>
      </c>
      <c r="F560">
        <v>182900</v>
      </c>
      <c r="G560">
        <v>134600</v>
      </c>
      <c r="H560">
        <v>83200</v>
      </c>
      <c r="I560">
        <v>65300</v>
      </c>
      <c r="J560">
        <v>55700</v>
      </c>
      <c r="K560">
        <v>77100</v>
      </c>
      <c r="L560">
        <v>76000</v>
      </c>
      <c r="M560">
        <v>357300</v>
      </c>
      <c r="N560" s="2">
        <v>2.8646334423705989E-2</v>
      </c>
    </row>
    <row r="561" spans="1:14" x14ac:dyDescent="0.25">
      <c r="A561" t="s">
        <v>59</v>
      </c>
      <c r="B561" t="s">
        <v>116</v>
      </c>
      <c r="C561">
        <v>211701</v>
      </c>
      <c r="D561">
        <v>227743</v>
      </c>
      <c r="E561">
        <v>228867</v>
      </c>
      <c r="F561">
        <v>234519</v>
      </c>
      <c r="G561">
        <v>235034</v>
      </c>
      <c r="H561">
        <v>214302</v>
      </c>
      <c r="I561">
        <v>185962</v>
      </c>
      <c r="J561">
        <v>180904</v>
      </c>
      <c r="K561">
        <v>167243</v>
      </c>
      <c r="L561">
        <v>133581</v>
      </c>
      <c r="M561">
        <v>881992</v>
      </c>
      <c r="N561" s="2">
        <v>7.0713231992816372E-2</v>
      </c>
    </row>
    <row r="562" spans="1:14" x14ac:dyDescent="0.25">
      <c r="A562" t="s">
        <v>59</v>
      </c>
      <c r="B562" t="s">
        <v>86</v>
      </c>
      <c r="C562">
        <v>93300</v>
      </c>
      <c r="D562">
        <v>93151</v>
      </c>
      <c r="E562">
        <v>101067</v>
      </c>
      <c r="F562">
        <v>101403</v>
      </c>
      <c r="G562">
        <v>100219</v>
      </c>
      <c r="H562">
        <v>102300</v>
      </c>
      <c r="I562">
        <v>108200</v>
      </c>
      <c r="J562">
        <v>104674</v>
      </c>
      <c r="K562">
        <v>104674</v>
      </c>
      <c r="L562">
        <v>98602</v>
      </c>
      <c r="M562">
        <v>518450</v>
      </c>
      <c r="N562" s="2">
        <v>4.1566448592136492E-2</v>
      </c>
    </row>
    <row r="563" spans="1:14" x14ac:dyDescent="0.25">
      <c r="A563" t="s">
        <v>59</v>
      </c>
      <c r="B563" t="s">
        <v>87</v>
      </c>
      <c r="C563">
        <v>52372</v>
      </c>
      <c r="D563">
        <v>49320</v>
      </c>
      <c r="E563">
        <v>41221</v>
      </c>
      <c r="F563">
        <v>36671</v>
      </c>
      <c r="G563">
        <v>37091</v>
      </c>
      <c r="H563">
        <v>40606</v>
      </c>
      <c r="I563">
        <v>43055</v>
      </c>
      <c r="J563">
        <v>40571</v>
      </c>
      <c r="K563">
        <v>36094</v>
      </c>
      <c r="L563">
        <v>38300</v>
      </c>
      <c r="M563">
        <v>198626</v>
      </c>
      <c r="N563" s="2">
        <v>1.5924732217304859E-2</v>
      </c>
    </row>
    <row r="564" spans="1:14" x14ac:dyDescent="0.25">
      <c r="A564" t="s">
        <v>59</v>
      </c>
      <c r="B564" t="s">
        <v>160</v>
      </c>
      <c r="C564">
        <v>64600</v>
      </c>
      <c r="D564">
        <v>55600</v>
      </c>
      <c r="E564">
        <v>51600</v>
      </c>
      <c r="F564">
        <v>50000</v>
      </c>
      <c r="G564">
        <v>47800</v>
      </c>
      <c r="H564">
        <v>49300</v>
      </c>
      <c r="I564">
        <v>49000</v>
      </c>
      <c r="J564">
        <v>45500</v>
      </c>
      <c r="K564">
        <v>50000</v>
      </c>
      <c r="L564">
        <v>48000</v>
      </c>
      <c r="M564">
        <v>241800</v>
      </c>
      <c r="N564" s="2">
        <v>1.9386184337117571E-2</v>
      </c>
    </row>
    <row r="565" spans="1:14" x14ac:dyDescent="0.25">
      <c r="A565" t="s">
        <v>59</v>
      </c>
      <c r="B565" t="s">
        <v>89</v>
      </c>
      <c r="C565">
        <v>15186</v>
      </c>
      <c r="D565">
        <v>9355</v>
      </c>
      <c r="E565">
        <v>0</v>
      </c>
      <c r="F565">
        <v>0</v>
      </c>
      <c r="G565">
        <v>9913</v>
      </c>
      <c r="H565">
        <v>15632</v>
      </c>
      <c r="I565">
        <v>19214</v>
      </c>
      <c r="J565">
        <v>28450</v>
      </c>
      <c r="K565">
        <v>22005</v>
      </c>
      <c r="L565">
        <v>27848</v>
      </c>
      <c r="M565">
        <v>113149</v>
      </c>
      <c r="N565" s="2">
        <v>9.0716599320120588E-3</v>
      </c>
    </row>
    <row r="566" spans="1:14" x14ac:dyDescent="0.25">
      <c r="A566" t="s">
        <v>59</v>
      </c>
      <c r="B566" t="s">
        <v>154</v>
      </c>
      <c r="C566">
        <v>19073</v>
      </c>
      <c r="D566">
        <v>18560</v>
      </c>
      <c r="E566">
        <v>19281</v>
      </c>
      <c r="F566">
        <v>9383</v>
      </c>
      <c r="G566">
        <v>20654</v>
      </c>
      <c r="H566">
        <v>34641</v>
      </c>
      <c r="I566">
        <v>43572</v>
      </c>
      <c r="J566">
        <v>38530</v>
      </c>
      <c r="K566">
        <v>41429</v>
      </c>
      <c r="L566">
        <v>42163</v>
      </c>
      <c r="M566">
        <v>200335</v>
      </c>
      <c r="N566" s="2">
        <v>1.6061750368802519E-2</v>
      </c>
    </row>
    <row r="567" spans="1:14" x14ac:dyDescent="0.25">
      <c r="A567" t="s">
        <v>59</v>
      </c>
      <c r="B567" t="s">
        <v>93</v>
      </c>
      <c r="C567">
        <v>20600</v>
      </c>
      <c r="D567">
        <v>19800</v>
      </c>
      <c r="E567">
        <v>20600</v>
      </c>
      <c r="F567">
        <v>20800</v>
      </c>
      <c r="G567">
        <v>21800</v>
      </c>
      <c r="H567">
        <v>19100</v>
      </c>
      <c r="I567">
        <v>17900</v>
      </c>
      <c r="J567">
        <v>13700</v>
      </c>
      <c r="K567">
        <v>7100</v>
      </c>
      <c r="L567">
        <v>4800</v>
      </c>
      <c r="M567">
        <v>62600</v>
      </c>
      <c r="N567" s="2">
        <v>5.0189211724712976E-3</v>
      </c>
    </row>
    <row r="568" spans="1:14" x14ac:dyDescent="0.25">
      <c r="A568" t="s">
        <v>59</v>
      </c>
      <c r="B568" t="s">
        <v>196</v>
      </c>
      <c r="C568">
        <v>2440</v>
      </c>
      <c r="D568">
        <v>9120</v>
      </c>
      <c r="E568">
        <v>37222</v>
      </c>
      <c r="F568">
        <v>46298</v>
      </c>
      <c r="G568">
        <v>36939</v>
      </c>
      <c r="H568">
        <v>54517</v>
      </c>
      <c r="I568">
        <v>39200</v>
      </c>
      <c r="J568">
        <v>36300</v>
      </c>
      <c r="K568">
        <v>50300</v>
      </c>
      <c r="L568">
        <v>64900</v>
      </c>
      <c r="M568">
        <v>245217</v>
      </c>
      <c r="N568" s="2">
        <v>1.9660140465653259E-2</v>
      </c>
    </row>
    <row r="569" spans="1:14" x14ac:dyDescent="0.25">
      <c r="A569" t="s">
        <v>59</v>
      </c>
      <c r="B569" t="s">
        <v>98</v>
      </c>
      <c r="C569">
        <v>1013000</v>
      </c>
      <c r="D569">
        <v>1340000</v>
      </c>
      <c r="E569">
        <v>188000</v>
      </c>
      <c r="F569">
        <v>129600</v>
      </c>
      <c r="G569">
        <v>204000</v>
      </c>
      <c r="H569">
        <v>355000</v>
      </c>
      <c r="I569">
        <v>651600</v>
      </c>
      <c r="J569">
        <v>1036200</v>
      </c>
      <c r="K569">
        <v>816700</v>
      </c>
      <c r="L569">
        <v>1173200</v>
      </c>
      <c r="M569">
        <v>4032700</v>
      </c>
      <c r="N569" s="2">
        <v>0.32331954332627799</v>
      </c>
    </row>
    <row r="570" spans="1:14" x14ac:dyDescent="0.25">
      <c r="A570" t="s">
        <v>59</v>
      </c>
      <c r="B570" t="s">
        <v>100</v>
      </c>
      <c r="D570">
        <v>0</v>
      </c>
      <c r="E570">
        <v>0</v>
      </c>
      <c r="F570">
        <v>0</v>
      </c>
      <c r="G570">
        <v>0</v>
      </c>
      <c r="H570">
        <v>400</v>
      </c>
      <c r="I570">
        <v>12300</v>
      </c>
      <c r="J570">
        <v>9100</v>
      </c>
      <c r="K570">
        <v>18600</v>
      </c>
      <c r="L570">
        <v>22000</v>
      </c>
      <c r="M570">
        <v>62400</v>
      </c>
      <c r="N570" s="2">
        <v>5.0028862805464704E-3</v>
      </c>
    </row>
    <row r="571" spans="1:14" x14ac:dyDescent="0.25">
      <c r="A571" t="s">
        <v>59</v>
      </c>
      <c r="B571" t="s">
        <v>230</v>
      </c>
      <c r="C571">
        <v>4436</v>
      </c>
      <c r="D571">
        <v>7607</v>
      </c>
      <c r="E571">
        <v>6724</v>
      </c>
      <c r="F571">
        <v>7418</v>
      </c>
      <c r="G571">
        <v>4265</v>
      </c>
      <c r="H571">
        <v>7120</v>
      </c>
      <c r="I571">
        <v>4791</v>
      </c>
      <c r="J571">
        <v>3314</v>
      </c>
      <c r="K571">
        <v>3958</v>
      </c>
      <c r="L571">
        <v>4735</v>
      </c>
      <c r="M571">
        <v>23918</v>
      </c>
      <c r="N571" s="2">
        <v>1.917612725290231E-3</v>
      </c>
    </row>
    <row r="572" spans="1:14" x14ac:dyDescent="0.25">
      <c r="A572" t="s">
        <v>59</v>
      </c>
      <c r="B572" t="s">
        <v>141</v>
      </c>
      <c r="C572">
        <v>5695</v>
      </c>
      <c r="D572">
        <v>25148</v>
      </c>
      <c r="E572">
        <v>37053</v>
      </c>
      <c r="F572">
        <v>47271</v>
      </c>
      <c r="G572">
        <v>42105</v>
      </c>
      <c r="H572">
        <v>35474</v>
      </c>
      <c r="I572">
        <v>33183</v>
      </c>
      <c r="J572">
        <v>33736</v>
      </c>
      <c r="K572">
        <v>9908</v>
      </c>
      <c r="L572">
        <v>29285</v>
      </c>
      <c r="M572">
        <v>141586</v>
      </c>
      <c r="N572" s="2">
        <v>1.135158104034379E-2</v>
      </c>
    </row>
    <row r="573" spans="1:14" x14ac:dyDescent="0.25">
      <c r="A573" t="s">
        <v>59</v>
      </c>
      <c r="B573" t="s">
        <v>161</v>
      </c>
      <c r="C573">
        <v>288</v>
      </c>
      <c r="D573">
        <v>160</v>
      </c>
      <c r="E573">
        <v>0</v>
      </c>
      <c r="F573">
        <v>0</v>
      </c>
      <c r="G573">
        <v>0</v>
      </c>
      <c r="H573">
        <v>196</v>
      </c>
      <c r="I573">
        <v>126</v>
      </c>
      <c r="J573">
        <v>131</v>
      </c>
      <c r="K573">
        <v>100</v>
      </c>
      <c r="L573">
        <v>100</v>
      </c>
      <c r="M573">
        <v>653</v>
      </c>
      <c r="N573" s="2">
        <v>5.2353922134564811E-5</v>
      </c>
    </row>
    <row r="574" spans="1:14" x14ac:dyDescent="0.25">
      <c r="A574" t="s">
        <v>59</v>
      </c>
      <c r="B574" t="s">
        <v>174</v>
      </c>
      <c r="C574">
        <v>0</v>
      </c>
      <c r="D574">
        <v>9450</v>
      </c>
      <c r="E574">
        <v>19706</v>
      </c>
      <c r="F574">
        <v>22913</v>
      </c>
      <c r="G574">
        <v>22562</v>
      </c>
      <c r="H574">
        <v>21828</v>
      </c>
      <c r="I574">
        <v>11475</v>
      </c>
      <c r="J574">
        <v>16000</v>
      </c>
      <c r="K574">
        <v>22200</v>
      </c>
      <c r="L574">
        <v>20000</v>
      </c>
      <c r="M574">
        <v>91503</v>
      </c>
      <c r="N574" s="2">
        <v>7.3362035789878779E-3</v>
      </c>
    </row>
    <row r="575" spans="1:14" x14ac:dyDescent="0.25">
      <c r="A575" t="s">
        <v>59</v>
      </c>
      <c r="B575" t="s">
        <v>162</v>
      </c>
      <c r="C575">
        <v>131693</v>
      </c>
      <c r="D575">
        <v>164406</v>
      </c>
      <c r="E575">
        <v>175174</v>
      </c>
      <c r="F575">
        <v>193199</v>
      </c>
      <c r="G575">
        <v>204207</v>
      </c>
      <c r="H575">
        <v>215382</v>
      </c>
      <c r="I575">
        <v>216225</v>
      </c>
      <c r="J575">
        <v>208185</v>
      </c>
      <c r="K575">
        <v>199475</v>
      </c>
      <c r="L575">
        <v>186284</v>
      </c>
      <c r="M575">
        <v>1025551</v>
      </c>
      <c r="N575" s="2">
        <v>8.2222997241998594E-2</v>
      </c>
    </row>
    <row r="576" spans="1:14" x14ac:dyDescent="0.25">
      <c r="A576" t="s">
        <v>59</v>
      </c>
      <c r="B576" t="s">
        <v>132</v>
      </c>
      <c r="C576">
        <v>351</v>
      </c>
      <c r="D576">
        <v>296</v>
      </c>
      <c r="E576">
        <v>290</v>
      </c>
      <c r="F576">
        <v>300</v>
      </c>
      <c r="G576">
        <v>200</v>
      </c>
      <c r="H576">
        <v>200</v>
      </c>
      <c r="I576">
        <v>300</v>
      </c>
      <c r="J576">
        <v>200</v>
      </c>
      <c r="K576">
        <v>300</v>
      </c>
      <c r="L576">
        <v>200</v>
      </c>
      <c r="M576">
        <v>1200</v>
      </c>
      <c r="N576" s="2">
        <v>9.6209351548970557E-5</v>
      </c>
    </row>
    <row r="577" spans="1:14" x14ac:dyDescent="0.25">
      <c r="A577" t="s">
        <v>59</v>
      </c>
      <c r="B577" t="s">
        <v>155</v>
      </c>
      <c r="C577">
        <v>5283</v>
      </c>
      <c r="D577">
        <v>11369</v>
      </c>
      <c r="E577">
        <v>20987</v>
      </c>
      <c r="F577">
        <v>25582</v>
      </c>
      <c r="G577">
        <v>22269</v>
      </c>
      <c r="H577">
        <v>34666</v>
      </c>
      <c r="I577">
        <v>35355</v>
      </c>
      <c r="J577">
        <v>33091</v>
      </c>
      <c r="K577">
        <v>33650</v>
      </c>
      <c r="L577">
        <v>31600</v>
      </c>
      <c r="M577">
        <v>168362</v>
      </c>
      <c r="N577" s="2">
        <v>1.349833237123982E-2</v>
      </c>
    </row>
    <row r="578" spans="1:14" x14ac:dyDescent="0.25">
      <c r="A578" t="s">
        <v>59</v>
      </c>
      <c r="B578" t="s">
        <v>156</v>
      </c>
      <c r="C578">
        <v>317621</v>
      </c>
      <c r="D578">
        <v>315633</v>
      </c>
      <c r="E578">
        <v>393262</v>
      </c>
      <c r="F578">
        <v>418292</v>
      </c>
      <c r="G578">
        <v>300506</v>
      </c>
      <c r="H578">
        <v>339377</v>
      </c>
      <c r="I578">
        <v>344966</v>
      </c>
      <c r="J578">
        <v>323325</v>
      </c>
      <c r="K578">
        <v>328372</v>
      </c>
      <c r="L578">
        <v>386359</v>
      </c>
      <c r="M578">
        <v>1722399</v>
      </c>
      <c r="N578" s="2">
        <v>0.1380924090821628</v>
      </c>
    </row>
    <row r="579" spans="1:14" x14ac:dyDescent="0.25">
      <c r="A579" t="s">
        <v>59</v>
      </c>
      <c r="B579" t="s">
        <v>151</v>
      </c>
      <c r="C579">
        <v>840</v>
      </c>
      <c r="D579">
        <v>570</v>
      </c>
      <c r="E579">
        <v>780</v>
      </c>
      <c r="F579">
        <v>840</v>
      </c>
      <c r="G579">
        <v>770</v>
      </c>
      <c r="H579">
        <v>720</v>
      </c>
      <c r="I579">
        <v>700</v>
      </c>
      <c r="J579">
        <v>720</v>
      </c>
      <c r="K579">
        <v>710</v>
      </c>
      <c r="L579">
        <v>740</v>
      </c>
      <c r="M579">
        <v>3590</v>
      </c>
      <c r="N579" s="2">
        <v>2.8782631005067028E-4</v>
      </c>
    </row>
    <row r="580" spans="1:14" x14ac:dyDescent="0.25">
      <c r="A580" t="s">
        <v>59</v>
      </c>
      <c r="B580" t="s">
        <v>107</v>
      </c>
      <c r="C580">
        <v>268700</v>
      </c>
      <c r="D580">
        <v>264000</v>
      </c>
      <c r="E580">
        <v>264000</v>
      </c>
      <c r="F580">
        <v>261000</v>
      </c>
      <c r="G580">
        <v>223000</v>
      </c>
      <c r="H580">
        <v>221000</v>
      </c>
      <c r="I580">
        <v>218000</v>
      </c>
      <c r="J580">
        <v>223200</v>
      </c>
      <c r="K580">
        <v>237300</v>
      </c>
      <c r="L580">
        <v>190000</v>
      </c>
      <c r="M580">
        <v>1089500</v>
      </c>
      <c r="N580" s="2">
        <v>8.7350073760502855E-2</v>
      </c>
    </row>
    <row r="581" spans="1:14" x14ac:dyDescent="0.25">
      <c r="A581" t="s">
        <v>59</v>
      </c>
      <c r="B581" t="s">
        <v>137</v>
      </c>
      <c r="C581">
        <v>45945</v>
      </c>
      <c r="D581">
        <v>51208</v>
      </c>
      <c r="E581">
        <v>54956</v>
      </c>
      <c r="F581">
        <v>56689</v>
      </c>
      <c r="G581">
        <v>48994</v>
      </c>
      <c r="H581">
        <v>48383</v>
      </c>
      <c r="I581">
        <v>43236</v>
      </c>
      <c r="J581">
        <v>43443</v>
      </c>
      <c r="K581">
        <v>34908</v>
      </c>
      <c r="L581">
        <v>31846</v>
      </c>
      <c r="M581">
        <v>201816</v>
      </c>
      <c r="N581" s="2">
        <v>1.6180488743505871E-2</v>
      </c>
    </row>
    <row r="582" spans="1:14" x14ac:dyDescent="0.25">
      <c r="A582" t="s">
        <v>59</v>
      </c>
      <c r="B582" t="s">
        <v>112</v>
      </c>
      <c r="C582">
        <v>3805</v>
      </c>
      <c r="D582">
        <v>1076</v>
      </c>
      <c r="E582">
        <v>3034</v>
      </c>
      <c r="F582">
        <v>8637</v>
      </c>
      <c r="G582">
        <v>9337</v>
      </c>
      <c r="H582">
        <v>14770</v>
      </c>
      <c r="I582">
        <v>13559</v>
      </c>
      <c r="J582">
        <v>4742</v>
      </c>
      <c r="K582">
        <v>20201</v>
      </c>
      <c r="L582">
        <v>11647</v>
      </c>
      <c r="M582">
        <v>64919</v>
      </c>
      <c r="N582" s="2">
        <v>5.2048457443396833E-3</v>
      </c>
    </row>
    <row r="583" spans="1:14" x14ac:dyDescent="0.25">
      <c r="A583" t="s">
        <v>59</v>
      </c>
      <c r="B583" t="s">
        <v>113</v>
      </c>
      <c r="C583">
        <v>0</v>
      </c>
      <c r="D583">
        <v>0</v>
      </c>
      <c r="E583">
        <v>4093</v>
      </c>
      <c r="F583">
        <v>27167</v>
      </c>
      <c r="G583">
        <v>23417</v>
      </c>
      <c r="H583">
        <v>21302</v>
      </c>
      <c r="I583">
        <v>17974</v>
      </c>
      <c r="J583">
        <v>14297</v>
      </c>
      <c r="K583">
        <v>16718</v>
      </c>
      <c r="L583">
        <v>18353</v>
      </c>
      <c r="M583">
        <v>88644</v>
      </c>
      <c r="N583" s="2">
        <v>7.1069847989224553E-3</v>
      </c>
    </row>
    <row r="584" spans="1:14" x14ac:dyDescent="0.25">
      <c r="A584" t="s">
        <v>59</v>
      </c>
      <c r="B584" t="s">
        <v>143</v>
      </c>
      <c r="F584">
        <v>0</v>
      </c>
      <c r="G584">
        <v>0</v>
      </c>
      <c r="H584">
        <v>0</v>
      </c>
      <c r="I584">
        <v>487</v>
      </c>
      <c r="J584">
        <v>1110</v>
      </c>
      <c r="K584">
        <v>3226</v>
      </c>
      <c r="L584">
        <v>3834</v>
      </c>
      <c r="M584">
        <v>8657</v>
      </c>
      <c r="N584" s="2">
        <v>6.9407029696619846E-4</v>
      </c>
    </row>
    <row r="585" spans="1:14" x14ac:dyDescent="0.25">
      <c r="A585" t="s">
        <v>59</v>
      </c>
      <c r="B585" t="s">
        <v>158</v>
      </c>
      <c r="C585">
        <v>7899</v>
      </c>
      <c r="D585">
        <v>12962</v>
      </c>
      <c r="E585">
        <v>16633</v>
      </c>
      <c r="F585">
        <v>16109</v>
      </c>
      <c r="G585">
        <v>17743</v>
      </c>
      <c r="H585">
        <v>16617</v>
      </c>
      <c r="I585">
        <v>17850</v>
      </c>
      <c r="J585">
        <v>16279</v>
      </c>
      <c r="K585">
        <v>16480</v>
      </c>
      <c r="L585">
        <v>13949</v>
      </c>
      <c r="M585">
        <v>81175</v>
      </c>
      <c r="N585" s="2">
        <v>6.508161759989738E-3</v>
      </c>
    </row>
    <row r="586" spans="1:14" hidden="1" x14ac:dyDescent="0.25">
      <c r="A586" t="s">
        <v>58</v>
      </c>
      <c r="B586" t="s">
        <v>124</v>
      </c>
      <c r="C586">
        <v>4850</v>
      </c>
      <c r="D586">
        <v>3829</v>
      </c>
      <c r="E586">
        <v>1907</v>
      </c>
      <c r="F586">
        <v>1736</v>
      </c>
      <c r="G586">
        <v>2048</v>
      </c>
      <c r="H586">
        <v>1297</v>
      </c>
      <c r="I586">
        <v>728</v>
      </c>
      <c r="J586">
        <v>0</v>
      </c>
      <c r="K586">
        <v>0</v>
      </c>
      <c r="L586">
        <v>0</v>
      </c>
      <c r="M586">
        <v>2025</v>
      </c>
      <c r="N586" s="2">
        <v>1.376828887705836E-3</v>
      </c>
    </row>
    <row r="587" spans="1:14" hidden="1" x14ac:dyDescent="0.25">
      <c r="A587" t="s">
        <v>58</v>
      </c>
      <c r="B587" t="s">
        <v>164</v>
      </c>
      <c r="C587">
        <v>5446</v>
      </c>
      <c r="D587">
        <v>5934</v>
      </c>
      <c r="E587">
        <v>6022</v>
      </c>
      <c r="F587">
        <v>5324</v>
      </c>
      <c r="G587">
        <v>5438</v>
      </c>
      <c r="H587">
        <v>5886</v>
      </c>
      <c r="I587">
        <v>5666</v>
      </c>
      <c r="J587">
        <v>7360</v>
      </c>
      <c r="K587">
        <v>12691</v>
      </c>
      <c r="L587">
        <v>11310</v>
      </c>
      <c r="M587">
        <v>42913</v>
      </c>
      <c r="N587" s="2">
        <v>2.9177213855861989E-2</v>
      </c>
    </row>
    <row r="588" spans="1:14" hidden="1" x14ac:dyDescent="0.25">
      <c r="A588" t="s">
        <v>58</v>
      </c>
      <c r="B588" t="s">
        <v>85</v>
      </c>
      <c r="C588">
        <v>185</v>
      </c>
      <c r="D588">
        <v>200</v>
      </c>
      <c r="E588">
        <v>200</v>
      </c>
      <c r="F588">
        <v>200</v>
      </c>
      <c r="G588">
        <v>200</v>
      </c>
      <c r="H588">
        <v>200</v>
      </c>
      <c r="I588">
        <v>200</v>
      </c>
      <c r="J588">
        <v>200</v>
      </c>
      <c r="K588">
        <v>200</v>
      </c>
      <c r="L588">
        <v>200</v>
      </c>
      <c r="M588">
        <v>1000</v>
      </c>
      <c r="N588" s="2">
        <v>6.7991550010164739E-4</v>
      </c>
    </row>
    <row r="589" spans="1:14" hidden="1" x14ac:dyDescent="0.25">
      <c r="A589" t="s">
        <v>58</v>
      </c>
      <c r="B589" t="s">
        <v>116</v>
      </c>
      <c r="C589">
        <v>8954</v>
      </c>
      <c r="D589">
        <v>8952</v>
      </c>
      <c r="E589">
        <v>8681</v>
      </c>
      <c r="F589">
        <v>1983</v>
      </c>
      <c r="G589">
        <v>2883</v>
      </c>
      <c r="H589">
        <v>4941</v>
      </c>
      <c r="I589">
        <v>5036</v>
      </c>
      <c r="J589">
        <v>3955</v>
      </c>
      <c r="K589">
        <v>2671</v>
      </c>
      <c r="L589">
        <v>2023</v>
      </c>
      <c r="M589">
        <v>18626</v>
      </c>
      <c r="N589" s="2">
        <v>1.2664106104893279E-2</v>
      </c>
    </row>
    <row r="590" spans="1:14" hidden="1" x14ac:dyDescent="0.25">
      <c r="A590" t="s">
        <v>58</v>
      </c>
      <c r="B590" t="s">
        <v>145</v>
      </c>
      <c r="C590">
        <v>34793</v>
      </c>
      <c r="D590">
        <v>38433</v>
      </c>
      <c r="E590">
        <v>48898</v>
      </c>
      <c r="F590">
        <v>52398</v>
      </c>
      <c r="G590">
        <v>55834</v>
      </c>
      <c r="H590">
        <v>62454</v>
      </c>
      <c r="I590">
        <v>60248</v>
      </c>
      <c r="J590">
        <v>53541</v>
      </c>
      <c r="K590">
        <v>59319</v>
      </c>
      <c r="L590">
        <v>49403</v>
      </c>
      <c r="M590">
        <v>284965</v>
      </c>
      <c r="N590" s="2">
        <v>0.19375212048646601</v>
      </c>
    </row>
    <row r="591" spans="1:14" hidden="1" x14ac:dyDescent="0.25">
      <c r="A591" t="s">
        <v>58</v>
      </c>
      <c r="B591" t="s">
        <v>86</v>
      </c>
      <c r="C591">
        <v>120870</v>
      </c>
      <c r="D591">
        <v>122265</v>
      </c>
      <c r="E591">
        <v>128538</v>
      </c>
      <c r="F591">
        <v>135270</v>
      </c>
      <c r="G591">
        <v>129357</v>
      </c>
      <c r="H591">
        <v>117104</v>
      </c>
      <c r="I591">
        <v>113308</v>
      </c>
      <c r="J591">
        <v>104435</v>
      </c>
      <c r="K591">
        <v>120000</v>
      </c>
      <c r="L591">
        <v>130000</v>
      </c>
      <c r="M591">
        <v>584847</v>
      </c>
      <c r="N591" s="2">
        <v>0.39764654048794817</v>
      </c>
    </row>
    <row r="592" spans="1:14" hidden="1" x14ac:dyDescent="0.25">
      <c r="A592" t="s">
        <v>58</v>
      </c>
      <c r="B592" t="s">
        <v>99</v>
      </c>
      <c r="C592">
        <v>3512</v>
      </c>
      <c r="D592">
        <v>3470</v>
      </c>
      <c r="E592">
        <v>4000</v>
      </c>
      <c r="F592">
        <v>6705</v>
      </c>
      <c r="G592">
        <v>6975</v>
      </c>
      <c r="H592">
        <v>7767</v>
      </c>
      <c r="I592">
        <v>7662</v>
      </c>
      <c r="J592">
        <v>8711</v>
      </c>
      <c r="K592">
        <v>6762</v>
      </c>
      <c r="L592">
        <v>6800</v>
      </c>
      <c r="M592">
        <v>37702</v>
      </c>
      <c r="N592" s="2">
        <v>2.5634174184832308E-2</v>
      </c>
    </row>
    <row r="593" spans="1:14" hidden="1" x14ac:dyDescent="0.25">
      <c r="A593" t="s">
        <v>58</v>
      </c>
      <c r="B593" t="s">
        <v>102</v>
      </c>
      <c r="F593">
        <v>0</v>
      </c>
      <c r="G593">
        <v>0</v>
      </c>
      <c r="H593">
        <v>0</v>
      </c>
      <c r="I593">
        <v>149</v>
      </c>
      <c r="J593">
        <v>258</v>
      </c>
      <c r="K593">
        <v>400</v>
      </c>
      <c r="L593">
        <v>396</v>
      </c>
      <c r="M593">
        <v>1203</v>
      </c>
      <c r="N593" s="2">
        <v>8.1793834662228181E-4</v>
      </c>
    </row>
    <row r="594" spans="1:14" hidden="1" x14ac:dyDescent="0.25">
      <c r="A594" t="s">
        <v>58</v>
      </c>
      <c r="B594" t="s">
        <v>170</v>
      </c>
      <c r="H594">
        <v>21</v>
      </c>
      <c r="I594">
        <v>20</v>
      </c>
      <c r="J594">
        <v>23</v>
      </c>
      <c r="K594">
        <v>20</v>
      </c>
      <c r="L594">
        <v>15</v>
      </c>
      <c r="M594">
        <v>99</v>
      </c>
      <c r="N594" s="2">
        <v>6.7311634510063096E-5</v>
      </c>
    </row>
    <row r="595" spans="1:14" hidden="1" x14ac:dyDescent="0.25">
      <c r="A595" t="s">
        <v>58</v>
      </c>
      <c r="B595" t="s">
        <v>150</v>
      </c>
      <c r="C595">
        <v>11366</v>
      </c>
      <c r="D595">
        <v>12562</v>
      </c>
      <c r="E595">
        <v>14370</v>
      </c>
      <c r="F595">
        <v>11327</v>
      </c>
      <c r="G595">
        <v>11896</v>
      </c>
      <c r="H595">
        <v>13985</v>
      </c>
      <c r="I595">
        <v>20265</v>
      </c>
      <c r="J595">
        <v>21694</v>
      </c>
      <c r="K595">
        <v>20577</v>
      </c>
      <c r="L595">
        <v>16319</v>
      </c>
      <c r="M595">
        <v>92840</v>
      </c>
      <c r="N595" s="2">
        <v>6.3123355029436945E-2</v>
      </c>
    </row>
    <row r="596" spans="1:14" hidden="1" x14ac:dyDescent="0.25">
      <c r="A596" t="s">
        <v>58</v>
      </c>
      <c r="B596" t="s">
        <v>173</v>
      </c>
      <c r="C596">
        <v>1904</v>
      </c>
      <c r="D596">
        <v>1819</v>
      </c>
      <c r="E596">
        <v>1999</v>
      </c>
      <c r="F596">
        <v>2557</v>
      </c>
      <c r="G596">
        <v>2431</v>
      </c>
      <c r="H596">
        <v>2707</v>
      </c>
      <c r="I596">
        <v>2579</v>
      </c>
      <c r="J596">
        <v>2492</v>
      </c>
      <c r="K596">
        <v>2889</v>
      </c>
      <c r="L596">
        <v>2973</v>
      </c>
      <c r="M596">
        <v>13640</v>
      </c>
      <c r="N596" s="2">
        <v>9.2740474213864697E-3</v>
      </c>
    </row>
    <row r="597" spans="1:14" hidden="1" x14ac:dyDescent="0.25">
      <c r="A597" t="s">
        <v>58</v>
      </c>
      <c r="B597" t="s">
        <v>132</v>
      </c>
      <c r="C597">
        <v>4</v>
      </c>
      <c r="D597">
        <v>8</v>
      </c>
      <c r="E597">
        <v>2</v>
      </c>
      <c r="F597">
        <v>1</v>
      </c>
      <c r="G597">
        <v>2</v>
      </c>
      <c r="H597">
        <v>2</v>
      </c>
      <c r="I597">
        <v>2</v>
      </c>
      <c r="J597">
        <v>2</v>
      </c>
      <c r="K597">
        <v>2</v>
      </c>
      <c r="L597">
        <v>2</v>
      </c>
      <c r="M597">
        <v>10</v>
      </c>
      <c r="N597" s="2">
        <v>6.7991550010164737E-6</v>
      </c>
    </row>
    <row r="598" spans="1:14" hidden="1" x14ac:dyDescent="0.25">
      <c r="A598" t="s">
        <v>58</v>
      </c>
      <c r="B598" t="s">
        <v>146</v>
      </c>
      <c r="C598">
        <v>16790</v>
      </c>
      <c r="D598">
        <v>18140</v>
      </c>
      <c r="E598">
        <v>17018</v>
      </c>
      <c r="F598">
        <v>20153</v>
      </c>
      <c r="G598">
        <v>25757</v>
      </c>
      <c r="H598">
        <v>28141</v>
      </c>
      <c r="I598">
        <v>28034</v>
      </c>
      <c r="J598">
        <v>30441</v>
      </c>
      <c r="K598">
        <v>32185</v>
      </c>
      <c r="L598">
        <v>34148</v>
      </c>
      <c r="M598">
        <v>152949</v>
      </c>
      <c r="N598" s="2">
        <v>0.10399239582504689</v>
      </c>
    </row>
    <row r="599" spans="1:14" hidden="1" x14ac:dyDescent="0.25">
      <c r="A599" t="s">
        <v>58</v>
      </c>
      <c r="B599" t="s">
        <v>151</v>
      </c>
      <c r="D599">
        <v>1310</v>
      </c>
      <c r="E599">
        <v>1330</v>
      </c>
      <c r="F599">
        <v>1360</v>
      </c>
      <c r="G599">
        <v>1320</v>
      </c>
      <c r="H599">
        <v>1220</v>
      </c>
      <c r="I599">
        <v>1190</v>
      </c>
      <c r="J599">
        <v>1230</v>
      </c>
      <c r="K599">
        <v>1210</v>
      </c>
      <c r="L599">
        <v>1230</v>
      </c>
      <c r="M599">
        <v>6080</v>
      </c>
      <c r="N599" s="2">
        <v>4.1338862406180158E-3</v>
      </c>
    </row>
    <row r="600" spans="1:14" hidden="1" x14ac:dyDescent="0.25">
      <c r="A600" t="s">
        <v>58</v>
      </c>
      <c r="B600" t="s">
        <v>107</v>
      </c>
      <c r="C600">
        <v>4838</v>
      </c>
      <c r="D600">
        <v>3605</v>
      </c>
      <c r="E600">
        <v>3114</v>
      </c>
      <c r="F600">
        <v>3254</v>
      </c>
      <c r="G600">
        <v>3359</v>
      </c>
      <c r="H600">
        <v>3227</v>
      </c>
      <c r="I600">
        <v>2262</v>
      </c>
      <c r="J600">
        <v>1989</v>
      </c>
      <c r="K600">
        <v>1707</v>
      </c>
      <c r="L600">
        <v>2000</v>
      </c>
      <c r="M600">
        <v>11185</v>
      </c>
      <c r="N600" s="2">
        <v>7.6048548686369257E-3</v>
      </c>
    </row>
    <row r="601" spans="1:14" hidden="1" x14ac:dyDescent="0.25">
      <c r="A601" t="s">
        <v>58</v>
      </c>
      <c r="B601" t="s">
        <v>113</v>
      </c>
      <c r="C601">
        <v>61500</v>
      </c>
      <c r="D601">
        <v>61000</v>
      </c>
      <c r="E601">
        <v>68200</v>
      </c>
      <c r="F601">
        <v>47400</v>
      </c>
      <c r="G601">
        <v>36200</v>
      </c>
      <c r="H601">
        <v>40700</v>
      </c>
      <c r="I601">
        <v>41400</v>
      </c>
      <c r="J601">
        <v>43600</v>
      </c>
      <c r="K601">
        <v>51100</v>
      </c>
      <c r="L601">
        <v>41100</v>
      </c>
      <c r="M601">
        <v>217900</v>
      </c>
      <c r="N601" s="2">
        <v>0.14815358747214899</v>
      </c>
    </row>
    <row r="602" spans="1:14" hidden="1" x14ac:dyDescent="0.25">
      <c r="A602" t="s">
        <v>58</v>
      </c>
      <c r="B602" t="s">
        <v>180</v>
      </c>
      <c r="C602">
        <v>560</v>
      </c>
      <c r="D602">
        <v>490</v>
      </c>
      <c r="E602">
        <v>450</v>
      </c>
      <c r="F602">
        <v>570</v>
      </c>
      <c r="G602">
        <v>620</v>
      </c>
      <c r="H602">
        <v>700</v>
      </c>
      <c r="I602">
        <v>696</v>
      </c>
      <c r="J602">
        <v>666</v>
      </c>
      <c r="K602">
        <v>725</v>
      </c>
      <c r="L602">
        <v>0</v>
      </c>
      <c r="M602">
        <v>2787</v>
      </c>
      <c r="N602" s="2">
        <v>1.894924498783291E-3</v>
      </c>
    </row>
    <row r="603" spans="1:14" hidden="1" x14ac:dyDescent="0.25">
      <c r="A603" t="s">
        <v>57</v>
      </c>
      <c r="B603" t="s">
        <v>83</v>
      </c>
      <c r="C603">
        <v>7178975</v>
      </c>
      <c r="D603">
        <v>7425985</v>
      </c>
      <c r="E603">
        <v>7587207</v>
      </c>
      <c r="F603">
        <v>6281497</v>
      </c>
      <c r="G603">
        <v>5327566</v>
      </c>
      <c r="H603">
        <v>6172266</v>
      </c>
      <c r="I603">
        <v>7212118</v>
      </c>
      <c r="J603">
        <v>6649432</v>
      </c>
      <c r="K603">
        <v>6425848</v>
      </c>
      <c r="L603">
        <v>6188587</v>
      </c>
      <c r="M603">
        <v>32648251</v>
      </c>
      <c r="N603" s="2">
        <v>0.11966302713727529</v>
      </c>
    </row>
    <row r="604" spans="1:14" hidden="1" x14ac:dyDescent="0.25">
      <c r="A604" t="s">
        <v>57</v>
      </c>
      <c r="B604" t="s">
        <v>144</v>
      </c>
      <c r="F604">
        <v>0</v>
      </c>
      <c r="G604">
        <v>0</v>
      </c>
      <c r="H604">
        <v>0</v>
      </c>
      <c r="I604">
        <v>550</v>
      </c>
      <c r="J604">
        <v>3550</v>
      </c>
      <c r="K604">
        <v>4700</v>
      </c>
      <c r="L604">
        <v>5100</v>
      </c>
      <c r="M604">
        <v>13900</v>
      </c>
      <c r="N604" s="2">
        <v>5.0946559961454778E-5</v>
      </c>
    </row>
    <row r="605" spans="1:14" hidden="1" x14ac:dyDescent="0.25">
      <c r="A605" t="s">
        <v>57</v>
      </c>
      <c r="B605" t="s">
        <v>85</v>
      </c>
      <c r="C605">
        <v>2796000</v>
      </c>
      <c r="D605">
        <v>2833000</v>
      </c>
      <c r="E605">
        <v>2723000</v>
      </c>
      <c r="F605">
        <v>2816675</v>
      </c>
      <c r="G605">
        <v>2880718</v>
      </c>
      <c r="H605">
        <v>3273029</v>
      </c>
      <c r="I605">
        <v>3189000</v>
      </c>
      <c r="J605">
        <v>3726000</v>
      </c>
      <c r="K605">
        <v>2385000</v>
      </c>
      <c r="L605">
        <v>1775217</v>
      </c>
      <c r="M605">
        <v>14348246</v>
      </c>
      <c r="N605" s="2">
        <v>5.2589480228827611E-2</v>
      </c>
    </row>
    <row r="606" spans="1:14" hidden="1" x14ac:dyDescent="0.25">
      <c r="A606" t="s">
        <v>57</v>
      </c>
      <c r="B606" t="s">
        <v>147</v>
      </c>
      <c r="C606">
        <v>39100</v>
      </c>
      <c r="D606">
        <v>103600</v>
      </c>
      <c r="E606">
        <v>93700</v>
      </c>
      <c r="F606">
        <v>46500</v>
      </c>
      <c r="G606">
        <v>41700</v>
      </c>
      <c r="H606">
        <v>2000</v>
      </c>
      <c r="I606">
        <v>0</v>
      </c>
      <c r="J606">
        <v>0</v>
      </c>
      <c r="K606">
        <v>0</v>
      </c>
      <c r="L606">
        <v>0</v>
      </c>
      <c r="M606">
        <v>2000</v>
      </c>
      <c r="N606" s="2">
        <v>7.3304402822237102E-6</v>
      </c>
    </row>
    <row r="607" spans="1:14" hidden="1" x14ac:dyDescent="0.25">
      <c r="A607" t="s">
        <v>57</v>
      </c>
      <c r="B607" t="s">
        <v>86</v>
      </c>
      <c r="C607">
        <v>20000000</v>
      </c>
      <c r="D607">
        <v>17500000</v>
      </c>
      <c r="E607">
        <v>15500000</v>
      </c>
      <c r="F607">
        <v>13011000</v>
      </c>
      <c r="G607">
        <v>15484000</v>
      </c>
      <c r="H607">
        <v>11333000</v>
      </c>
      <c r="I607">
        <v>7977000</v>
      </c>
      <c r="J607">
        <v>6650000</v>
      </c>
      <c r="K607">
        <v>6700000</v>
      </c>
      <c r="L607">
        <v>6500000</v>
      </c>
      <c r="M607">
        <v>39160000</v>
      </c>
      <c r="N607" s="2">
        <v>0.1435300207259402</v>
      </c>
    </row>
    <row r="608" spans="1:14" hidden="1" x14ac:dyDescent="0.25">
      <c r="A608" t="s">
        <v>57</v>
      </c>
      <c r="B608" t="s">
        <v>87</v>
      </c>
      <c r="C608">
        <v>540</v>
      </c>
      <c r="D608">
        <v>773</v>
      </c>
      <c r="E608">
        <v>682</v>
      </c>
      <c r="F608">
        <v>324</v>
      </c>
      <c r="G608">
        <v>0</v>
      </c>
      <c r="H608">
        <v>0</v>
      </c>
      <c r="I608">
        <v>470</v>
      </c>
      <c r="J608">
        <v>864</v>
      </c>
      <c r="K608">
        <v>0</v>
      </c>
      <c r="L608">
        <v>0</v>
      </c>
      <c r="M608">
        <v>1334</v>
      </c>
      <c r="N608" s="2">
        <v>4.8894036682432148E-6</v>
      </c>
    </row>
    <row r="609" spans="1:14" hidden="1" x14ac:dyDescent="0.25">
      <c r="A609" t="s">
        <v>57</v>
      </c>
      <c r="B609" t="s">
        <v>159</v>
      </c>
      <c r="F609">
        <v>0</v>
      </c>
      <c r="G609">
        <v>0</v>
      </c>
      <c r="H609">
        <v>0</v>
      </c>
      <c r="I609">
        <v>14884</v>
      </c>
      <c r="J609">
        <v>4935</v>
      </c>
      <c r="K609">
        <v>5000</v>
      </c>
      <c r="L609">
        <v>5000</v>
      </c>
      <c r="M609">
        <v>29819</v>
      </c>
      <c r="N609" s="2">
        <v>1.092931993878144E-4</v>
      </c>
    </row>
    <row r="610" spans="1:14" hidden="1" x14ac:dyDescent="0.25">
      <c r="A610" t="s">
        <v>57</v>
      </c>
      <c r="B610" t="s">
        <v>128</v>
      </c>
      <c r="C610">
        <v>40000</v>
      </c>
      <c r="D610">
        <v>31325</v>
      </c>
      <c r="E610">
        <v>22299</v>
      </c>
      <c r="F610">
        <v>0</v>
      </c>
      <c r="G610">
        <v>0</v>
      </c>
      <c r="H610">
        <v>124794</v>
      </c>
      <c r="I610">
        <v>120000</v>
      </c>
      <c r="J610">
        <v>120000</v>
      </c>
      <c r="K610">
        <v>100000</v>
      </c>
      <c r="L610">
        <v>90000</v>
      </c>
      <c r="M610">
        <v>554794</v>
      </c>
      <c r="N610" s="2">
        <v>2.033442142968011E-3</v>
      </c>
    </row>
    <row r="611" spans="1:14" hidden="1" x14ac:dyDescent="0.25">
      <c r="A611" t="s">
        <v>57</v>
      </c>
      <c r="B611" t="s">
        <v>195</v>
      </c>
      <c r="C611">
        <v>3363170</v>
      </c>
      <c r="D611">
        <v>4091399</v>
      </c>
      <c r="E611">
        <v>4081000</v>
      </c>
      <c r="F611">
        <v>4184000</v>
      </c>
      <c r="G611">
        <v>3423247</v>
      </c>
      <c r="H611">
        <v>5079000</v>
      </c>
      <c r="I611">
        <v>6542000</v>
      </c>
      <c r="J611">
        <v>7186000</v>
      </c>
      <c r="K611">
        <v>8147000</v>
      </c>
      <c r="L611">
        <v>9241000</v>
      </c>
      <c r="M611">
        <v>36195000</v>
      </c>
      <c r="N611" s="2">
        <v>0.1326626430075436</v>
      </c>
    </row>
    <row r="612" spans="1:14" hidden="1" x14ac:dyDescent="0.25">
      <c r="A612" t="s">
        <v>57</v>
      </c>
      <c r="B612" t="s">
        <v>169</v>
      </c>
      <c r="C612">
        <v>370000</v>
      </c>
      <c r="D612">
        <v>370000</v>
      </c>
      <c r="E612">
        <v>370000</v>
      </c>
      <c r="F612">
        <v>370000</v>
      </c>
      <c r="G612">
        <v>370000</v>
      </c>
      <c r="H612">
        <v>370000</v>
      </c>
      <c r="I612">
        <v>349354</v>
      </c>
      <c r="J612">
        <v>305562</v>
      </c>
      <c r="K612">
        <v>302200</v>
      </c>
      <c r="L612">
        <v>332400</v>
      </c>
      <c r="M612">
        <v>1659516</v>
      </c>
      <c r="N612" s="2">
        <v>6.0824914676973806E-3</v>
      </c>
    </row>
    <row r="613" spans="1:14" hidden="1" x14ac:dyDescent="0.25">
      <c r="A613" t="s">
        <v>57</v>
      </c>
      <c r="B613" t="s">
        <v>92</v>
      </c>
      <c r="C613">
        <v>1490634</v>
      </c>
      <c r="D613">
        <v>1997911</v>
      </c>
      <c r="E613">
        <v>1531394</v>
      </c>
      <c r="F613">
        <v>1562769</v>
      </c>
      <c r="G613">
        <v>2018254</v>
      </c>
      <c r="H613">
        <v>3003580</v>
      </c>
      <c r="I613">
        <v>4551754</v>
      </c>
      <c r="J613">
        <v>5383014</v>
      </c>
      <c r="K613">
        <v>2357515</v>
      </c>
      <c r="L613">
        <v>3336273</v>
      </c>
      <c r="M613">
        <v>18632136</v>
      </c>
      <c r="N613" s="2">
        <v>6.8290880139135271E-2</v>
      </c>
    </row>
    <row r="614" spans="1:14" hidden="1" x14ac:dyDescent="0.25">
      <c r="A614" t="s">
        <v>57</v>
      </c>
      <c r="B614" t="s">
        <v>97</v>
      </c>
      <c r="C614">
        <v>2342169</v>
      </c>
      <c r="D614">
        <v>2626291</v>
      </c>
      <c r="E614">
        <v>2369481</v>
      </c>
      <c r="F614">
        <v>2166947</v>
      </c>
      <c r="G614">
        <v>2395134</v>
      </c>
      <c r="H614">
        <v>2599815</v>
      </c>
      <c r="I614">
        <v>2820227</v>
      </c>
      <c r="J614">
        <v>2910186</v>
      </c>
      <c r="K614">
        <v>2688038</v>
      </c>
      <c r="L614">
        <v>2457000</v>
      </c>
      <c r="M614">
        <v>13475266</v>
      </c>
      <c r="N614" s="2">
        <v>4.9389816350039778E-2</v>
      </c>
    </row>
    <row r="615" spans="1:14" hidden="1" x14ac:dyDescent="0.25">
      <c r="A615" t="s">
        <v>57</v>
      </c>
      <c r="B615" t="s">
        <v>99</v>
      </c>
      <c r="C615">
        <v>172560</v>
      </c>
      <c r="D615">
        <v>163367</v>
      </c>
      <c r="E615">
        <v>139736</v>
      </c>
      <c r="F615">
        <v>86523</v>
      </c>
      <c r="G615">
        <v>78955</v>
      </c>
      <c r="H615">
        <v>100780</v>
      </c>
      <c r="I615">
        <v>128617</v>
      </c>
      <c r="J615">
        <v>130625</v>
      </c>
      <c r="K615">
        <v>289927</v>
      </c>
      <c r="L615">
        <v>290000</v>
      </c>
      <c r="M615">
        <v>939949</v>
      </c>
      <c r="N615" s="2">
        <v>3.4451200064179472E-3</v>
      </c>
    </row>
    <row r="616" spans="1:14" hidden="1" x14ac:dyDescent="0.25">
      <c r="A616" t="s">
        <v>57</v>
      </c>
      <c r="B616" t="s">
        <v>100</v>
      </c>
      <c r="C616">
        <v>120486</v>
      </c>
      <c r="D616">
        <v>271562</v>
      </c>
      <c r="E616">
        <v>308401</v>
      </c>
      <c r="F616">
        <v>294904</v>
      </c>
      <c r="G616">
        <v>200278</v>
      </c>
      <c r="H616">
        <v>511868</v>
      </c>
      <c r="I616">
        <v>930559</v>
      </c>
      <c r="J616">
        <v>1181803</v>
      </c>
      <c r="K616">
        <v>1325525</v>
      </c>
      <c r="L616">
        <v>1400000</v>
      </c>
      <c r="M616">
        <v>5349755</v>
      </c>
      <c r="N616" s="2">
        <v>1.9608029776013849E-2</v>
      </c>
    </row>
    <row r="617" spans="1:14" hidden="1" x14ac:dyDescent="0.25">
      <c r="A617" t="s">
        <v>57</v>
      </c>
      <c r="B617" t="s">
        <v>102</v>
      </c>
      <c r="C617">
        <v>2975000</v>
      </c>
      <c r="D617">
        <v>2852100</v>
      </c>
      <c r="E617">
        <v>2608800</v>
      </c>
      <c r="F617">
        <v>1625700</v>
      </c>
      <c r="G617">
        <v>1600700</v>
      </c>
      <c r="H617">
        <v>1460000</v>
      </c>
      <c r="I617">
        <v>1427300</v>
      </c>
      <c r="J617">
        <v>1142300</v>
      </c>
      <c r="K617">
        <v>813500</v>
      </c>
      <c r="L617">
        <v>1248700</v>
      </c>
      <c r="M617">
        <v>6091800</v>
      </c>
      <c r="N617" s="2">
        <v>2.23277880556252E-2</v>
      </c>
    </row>
    <row r="618" spans="1:14" hidden="1" x14ac:dyDescent="0.25">
      <c r="A618" t="s">
        <v>57</v>
      </c>
      <c r="B618" t="s">
        <v>103</v>
      </c>
      <c r="C618">
        <v>1099585</v>
      </c>
      <c r="D618">
        <v>1125127</v>
      </c>
      <c r="E618">
        <v>835429</v>
      </c>
      <c r="F618">
        <v>480727</v>
      </c>
      <c r="G618">
        <v>700717</v>
      </c>
      <c r="H618">
        <v>1226106</v>
      </c>
      <c r="I618">
        <v>1262725</v>
      </c>
      <c r="J618">
        <v>1130749</v>
      </c>
      <c r="K618">
        <v>869864</v>
      </c>
      <c r="L618">
        <v>668558</v>
      </c>
      <c r="M618">
        <v>5158002</v>
      </c>
      <c r="N618" s="2">
        <v>1.8905212818295231E-2</v>
      </c>
    </row>
    <row r="619" spans="1:14" hidden="1" x14ac:dyDescent="0.25">
      <c r="A619" t="s">
        <v>57</v>
      </c>
      <c r="B619" t="s">
        <v>150</v>
      </c>
      <c r="C619">
        <v>510942</v>
      </c>
      <c r="D619">
        <v>580309</v>
      </c>
      <c r="E619">
        <v>652465</v>
      </c>
      <c r="F619">
        <v>592728</v>
      </c>
      <c r="G619">
        <v>549589</v>
      </c>
      <c r="H619">
        <v>561612</v>
      </c>
      <c r="I619">
        <v>556220</v>
      </c>
      <c r="J619">
        <v>534044</v>
      </c>
      <c r="K619">
        <v>565619</v>
      </c>
      <c r="L619">
        <v>560742</v>
      </c>
      <c r="M619">
        <v>2778237</v>
      </c>
      <c r="N619" s="2">
        <v>1.018285020918218E-2</v>
      </c>
    </row>
    <row r="620" spans="1:14" hidden="1" x14ac:dyDescent="0.25">
      <c r="A620" t="s">
        <v>57</v>
      </c>
      <c r="B620" t="s">
        <v>161</v>
      </c>
      <c r="C620">
        <v>90200</v>
      </c>
      <c r="D620">
        <v>111000</v>
      </c>
      <c r="E620">
        <v>91271</v>
      </c>
      <c r="F620">
        <v>71700</v>
      </c>
      <c r="G620">
        <v>70138</v>
      </c>
      <c r="H620">
        <v>99008</v>
      </c>
      <c r="I620">
        <v>79538</v>
      </c>
      <c r="J620">
        <v>71210</v>
      </c>
      <c r="K620">
        <v>84087</v>
      </c>
      <c r="L620">
        <v>84000</v>
      </c>
      <c r="M620">
        <v>417843</v>
      </c>
      <c r="N620" s="2">
        <v>1.5314865794226009E-3</v>
      </c>
    </row>
    <row r="621" spans="1:14" hidden="1" x14ac:dyDescent="0.25">
      <c r="A621" t="s">
        <v>57</v>
      </c>
      <c r="B621" t="s">
        <v>174</v>
      </c>
      <c r="C621">
        <v>286000</v>
      </c>
      <c r="D621">
        <v>394000</v>
      </c>
      <c r="E621">
        <v>242000</v>
      </c>
      <c r="F621">
        <v>70000</v>
      </c>
      <c r="G621">
        <v>293000</v>
      </c>
      <c r="H621">
        <v>346000</v>
      </c>
      <c r="I621">
        <v>519000</v>
      </c>
      <c r="J621">
        <v>982000</v>
      </c>
      <c r="K621">
        <v>634000</v>
      </c>
      <c r="L621">
        <v>515000</v>
      </c>
      <c r="M621">
        <v>2996000</v>
      </c>
      <c r="N621" s="2">
        <v>1.098099954277112E-2</v>
      </c>
    </row>
    <row r="622" spans="1:14" hidden="1" x14ac:dyDescent="0.25">
      <c r="A622" t="s">
        <v>57</v>
      </c>
      <c r="B622" t="s">
        <v>175</v>
      </c>
      <c r="C622">
        <v>188862</v>
      </c>
      <c r="D622">
        <v>133474</v>
      </c>
      <c r="E622">
        <v>104527</v>
      </c>
      <c r="F622">
        <v>38360</v>
      </c>
      <c r="G622">
        <v>16896</v>
      </c>
      <c r="H622">
        <v>27915</v>
      </c>
      <c r="I622">
        <v>23045</v>
      </c>
      <c r="J622">
        <v>32145</v>
      </c>
      <c r="K622">
        <v>37072</v>
      </c>
      <c r="L622">
        <v>38000</v>
      </c>
      <c r="M622">
        <v>158177</v>
      </c>
      <c r="N622" s="2">
        <v>5.7975352626064988E-4</v>
      </c>
    </row>
    <row r="623" spans="1:14" hidden="1" x14ac:dyDescent="0.25">
      <c r="A623" t="s">
        <v>57</v>
      </c>
      <c r="B623" t="s">
        <v>133</v>
      </c>
      <c r="C623">
        <v>37500</v>
      </c>
      <c r="D623">
        <v>49000</v>
      </c>
      <c r="E623">
        <v>37500</v>
      </c>
      <c r="F623">
        <v>7400</v>
      </c>
      <c r="G623">
        <v>21300</v>
      </c>
      <c r="H623">
        <v>33900</v>
      </c>
      <c r="I623">
        <v>44700</v>
      </c>
      <c r="J623">
        <v>50000</v>
      </c>
      <c r="K623">
        <v>14500</v>
      </c>
      <c r="L623">
        <v>15100</v>
      </c>
      <c r="M623">
        <v>158200</v>
      </c>
      <c r="N623" s="2">
        <v>5.7983782632389552E-4</v>
      </c>
    </row>
    <row r="624" spans="1:14" hidden="1" x14ac:dyDescent="0.25">
      <c r="A624" t="s">
        <v>57</v>
      </c>
      <c r="B624" t="s">
        <v>146</v>
      </c>
      <c r="F624">
        <v>0</v>
      </c>
      <c r="G624">
        <v>2650</v>
      </c>
      <c r="H624">
        <v>2500</v>
      </c>
      <c r="I624">
        <v>46400</v>
      </c>
      <c r="J624">
        <v>41800</v>
      </c>
      <c r="K624">
        <v>22500</v>
      </c>
      <c r="L624">
        <v>20160</v>
      </c>
      <c r="M624">
        <v>133360</v>
      </c>
      <c r="N624" s="2">
        <v>4.8879375801867697E-4</v>
      </c>
    </row>
    <row r="625" spans="1:14" hidden="1" x14ac:dyDescent="0.25">
      <c r="A625" t="s">
        <v>57</v>
      </c>
      <c r="B625" t="s">
        <v>120</v>
      </c>
      <c r="C625">
        <v>8993</v>
      </c>
      <c r="D625">
        <v>21300</v>
      </c>
      <c r="E625">
        <v>12662</v>
      </c>
      <c r="F625">
        <v>40262</v>
      </c>
      <c r="G625">
        <v>4477</v>
      </c>
      <c r="H625">
        <v>8000</v>
      </c>
      <c r="I625">
        <v>26000</v>
      </c>
      <c r="J625">
        <v>45000</v>
      </c>
      <c r="K625">
        <v>29000</v>
      </c>
      <c r="L625">
        <v>29000</v>
      </c>
      <c r="M625">
        <v>137000</v>
      </c>
      <c r="N625" s="2">
        <v>5.0213515933232415E-4</v>
      </c>
    </row>
    <row r="626" spans="1:14" hidden="1" x14ac:dyDescent="0.25">
      <c r="A626" t="s">
        <v>57</v>
      </c>
      <c r="B626" t="s">
        <v>137</v>
      </c>
      <c r="F626">
        <v>15979170</v>
      </c>
      <c r="G626">
        <v>13735509</v>
      </c>
      <c r="H626">
        <v>14143794</v>
      </c>
      <c r="I626">
        <v>14919207</v>
      </c>
      <c r="J626">
        <v>17008951</v>
      </c>
      <c r="K626">
        <v>16198506</v>
      </c>
      <c r="L626">
        <v>19156479</v>
      </c>
      <c r="M626">
        <v>81426937</v>
      </c>
      <c r="N626" s="2">
        <v>0.29844764952144609</v>
      </c>
    </row>
    <row r="627" spans="1:14" hidden="1" x14ac:dyDescent="0.25">
      <c r="A627" t="s">
        <v>57</v>
      </c>
      <c r="B627" t="s">
        <v>157</v>
      </c>
      <c r="C627">
        <v>0</v>
      </c>
      <c r="D627">
        <v>3250</v>
      </c>
      <c r="E627">
        <v>20000</v>
      </c>
      <c r="F627">
        <v>9000</v>
      </c>
      <c r="G627">
        <v>9800</v>
      </c>
      <c r="H627">
        <v>4000</v>
      </c>
      <c r="I627">
        <v>4000</v>
      </c>
      <c r="J627">
        <v>1000</v>
      </c>
      <c r="K627">
        <v>0</v>
      </c>
      <c r="L627">
        <v>0</v>
      </c>
      <c r="M627">
        <v>9000</v>
      </c>
      <c r="N627" s="2">
        <v>3.2986981270006703E-5</v>
      </c>
    </row>
    <row r="628" spans="1:14" hidden="1" x14ac:dyDescent="0.25">
      <c r="A628" t="s">
        <v>57</v>
      </c>
      <c r="B628" t="s">
        <v>215</v>
      </c>
      <c r="C628">
        <v>8151</v>
      </c>
      <c r="D628">
        <v>14320</v>
      </c>
      <c r="E628">
        <v>14330</v>
      </c>
      <c r="F628">
        <v>9000</v>
      </c>
      <c r="G628">
        <v>2750</v>
      </c>
      <c r="H628">
        <v>8020</v>
      </c>
      <c r="I628">
        <v>4000</v>
      </c>
      <c r="J628">
        <v>4800</v>
      </c>
      <c r="K628">
        <v>1400</v>
      </c>
      <c r="L628">
        <v>0</v>
      </c>
      <c r="M628">
        <v>18220</v>
      </c>
      <c r="N628" s="2">
        <v>6.6780310971057994E-5</v>
      </c>
    </row>
    <row r="629" spans="1:14" hidden="1" x14ac:dyDescent="0.25">
      <c r="A629" t="s">
        <v>57</v>
      </c>
      <c r="B629" t="s">
        <v>112</v>
      </c>
      <c r="C629">
        <v>192756</v>
      </c>
      <c r="D629">
        <v>321785</v>
      </c>
      <c r="E629">
        <v>245830</v>
      </c>
      <c r="F629">
        <v>142809</v>
      </c>
      <c r="G629">
        <v>46867</v>
      </c>
      <c r="H629">
        <v>77895</v>
      </c>
      <c r="I629">
        <v>85334</v>
      </c>
      <c r="J629">
        <v>114037</v>
      </c>
      <c r="K629">
        <v>101766</v>
      </c>
      <c r="L629">
        <v>86654</v>
      </c>
      <c r="M629">
        <v>465686</v>
      </c>
      <c r="N629" s="2">
        <v>1.706841706633815E-3</v>
      </c>
    </row>
    <row r="630" spans="1:14" hidden="1" x14ac:dyDescent="0.25">
      <c r="A630" t="s">
        <v>57</v>
      </c>
      <c r="B630" t="s">
        <v>122</v>
      </c>
      <c r="C630">
        <v>1234007</v>
      </c>
      <c r="D630">
        <v>1524696</v>
      </c>
      <c r="E630">
        <v>1526218</v>
      </c>
      <c r="F630">
        <v>1477200</v>
      </c>
      <c r="G630">
        <v>1328271</v>
      </c>
      <c r="H630">
        <v>1758172</v>
      </c>
      <c r="I630">
        <v>1845156</v>
      </c>
      <c r="J630">
        <v>1854240</v>
      </c>
      <c r="K630">
        <v>1850000</v>
      </c>
      <c r="L630">
        <v>1850000</v>
      </c>
      <c r="M630">
        <v>9157568</v>
      </c>
      <c r="N630" s="2">
        <v>3.3564502677201409E-2</v>
      </c>
    </row>
    <row r="631" spans="1:14" hidden="1" x14ac:dyDescent="0.25">
      <c r="A631" t="s">
        <v>57</v>
      </c>
      <c r="B631" t="s">
        <v>115</v>
      </c>
      <c r="C631">
        <v>15800</v>
      </c>
      <c r="D631">
        <v>9700</v>
      </c>
      <c r="E631">
        <v>10000</v>
      </c>
      <c r="F631">
        <v>20700</v>
      </c>
      <c r="G631">
        <v>13400</v>
      </c>
      <c r="H631">
        <v>50000</v>
      </c>
      <c r="I631">
        <v>68194</v>
      </c>
      <c r="J631">
        <v>76106</v>
      </c>
      <c r="K631">
        <v>80000</v>
      </c>
      <c r="L631">
        <v>80000</v>
      </c>
      <c r="M631">
        <v>354300</v>
      </c>
      <c r="N631" s="2">
        <v>1.29858749599593E-3</v>
      </c>
    </row>
    <row r="632" spans="1:14" hidden="1" x14ac:dyDescent="0.25">
      <c r="A632" t="s">
        <v>57</v>
      </c>
      <c r="B632" t="s">
        <v>143</v>
      </c>
      <c r="F632">
        <v>140000</v>
      </c>
      <c r="G632">
        <v>120000</v>
      </c>
      <c r="H632">
        <v>92675</v>
      </c>
      <c r="I632">
        <v>77277</v>
      </c>
      <c r="J632">
        <v>15904</v>
      </c>
      <c r="K632">
        <v>46515</v>
      </c>
      <c r="L632">
        <v>132241</v>
      </c>
      <c r="M632">
        <v>364612</v>
      </c>
      <c r="N632" s="2">
        <v>1.3363832460910759E-3</v>
      </c>
    </row>
    <row r="633" spans="1:14" hidden="1" x14ac:dyDescent="0.25">
      <c r="A633" t="s">
        <v>56</v>
      </c>
      <c r="B633" t="s">
        <v>85</v>
      </c>
      <c r="C633">
        <v>16000</v>
      </c>
      <c r="D633">
        <v>16000</v>
      </c>
      <c r="E633">
        <v>16000</v>
      </c>
      <c r="F633">
        <v>15000</v>
      </c>
      <c r="G633">
        <v>15000</v>
      </c>
      <c r="H633">
        <v>15000</v>
      </c>
      <c r="I633">
        <v>15000</v>
      </c>
      <c r="J633">
        <v>22000</v>
      </c>
      <c r="K633">
        <v>20000</v>
      </c>
      <c r="L633">
        <v>20000</v>
      </c>
      <c r="M633">
        <v>92000</v>
      </c>
      <c r="N633" s="2">
        <v>1.866335486786953E-2</v>
      </c>
    </row>
    <row r="634" spans="1:14" hidden="1" x14ac:dyDescent="0.25">
      <c r="A634" t="s">
        <v>56</v>
      </c>
      <c r="B634" t="s">
        <v>86</v>
      </c>
      <c r="C634">
        <v>698200</v>
      </c>
      <c r="D634">
        <v>770407</v>
      </c>
      <c r="E634">
        <v>873649</v>
      </c>
      <c r="F634">
        <v>859258</v>
      </c>
      <c r="G634">
        <v>872768</v>
      </c>
      <c r="H634">
        <v>904600</v>
      </c>
      <c r="I634">
        <v>848079</v>
      </c>
      <c r="J634">
        <v>969000</v>
      </c>
      <c r="K634">
        <v>858000</v>
      </c>
      <c r="L634">
        <v>898000</v>
      </c>
      <c r="M634">
        <v>4477679</v>
      </c>
      <c r="N634" s="2">
        <v>0.90835339305877372</v>
      </c>
    </row>
    <row r="635" spans="1:14" hidden="1" x14ac:dyDescent="0.25">
      <c r="A635" t="s">
        <v>56</v>
      </c>
      <c r="B635" t="s">
        <v>222</v>
      </c>
      <c r="C635">
        <v>27292</v>
      </c>
      <c r="D635">
        <v>27399</v>
      </c>
      <c r="E635">
        <v>26000</v>
      </c>
      <c r="F635">
        <v>29708</v>
      </c>
      <c r="G635">
        <v>22548</v>
      </c>
      <c r="H635">
        <v>23000</v>
      </c>
      <c r="I635">
        <v>21100</v>
      </c>
      <c r="J635">
        <v>21350</v>
      </c>
      <c r="K635">
        <v>18500</v>
      </c>
      <c r="L635">
        <v>18200</v>
      </c>
      <c r="M635">
        <v>102150</v>
      </c>
      <c r="N635" s="2">
        <v>2.072240977992253E-2</v>
      </c>
    </row>
    <row r="636" spans="1:14" hidden="1" x14ac:dyDescent="0.25">
      <c r="A636" t="s">
        <v>56</v>
      </c>
      <c r="B636" t="s">
        <v>148</v>
      </c>
      <c r="C636">
        <v>2500</v>
      </c>
      <c r="D636">
        <v>7500</v>
      </c>
      <c r="E636">
        <v>3000</v>
      </c>
      <c r="F636">
        <v>3000</v>
      </c>
      <c r="G636">
        <v>3000</v>
      </c>
      <c r="H636">
        <v>3000</v>
      </c>
      <c r="I636">
        <v>110</v>
      </c>
      <c r="J636">
        <v>0</v>
      </c>
      <c r="K636">
        <v>0</v>
      </c>
      <c r="L636">
        <v>0</v>
      </c>
      <c r="M636">
        <v>3110</v>
      </c>
      <c r="N636" s="2">
        <v>6.3090253955515492E-4</v>
      </c>
    </row>
    <row r="637" spans="1:14" hidden="1" x14ac:dyDescent="0.25">
      <c r="A637" t="s">
        <v>56</v>
      </c>
      <c r="B637" t="s">
        <v>103</v>
      </c>
      <c r="C637">
        <v>0</v>
      </c>
      <c r="D637">
        <v>650</v>
      </c>
      <c r="E637">
        <v>2950</v>
      </c>
      <c r="F637">
        <v>1600</v>
      </c>
      <c r="G637">
        <v>400</v>
      </c>
      <c r="H637">
        <v>30</v>
      </c>
      <c r="I637">
        <v>0</v>
      </c>
      <c r="J637">
        <v>0</v>
      </c>
      <c r="K637">
        <v>0</v>
      </c>
      <c r="L637">
        <v>0</v>
      </c>
      <c r="M637">
        <v>30</v>
      </c>
      <c r="N637" s="2">
        <v>6.0858765873487611E-6</v>
      </c>
    </row>
    <row r="638" spans="1:14" hidden="1" x14ac:dyDescent="0.25">
      <c r="A638" t="s">
        <v>56</v>
      </c>
      <c r="B638" t="s">
        <v>107</v>
      </c>
      <c r="C638">
        <v>13798</v>
      </c>
      <c r="D638">
        <v>13970</v>
      </c>
      <c r="E638">
        <v>13744</v>
      </c>
      <c r="F638">
        <v>12460</v>
      </c>
      <c r="G638">
        <v>14346</v>
      </c>
      <c r="H638">
        <v>15593</v>
      </c>
      <c r="I638">
        <v>15753</v>
      </c>
      <c r="J638">
        <v>15336</v>
      </c>
      <c r="K638">
        <v>12795</v>
      </c>
      <c r="L638">
        <v>15000</v>
      </c>
      <c r="M638">
        <v>74477</v>
      </c>
      <c r="N638" s="2">
        <v>1.510859435319912E-2</v>
      </c>
    </row>
    <row r="639" spans="1:14" hidden="1" x14ac:dyDescent="0.25">
      <c r="A639" t="s">
        <v>56</v>
      </c>
      <c r="B639" t="s">
        <v>112</v>
      </c>
      <c r="F639">
        <v>100</v>
      </c>
      <c r="G639">
        <v>3750</v>
      </c>
      <c r="H639">
        <v>4000</v>
      </c>
      <c r="I639">
        <v>4500</v>
      </c>
      <c r="J639">
        <v>4500</v>
      </c>
      <c r="K639">
        <v>4500</v>
      </c>
      <c r="L639">
        <v>4500</v>
      </c>
      <c r="M639">
        <v>22000</v>
      </c>
      <c r="N639" s="2">
        <v>4.4629761640557581E-3</v>
      </c>
    </row>
    <row r="640" spans="1:14" hidden="1" x14ac:dyDescent="0.25">
      <c r="A640" t="s">
        <v>56</v>
      </c>
      <c r="B640" t="s">
        <v>113</v>
      </c>
      <c r="C640">
        <v>40000</v>
      </c>
      <c r="D640">
        <v>40000</v>
      </c>
      <c r="E640">
        <v>40000</v>
      </c>
      <c r="F640">
        <v>40000</v>
      </c>
      <c r="G640">
        <v>40000</v>
      </c>
      <c r="H640">
        <v>30000</v>
      </c>
      <c r="I640">
        <v>32000</v>
      </c>
      <c r="J640">
        <v>32000</v>
      </c>
      <c r="K640">
        <v>32000</v>
      </c>
      <c r="L640">
        <v>32000</v>
      </c>
      <c r="M640">
        <v>158000</v>
      </c>
      <c r="N640" s="2">
        <v>3.2052283360036807E-2</v>
      </c>
    </row>
    <row r="641" spans="1:14" hidden="1" x14ac:dyDescent="0.25">
      <c r="A641" t="s">
        <v>55</v>
      </c>
      <c r="B641" t="s">
        <v>83</v>
      </c>
      <c r="C641">
        <v>614139</v>
      </c>
      <c r="D641">
        <v>522187</v>
      </c>
      <c r="E641">
        <v>611547</v>
      </c>
      <c r="F641">
        <v>680967</v>
      </c>
      <c r="G641">
        <v>489036</v>
      </c>
      <c r="H641">
        <v>234704</v>
      </c>
      <c r="I641">
        <v>288069</v>
      </c>
      <c r="J641">
        <v>433712</v>
      </c>
      <c r="K641">
        <v>820057</v>
      </c>
      <c r="L641">
        <v>2735767</v>
      </c>
      <c r="M641">
        <v>4512309</v>
      </c>
      <c r="N641" s="2">
        <v>2.888830454684797E-2</v>
      </c>
    </row>
    <row r="642" spans="1:14" hidden="1" x14ac:dyDescent="0.25">
      <c r="A642" t="s">
        <v>55</v>
      </c>
      <c r="B642" t="s">
        <v>181</v>
      </c>
      <c r="C642">
        <v>778810</v>
      </c>
      <c r="D642">
        <v>714422</v>
      </c>
      <c r="E642">
        <v>754096</v>
      </c>
      <c r="F642">
        <v>702504</v>
      </c>
      <c r="G642">
        <v>645593</v>
      </c>
      <c r="H642">
        <v>730482</v>
      </c>
      <c r="I642">
        <v>808239</v>
      </c>
      <c r="J642">
        <v>691909</v>
      </c>
      <c r="K642">
        <v>816370</v>
      </c>
      <c r="L642">
        <v>844226</v>
      </c>
      <c r="M642">
        <v>3891226</v>
      </c>
      <c r="N642" s="2">
        <v>2.4912062039326881E-2</v>
      </c>
    </row>
    <row r="643" spans="1:14" hidden="1" x14ac:dyDescent="0.25">
      <c r="A643" t="s">
        <v>55</v>
      </c>
      <c r="B643" t="s">
        <v>85</v>
      </c>
      <c r="C643">
        <v>1707730</v>
      </c>
      <c r="D643">
        <v>1084194</v>
      </c>
      <c r="E643">
        <v>1423000</v>
      </c>
      <c r="F643">
        <v>1621000</v>
      </c>
      <c r="G643">
        <v>1652424</v>
      </c>
      <c r="H643">
        <v>3377000</v>
      </c>
      <c r="I643">
        <v>2981000</v>
      </c>
      <c r="J643">
        <v>2962000</v>
      </c>
      <c r="K643">
        <v>1993600</v>
      </c>
      <c r="L643">
        <v>2000000</v>
      </c>
      <c r="M643">
        <v>13313600</v>
      </c>
      <c r="N643" s="2">
        <v>8.523514932486119E-2</v>
      </c>
    </row>
    <row r="644" spans="1:14" hidden="1" x14ac:dyDescent="0.25">
      <c r="A644" t="s">
        <v>55</v>
      </c>
      <c r="B644" t="s">
        <v>116</v>
      </c>
      <c r="C644">
        <v>150000</v>
      </c>
      <c r="D644">
        <v>220000</v>
      </c>
      <c r="E644">
        <v>150000</v>
      </c>
      <c r="F644">
        <v>150000</v>
      </c>
      <c r="G644">
        <v>150000</v>
      </c>
      <c r="H644">
        <v>150000</v>
      </c>
      <c r="I644">
        <v>150000</v>
      </c>
      <c r="J644">
        <v>180000</v>
      </c>
      <c r="K644">
        <v>160000</v>
      </c>
      <c r="L644">
        <v>200000</v>
      </c>
      <c r="M644">
        <v>840000</v>
      </c>
      <c r="N644" s="2">
        <v>5.377773512264406E-3</v>
      </c>
    </row>
    <row r="645" spans="1:14" hidden="1" x14ac:dyDescent="0.25">
      <c r="A645" t="s">
        <v>55</v>
      </c>
      <c r="B645" t="s">
        <v>86</v>
      </c>
      <c r="C645">
        <v>16000000</v>
      </c>
      <c r="D645">
        <v>17000000</v>
      </c>
      <c r="E645">
        <v>16000000</v>
      </c>
      <c r="F645">
        <v>18400000</v>
      </c>
      <c r="G645">
        <v>18600000</v>
      </c>
      <c r="H645">
        <v>19000000</v>
      </c>
      <c r="I645">
        <v>18500000</v>
      </c>
      <c r="J645">
        <v>19000000</v>
      </c>
      <c r="K645">
        <v>19000000</v>
      </c>
      <c r="L645">
        <v>21000000</v>
      </c>
      <c r="M645">
        <v>96500000</v>
      </c>
      <c r="N645" s="2">
        <v>0.61780374277799432</v>
      </c>
    </row>
    <row r="646" spans="1:14" hidden="1" x14ac:dyDescent="0.25">
      <c r="A646" t="s">
        <v>55</v>
      </c>
      <c r="B646" t="s">
        <v>87</v>
      </c>
      <c r="C646">
        <v>1236</v>
      </c>
      <c r="D646">
        <v>1774</v>
      </c>
      <c r="E646">
        <v>3500</v>
      </c>
      <c r="F646">
        <v>2883</v>
      </c>
      <c r="G646">
        <v>1190</v>
      </c>
      <c r="H646">
        <v>1913</v>
      </c>
      <c r="I646">
        <v>1039</v>
      </c>
      <c r="J646">
        <v>1847</v>
      </c>
      <c r="K646">
        <v>1077</v>
      </c>
      <c r="L646">
        <v>0</v>
      </c>
      <c r="M646">
        <v>5876</v>
      </c>
      <c r="N646" s="2">
        <v>3.7618806140554353E-5</v>
      </c>
    </row>
    <row r="647" spans="1:14" hidden="1" x14ac:dyDescent="0.25">
      <c r="A647" t="s">
        <v>55</v>
      </c>
      <c r="B647" t="s">
        <v>154</v>
      </c>
      <c r="F647">
        <v>22390</v>
      </c>
      <c r="G647">
        <v>54227</v>
      </c>
      <c r="H647">
        <v>63850</v>
      </c>
      <c r="I647">
        <v>49601</v>
      </c>
      <c r="J647">
        <v>37002</v>
      </c>
      <c r="K647">
        <v>136167</v>
      </c>
      <c r="L647">
        <v>179781</v>
      </c>
      <c r="M647">
        <v>466401</v>
      </c>
      <c r="N647" s="2">
        <v>2.9859511236828939E-3</v>
      </c>
    </row>
    <row r="648" spans="1:14" hidden="1" x14ac:dyDescent="0.25">
      <c r="A648" t="s">
        <v>55</v>
      </c>
      <c r="B648" t="s">
        <v>93</v>
      </c>
      <c r="C648">
        <v>349998</v>
      </c>
      <c r="D648">
        <v>314770</v>
      </c>
      <c r="E648">
        <v>391140</v>
      </c>
      <c r="F648">
        <v>383312</v>
      </c>
      <c r="G648">
        <v>418558</v>
      </c>
      <c r="H648">
        <v>499381</v>
      </c>
      <c r="I648">
        <v>464689</v>
      </c>
      <c r="J648">
        <v>365792</v>
      </c>
      <c r="K648">
        <v>275100</v>
      </c>
      <c r="L648">
        <v>309600</v>
      </c>
      <c r="M648">
        <v>1914562</v>
      </c>
      <c r="N648" s="2">
        <v>1.2257239060938049E-2</v>
      </c>
    </row>
    <row r="649" spans="1:14" hidden="1" x14ac:dyDescent="0.25">
      <c r="A649" t="s">
        <v>55</v>
      </c>
      <c r="B649" t="s">
        <v>196</v>
      </c>
      <c r="C649">
        <v>27132</v>
      </c>
      <c r="D649">
        <v>17196</v>
      </c>
      <c r="E649">
        <v>24268</v>
      </c>
      <c r="F649">
        <v>20000</v>
      </c>
      <c r="G649">
        <v>23137</v>
      </c>
      <c r="H649">
        <v>16298</v>
      </c>
      <c r="I649">
        <v>4745</v>
      </c>
      <c r="J649">
        <v>2000</v>
      </c>
      <c r="K649">
        <v>706</v>
      </c>
      <c r="L649">
        <v>4700</v>
      </c>
      <c r="M649">
        <v>28449</v>
      </c>
      <c r="N649" s="2">
        <v>1.8213366506001201E-4</v>
      </c>
    </row>
    <row r="650" spans="1:14" hidden="1" x14ac:dyDescent="0.25">
      <c r="A650" t="s">
        <v>55</v>
      </c>
      <c r="B650" t="s">
        <v>97</v>
      </c>
      <c r="C650">
        <v>224315</v>
      </c>
      <c r="D650">
        <v>196940</v>
      </c>
      <c r="E650">
        <v>285009</v>
      </c>
      <c r="F650">
        <v>327663</v>
      </c>
      <c r="G650">
        <v>299149</v>
      </c>
      <c r="H650">
        <v>195055</v>
      </c>
      <c r="I650">
        <v>146581</v>
      </c>
      <c r="J650">
        <v>97684</v>
      </c>
      <c r="K650">
        <v>78144</v>
      </c>
      <c r="L650">
        <v>72800</v>
      </c>
      <c r="M650">
        <v>590264</v>
      </c>
      <c r="N650" s="2">
        <v>3.7789358386229018E-3</v>
      </c>
    </row>
    <row r="651" spans="1:14" hidden="1" x14ac:dyDescent="0.25">
      <c r="A651" t="s">
        <v>55</v>
      </c>
      <c r="B651" t="s">
        <v>99</v>
      </c>
      <c r="C651">
        <v>143000</v>
      </c>
      <c r="D651">
        <v>109496</v>
      </c>
      <c r="E651">
        <v>202151</v>
      </c>
      <c r="F651">
        <v>151881</v>
      </c>
      <c r="G651">
        <v>155916</v>
      </c>
      <c r="H651">
        <v>154860</v>
      </c>
      <c r="I651">
        <v>169953</v>
      </c>
      <c r="J651">
        <v>153525</v>
      </c>
      <c r="K651">
        <v>274369</v>
      </c>
      <c r="L651">
        <v>280000</v>
      </c>
      <c r="M651">
        <v>1032707</v>
      </c>
      <c r="N651" s="2">
        <v>6.6115051792024256E-3</v>
      </c>
    </row>
    <row r="652" spans="1:14" hidden="1" x14ac:dyDescent="0.25">
      <c r="A652" t="s">
        <v>55</v>
      </c>
      <c r="B652" t="s">
        <v>222</v>
      </c>
      <c r="C652">
        <v>105610</v>
      </c>
      <c r="D652">
        <v>91040</v>
      </c>
      <c r="E652">
        <v>135966</v>
      </c>
      <c r="F652">
        <v>120000</v>
      </c>
      <c r="G652">
        <v>107274</v>
      </c>
      <c r="H652">
        <v>90000</v>
      </c>
      <c r="I652">
        <v>113000</v>
      </c>
      <c r="J652">
        <v>105350</v>
      </c>
      <c r="K652">
        <v>113903</v>
      </c>
      <c r="L652">
        <v>131201</v>
      </c>
      <c r="M652">
        <v>553454</v>
      </c>
      <c r="N652" s="2">
        <v>3.543274120781887E-3</v>
      </c>
    </row>
    <row r="653" spans="1:14" hidden="1" x14ac:dyDescent="0.25">
      <c r="A653" t="s">
        <v>55</v>
      </c>
      <c r="B653" t="s">
        <v>149</v>
      </c>
      <c r="C653">
        <v>500000</v>
      </c>
      <c r="D653">
        <v>143848</v>
      </c>
      <c r="E653">
        <v>179450</v>
      </c>
      <c r="F653">
        <v>149599</v>
      </c>
      <c r="G653">
        <v>160935</v>
      </c>
      <c r="H653">
        <v>172488</v>
      </c>
      <c r="I653">
        <v>170000</v>
      </c>
      <c r="J653">
        <v>170000</v>
      </c>
      <c r="K653">
        <v>150000</v>
      </c>
      <c r="L653">
        <v>170000</v>
      </c>
      <c r="M653">
        <v>832488</v>
      </c>
      <c r="N653" s="2">
        <v>5.3296808519975843E-3</v>
      </c>
    </row>
    <row r="654" spans="1:14" hidden="1" x14ac:dyDescent="0.25">
      <c r="A654" t="s">
        <v>55</v>
      </c>
      <c r="B654" t="s">
        <v>150</v>
      </c>
      <c r="C654">
        <v>100724</v>
      </c>
      <c r="D654">
        <v>101000</v>
      </c>
      <c r="E654">
        <v>101000</v>
      </c>
      <c r="F654">
        <v>101000</v>
      </c>
      <c r="G654">
        <v>101000</v>
      </c>
      <c r="H654">
        <v>101000</v>
      </c>
      <c r="I654">
        <v>101000</v>
      </c>
      <c r="J654">
        <v>800</v>
      </c>
      <c r="K654">
        <v>0</v>
      </c>
      <c r="L654">
        <v>0</v>
      </c>
      <c r="M654">
        <v>202800</v>
      </c>
      <c r="N654" s="2">
        <v>1.2983481765324069E-3</v>
      </c>
    </row>
    <row r="655" spans="1:14" hidden="1" x14ac:dyDescent="0.25">
      <c r="A655" t="s">
        <v>55</v>
      </c>
      <c r="B655" t="s">
        <v>130</v>
      </c>
      <c r="C655">
        <v>290873</v>
      </c>
      <c r="D655">
        <v>249568</v>
      </c>
      <c r="E655">
        <v>285907</v>
      </c>
      <c r="F655">
        <v>257510</v>
      </c>
      <c r="G655">
        <v>265857</v>
      </c>
      <c r="H655">
        <v>282551</v>
      </c>
      <c r="I655">
        <v>349000</v>
      </c>
      <c r="J655">
        <v>292000</v>
      </c>
      <c r="K655">
        <v>243000</v>
      </c>
      <c r="L655">
        <v>242000</v>
      </c>
      <c r="M655">
        <v>1408551</v>
      </c>
      <c r="N655" s="2">
        <v>9.0177003077065981E-3</v>
      </c>
    </row>
    <row r="656" spans="1:14" hidden="1" x14ac:dyDescent="0.25">
      <c r="A656" t="s">
        <v>55</v>
      </c>
      <c r="B656" t="s">
        <v>106</v>
      </c>
      <c r="C656">
        <v>5444</v>
      </c>
      <c r="D656">
        <v>6705</v>
      </c>
      <c r="E656">
        <v>3770</v>
      </c>
      <c r="F656">
        <v>24627</v>
      </c>
      <c r="G656">
        <v>35228</v>
      </c>
      <c r="H656">
        <v>19656</v>
      </c>
      <c r="I656">
        <v>23596</v>
      </c>
      <c r="J656">
        <v>42996</v>
      </c>
      <c r="K656">
        <v>16165</v>
      </c>
      <c r="L656">
        <v>15120</v>
      </c>
      <c r="M656">
        <v>117533</v>
      </c>
      <c r="N656" s="2">
        <v>7.5245935025830058E-4</v>
      </c>
    </row>
    <row r="657" spans="1:14" hidden="1" x14ac:dyDescent="0.25">
      <c r="A657" t="s">
        <v>55</v>
      </c>
      <c r="B657" t="s">
        <v>156</v>
      </c>
      <c r="C657">
        <v>4822</v>
      </c>
      <c r="D657">
        <v>5998</v>
      </c>
      <c r="E657">
        <v>6000</v>
      </c>
      <c r="F657">
        <v>7158</v>
      </c>
      <c r="G657">
        <v>10310</v>
      </c>
      <c r="H657">
        <v>200</v>
      </c>
      <c r="I657">
        <v>140</v>
      </c>
      <c r="J657">
        <v>140</v>
      </c>
      <c r="K657">
        <v>140</v>
      </c>
      <c r="L657">
        <v>140</v>
      </c>
      <c r="M657">
        <v>760</v>
      </c>
      <c r="N657" s="2">
        <v>4.8656046063344616E-6</v>
      </c>
    </row>
    <row r="658" spans="1:14" hidden="1" x14ac:dyDescent="0.25">
      <c r="A658" t="s">
        <v>55</v>
      </c>
      <c r="B658" t="s">
        <v>151</v>
      </c>
      <c r="C658">
        <v>83860</v>
      </c>
      <c r="D658">
        <v>97000</v>
      </c>
      <c r="E658">
        <v>92000</v>
      </c>
      <c r="F658">
        <v>96000</v>
      </c>
      <c r="G658">
        <v>77920</v>
      </c>
      <c r="H658">
        <v>101920</v>
      </c>
      <c r="I658">
        <v>102110</v>
      </c>
      <c r="J658">
        <v>91490</v>
      </c>
      <c r="K658">
        <v>65250</v>
      </c>
      <c r="L658">
        <v>65820</v>
      </c>
      <c r="M658">
        <v>426590</v>
      </c>
      <c r="N658" s="2">
        <v>2.7310766697581819E-3</v>
      </c>
    </row>
    <row r="659" spans="1:14" hidden="1" x14ac:dyDescent="0.25">
      <c r="A659" t="s">
        <v>55</v>
      </c>
      <c r="B659" t="s">
        <v>107</v>
      </c>
      <c r="C659">
        <v>2600000</v>
      </c>
      <c r="D659">
        <v>2600000</v>
      </c>
      <c r="E659">
        <v>2600000</v>
      </c>
      <c r="F659">
        <v>2600000</v>
      </c>
      <c r="G659">
        <v>2600000</v>
      </c>
      <c r="H659">
        <v>2600000</v>
      </c>
      <c r="I659">
        <v>2600000</v>
      </c>
      <c r="J659">
        <v>2600000</v>
      </c>
      <c r="K659">
        <v>2600000</v>
      </c>
      <c r="L659">
        <v>2600000</v>
      </c>
      <c r="M659">
        <v>13000000</v>
      </c>
      <c r="N659" s="2">
        <v>8.3227447213615816E-2</v>
      </c>
    </row>
    <row r="660" spans="1:14" hidden="1" x14ac:dyDescent="0.25">
      <c r="A660" t="s">
        <v>55</v>
      </c>
      <c r="B660" t="s">
        <v>108</v>
      </c>
      <c r="C660">
        <v>254000</v>
      </c>
      <c r="D660">
        <v>235000</v>
      </c>
      <c r="E660">
        <v>286000</v>
      </c>
      <c r="F660">
        <v>294000</v>
      </c>
      <c r="G660">
        <v>286200</v>
      </c>
      <c r="H660">
        <v>302100</v>
      </c>
      <c r="I660">
        <v>325950</v>
      </c>
      <c r="J660">
        <v>315000</v>
      </c>
      <c r="K660">
        <v>244000</v>
      </c>
      <c r="L660">
        <v>271000</v>
      </c>
      <c r="M660">
        <v>1458050</v>
      </c>
      <c r="N660" s="2">
        <v>9.3345984161394262E-3</v>
      </c>
    </row>
    <row r="661" spans="1:14" hidden="1" x14ac:dyDescent="0.25">
      <c r="A661" t="s">
        <v>55</v>
      </c>
      <c r="B661" t="s">
        <v>135</v>
      </c>
      <c r="C661">
        <v>618400</v>
      </c>
      <c r="D661">
        <v>584000</v>
      </c>
      <c r="E661">
        <v>557100</v>
      </c>
      <c r="F661">
        <v>501200</v>
      </c>
      <c r="G661">
        <v>433500</v>
      </c>
      <c r="H661">
        <v>610000</v>
      </c>
      <c r="I661">
        <v>615500</v>
      </c>
      <c r="J661">
        <v>615200</v>
      </c>
      <c r="K661">
        <v>516900</v>
      </c>
      <c r="L661">
        <v>576700</v>
      </c>
      <c r="M661">
        <v>2934300</v>
      </c>
      <c r="N661" s="2">
        <v>1.8785715258377911E-2</v>
      </c>
    </row>
    <row r="662" spans="1:14" hidden="1" x14ac:dyDescent="0.25">
      <c r="A662" t="s">
        <v>55</v>
      </c>
      <c r="B662" t="s">
        <v>137</v>
      </c>
      <c r="C662">
        <v>12878</v>
      </c>
      <c r="D662">
        <v>8219</v>
      </c>
      <c r="E662">
        <v>12335</v>
      </c>
      <c r="F662">
        <v>12000</v>
      </c>
      <c r="G662">
        <v>15000</v>
      </c>
      <c r="H662">
        <v>12000</v>
      </c>
      <c r="I662">
        <v>9000</v>
      </c>
      <c r="J662">
        <v>7000</v>
      </c>
      <c r="K662">
        <v>6000</v>
      </c>
      <c r="L662">
        <v>5000</v>
      </c>
      <c r="M662">
        <v>39000</v>
      </c>
      <c r="N662" s="2">
        <v>2.4968234164084738E-4</v>
      </c>
    </row>
    <row r="663" spans="1:14" hidden="1" x14ac:dyDescent="0.25">
      <c r="A663" t="s">
        <v>55</v>
      </c>
      <c r="B663" t="s">
        <v>121</v>
      </c>
      <c r="C663">
        <v>649977</v>
      </c>
      <c r="D663">
        <v>836269</v>
      </c>
      <c r="E663">
        <v>836869</v>
      </c>
      <c r="F663">
        <v>464691</v>
      </c>
      <c r="G663">
        <v>583698</v>
      </c>
      <c r="H663">
        <v>788991</v>
      </c>
      <c r="I663">
        <v>738994</v>
      </c>
      <c r="J663">
        <v>634580</v>
      </c>
      <c r="K663">
        <v>626055</v>
      </c>
      <c r="L663">
        <v>703834</v>
      </c>
      <c r="M663">
        <v>3492454</v>
      </c>
      <c r="N663" s="2">
        <v>2.2359079302383181E-2</v>
      </c>
    </row>
    <row r="664" spans="1:14" hidden="1" x14ac:dyDescent="0.25">
      <c r="A664" t="s">
        <v>55</v>
      </c>
      <c r="B664" t="s">
        <v>112</v>
      </c>
      <c r="C664">
        <v>2475828</v>
      </c>
      <c r="D664">
        <v>2597465</v>
      </c>
      <c r="E664">
        <v>2377157</v>
      </c>
      <c r="F664">
        <v>3335258</v>
      </c>
      <c r="G664">
        <v>3258445</v>
      </c>
      <c r="H664">
        <v>1694071</v>
      </c>
      <c r="I664">
        <v>1958847</v>
      </c>
      <c r="J664">
        <v>1496081</v>
      </c>
      <c r="K664">
        <v>1560818</v>
      </c>
      <c r="L664">
        <v>1927280</v>
      </c>
      <c r="M664">
        <v>8637097</v>
      </c>
      <c r="N664" s="2">
        <v>5.5295656511259957E-2</v>
      </c>
    </row>
    <row r="665" spans="1:14" hidden="1" x14ac:dyDescent="0.25">
      <c r="A665" t="s">
        <v>54</v>
      </c>
      <c r="B665" t="s">
        <v>124</v>
      </c>
      <c r="G665">
        <v>24409</v>
      </c>
      <c r="H665">
        <v>26559</v>
      </c>
      <c r="I665">
        <v>29707</v>
      </c>
      <c r="J665">
        <v>30009</v>
      </c>
      <c r="K665">
        <v>26846</v>
      </c>
      <c r="L665">
        <v>47917</v>
      </c>
      <c r="M665">
        <v>161038</v>
      </c>
      <c r="N665" s="2">
        <v>1.517196806536162E-2</v>
      </c>
    </row>
    <row r="666" spans="1:14" hidden="1" x14ac:dyDescent="0.25">
      <c r="A666" t="s">
        <v>54</v>
      </c>
      <c r="B666" t="s">
        <v>124</v>
      </c>
      <c r="G666">
        <v>6468</v>
      </c>
      <c r="H666">
        <v>4501</v>
      </c>
      <c r="I666">
        <v>5005</v>
      </c>
      <c r="J666">
        <v>4284</v>
      </c>
      <c r="K666">
        <v>7705</v>
      </c>
      <c r="L666">
        <v>6017</v>
      </c>
      <c r="M666">
        <v>27512</v>
      </c>
      <c r="N666" s="2">
        <v>2.5920042810655178E-3</v>
      </c>
    </row>
    <row r="667" spans="1:14" hidden="1" x14ac:dyDescent="0.25">
      <c r="A667" t="s">
        <v>54</v>
      </c>
      <c r="B667" t="s">
        <v>124</v>
      </c>
      <c r="H667">
        <v>4993</v>
      </c>
      <c r="I667">
        <v>5585</v>
      </c>
      <c r="J667">
        <v>5642</v>
      </c>
      <c r="K667">
        <v>5047</v>
      </c>
      <c r="L667">
        <v>9008</v>
      </c>
      <c r="M667">
        <v>30275</v>
      </c>
      <c r="N667" s="2">
        <v>2.852316429531061E-3</v>
      </c>
    </row>
    <row r="668" spans="1:14" hidden="1" x14ac:dyDescent="0.25">
      <c r="A668" t="s">
        <v>54</v>
      </c>
      <c r="B668" t="s">
        <v>124</v>
      </c>
      <c r="H668">
        <v>734</v>
      </c>
      <c r="I668">
        <v>816</v>
      </c>
      <c r="J668">
        <v>698</v>
      </c>
      <c r="K668">
        <v>1256</v>
      </c>
      <c r="L668">
        <v>981</v>
      </c>
      <c r="M668">
        <v>4485</v>
      </c>
      <c r="N668" s="2">
        <v>4.2254795000650072E-4</v>
      </c>
    </row>
    <row r="669" spans="1:14" hidden="1" x14ac:dyDescent="0.25">
      <c r="A669" t="s">
        <v>54</v>
      </c>
      <c r="B669" t="s">
        <v>83</v>
      </c>
      <c r="H669">
        <v>47512</v>
      </c>
      <c r="I669">
        <v>54731</v>
      </c>
      <c r="J669">
        <v>44217</v>
      </c>
      <c r="K669">
        <v>41200</v>
      </c>
      <c r="L669">
        <v>55281</v>
      </c>
      <c r="M669">
        <v>242941</v>
      </c>
      <c r="N669" s="2">
        <v>2.2888343706249561E-2</v>
      </c>
    </row>
    <row r="670" spans="1:14" hidden="1" x14ac:dyDescent="0.25">
      <c r="A670" t="s">
        <v>54</v>
      </c>
      <c r="B670" t="s">
        <v>83</v>
      </c>
      <c r="C670">
        <v>500899</v>
      </c>
      <c r="D670">
        <v>405119</v>
      </c>
      <c r="E670">
        <v>444546</v>
      </c>
      <c r="F670">
        <v>439514</v>
      </c>
      <c r="G670">
        <v>522181</v>
      </c>
      <c r="H670">
        <v>1706619</v>
      </c>
      <c r="I670">
        <v>1965912</v>
      </c>
      <c r="J670">
        <v>1588263</v>
      </c>
      <c r="K670">
        <v>1477240</v>
      </c>
      <c r="L670">
        <v>1966744</v>
      </c>
      <c r="M670">
        <v>8704778</v>
      </c>
      <c r="N670" s="2">
        <v>0.82010838331364266</v>
      </c>
    </row>
    <row r="671" spans="1:14" hidden="1" x14ac:dyDescent="0.25">
      <c r="A671" t="s">
        <v>54</v>
      </c>
      <c r="B671" t="s">
        <v>144</v>
      </c>
      <c r="C671">
        <v>0</v>
      </c>
      <c r="D671">
        <v>0</v>
      </c>
      <c r="E671">
        <v>0</v>
      </c>
      <c r="F671">
        <v>0</v>
      </c>
      <c r="G671">
        <v>162</v>
      </c>
      <c r="H671">
        <v>60</v>
      </c>
      <c r="I671">
        <v>230</v>
      </c>
      <c r="J671">
        <v>400</v>
      </c>
      <c r="K671">
        <v>191</v>
      </c>
      <c r="L671">
        <v>540</v>
      </c>
      <c r="M671">
        <v>1421</v>
      </c>
      <c r="N671" s="2">
        <v>1.338775110277007E-4</v>
      </c>
    </row>
    <row r="672" spans="1:14" hidden="1" x14ac:dyDescent="0.25">
      <c r="A672" t="s">
        <v>54</v>
      </c>
      <c r="B672" t="s">
        <v>144</v>
      </c>
      <c r="H672">
        <v>11</v>
      </c>
      <c r="I672">
        <v>43</v>
      </c>
      <c r="J672">
        <v>75</v>
      </c>
      <c r="K672">
        <v>36</v>
      </c>
      <c r="L672">
        <v>102</v>
      </c>
      <c r="M672">
        <v>267</v>
      </c>
      <c r="N672" s="2">
        <v>2.5155028461925459E-5</v>
      </c>
    </row>
    <row r="673" spans="1:14" hidden="1" x14ac:dyDescent="0.25">
      <c r="A673" t="s">
        <v>54</v>
      </c>
      <c r="B673" t="s">
        <v>85</v>
      </c>
      <c r="H673">
        <v>255</v>
      </c>
      <c r="I673">
        <v>139</v>
      </c>
      <c r="J673">
        <v>111</v>
      </c>
      <c r="K673">
        <v>88</v>
      </c>
      <c r="L673">
        <v>93</v>
      </c>
      <c r="M673">
        <v>686</v>
      </c>
      <c r="N673" s="2">
        <v>6.4630522565096876E-5</v>
      </c>
    </row>
    <row r="674" spans="1:14" hidden="1" x14ac:dyDescent="0.25">
      <c r="A674" t="s">
        <v>54</v>
      </c>
      <c r="B674" t="s">
        <v>85</v>
      </c>
      <c r="C674">
        <v>7084</v>
      </c>
      <c r="D674">
        <v>7982</v>
      </c>
      <c r="E674">
        <v>8519</v>
      </c>
      <c r="F674">
        <v>5781</v>
      </c>
      <c r="G674">
        <v>8804</v>
      </c>
      <c r="H674">
        <v>9200</v>
      </c>
      <c r="I674">
        <v>5000</v>
      </c>
      <c r="J674">
        <v>4000</v>
      </c>
      <c r="K674">
        <v>3200</v>
      </c>
      <c r="L674">
        <v>3300</v>
      </c>
      <c r="M674">
        <v>24700</v>
      </c>
      <c r="N674" s="2">
        <v>2.327075666702468E-3</v>
      </c>
    </row>
    <row r="675" spans="1:14" hidden="1" x14ac:dyDescent="0.25">
      <c r="A675" t="s">
        <v>54</v>
      </c>
      <c r="B675" t="s">
        <v>116</v>
      </c>
      <c r="H675">
        <v>32</v>
      </c>
      <c r="I675">
        <v>4092</v>
      </c>
      <c r="J675">
        <v>263</v>
      </c>
      <c r="K675">
        <v>0</v>
      </c>
      <c r="L675">
        <v>0</v>
      </c>
      <c r="M675">
        <v>4387</v>
      </c>
      <c r="N675" s="2">
        <v>4.1331501821148688E-4</v>
      </c>
    </row>
    <row r="676" spans="1:14" hidden="1" x14ac:dyDescent="0.25">
      <c r="A676" t="s">
        <v>54</v>
      </c>
      <c r="B676" t="s">
        <v>116</v>
      </c>
      <c r="D676">
        <v>0</v>
      </c>
      <c r="E676">
        <v>0</v>
      </c>
      <c r="F676">
        <v>0</v>
      </c>
      <c r="G676">
        <v>0</v>
      </c>
      <c r="H676">
        <v>1100</v>
      </c>
      <c r="I676">
        <v>140000</v>
      </c>
      <c r="J676">
        <v>9000</v>
      </c>
      <c r="K676">
        <v>0</v>
      </c>
      <c r="L676">
        <v>0</v>
      </c>
      <c r="M676">
        <v>150100</v>
      </c>
      <c r="N676" s="2">
        <v>1.414145982073038E-2</v>
      </c>
    </row>
    <row r="677" spans="1:14" hidden="1" x14ac:dyDescent="0.25">
      <c r="A677" t="s">
        <v>54</v>
      </c>
      <c r="B677" t="s">
        <v>145</v>
      </c>
      <c r="C677">
        <v>62002</v>
      </c>
      <c r="D677">
        <v>52358</v>
      </c>
      <c r="E677">
        <v>55074</v>
      </c>
      <c r="F677">
        <v>50418</v>
      </c>
      <c r="G677">
        <v>70831</v>
      </c>
      <c r="H677">
        <v>73563</v>
      </c>
      <c r="I677">
        <v>87029</v>
      </c>
      <c r="J677">
        <v>100787</v>
      </c>
      <c r="K677">
        <v>114260</v>
      </c>
      <c r="L677">
        <v>150348</v>
      </c>
      <c r="M677">
        <v>525987</v>
      </c>
      <c r="N677" s="2">
        <v>4.9555123429223927E-2</v>
      </c>
    </row>
    <row r="678" spans="1:14" hidden="1" x14ac:dyDescent="0.25">
      <c r="A678" t="s">
        <v>54</v>
      </c>
      <c r="B678" t="s">
        <v>145</v>
      </c>
      <c r="C678">
        <v>4145</v>
      </c>
      <c r="D678">
        <v>4091</v>
      </c>
      <c r="E678">
        <v>2985</v>
      </c>
      <c r="F678">
        <v>2069</v>
      </c>
      <c r="G678">
        <v>1775</v>
      </c>
      <c r="H678">
        <v>2535</v>
      </c>
      <c r="I678">
        <v>3826</v>
      </c>
      <c r="J678">
        <v>1886</v>
      </c>
      <c r="K678">
        <v>0</v>
      </c>
      <c r="L678">
        <v>0</v>
      </c>
      <c r="M678">
        <v>8247</v>
      </c>
      <c r="N678" s="2">
        <v>7.769794746273381E-4</v>
      </c>
    </row>
    <row r="679" spans="1:14" hidden="1" x14ac:dyDescent="0.25">
      <c r="A679" t="s">
        <v>54</v>
      </c>
      <c r="B679" t="s">
        <v>145</v>
      </c>
      <c r="H679">
        <v>13830</v>
      </c>
      <c r="I679">
        <v>16361</v>
      </c>
      <c r="J679">
        <v>18948</v>
      </c>
      <c r="K679">
        <v>21481</v>
      </c>
      <c r="L679">
        <v>28265</v>
      </c>
      <c r="M679">
        <v>98885</v>
      </c>
      <c r="N679" s="2">
        <v>9.3163108219381993E-3</v>
      </c>
    </row>
    <row r="680" spans="1:14" hidden="1" x14ac:dyDescent="0.25">
      <c r="A680" t="s">
        <v>54</v>
      </c>
      <c r="B680" t="s">
        <v>145</v>
      </c>
      <c r="H680">
        <v>413</v>
      </c>
      <c r="I680">
        <v>624</v>
      </c>
      <c r="J680">
        <v>307</v>
      </c>
      <c r="K680">
        <v>0</v>
      </c>
      <c r="L680">
        <v>0</v>
      </c>
      <c r="M680">
        <v>1344</v>
      </c>
      <c r="N680" s="2">
        <v>1.2662306461733269E-4</v>
      </c>
    </row>
    <row r="681" spans="1:14" hidden="1" x14ac:dyDescent="0.25">
      <c r="A681" t="s">
        <v>54</v>
      </c>
      <c r="B681" t="s">
        <v>145</v>
      </c>
      <c r="H681">
        <v>871</v>
      </c>
      <c r="I681">
        <v>1067</v>
      </c>
      <c r="J681">
        <v>1639</v>
      </c>
      <c r="K681">
        <v>1490</v>
      </c>
      <c r="L681">
        <v>2001</v>
      </c>
      <c r="M681">
        <v>7068</v>
      </c>
      <c r="N681" s="2">
        <v>6.6590165231793696E-4</v>
      </c>
    </row>
    <row r="682" spans="1:14" hidden="1" x14ac:dyDescent="0.25">
      <c r="A682" t="s">
        <v>54</v>
      </c>
      <c r="B682" t="s">
        <v>145</v>
      </c>
      <c r="C682">
        <v>5447</v>
      </c>
      <c r="D682">
        <v>4197</v>
      </c>
      <c r="E682">
        <v>4194</v>
      </c>
      <c r="F682">
        <v>3888</v>
      </c>
      <c r="G682">
        <v>5576</v>
      </c>
      <c r="H682">
        <v>5280</v>
      </c>
      <c r="I682">
        <v>6468</v>
      </c>
      <c r="J682">
        <v>9934</v>
      </c>
      <c r="K682">
        <v>9030</v>
      </c>
      <c r="L682">
        <v>12129</v>
      </c>
      <c r="M682">
        <v>42841</v>
      </c>
      <c r="N682" s="2">
        <v>4.0362043982672237E-3</v>
      </c>
    </row>
    <row r="683" spans="1:14" hidden="1" x14ac:dyDescent="0.25">
      <c r="A683" t="s">
        <v>54</v>
      </c>
      <c r="B683" t="s">
        <v>86</v>
      </c>
      <c r="H683">
        <v>7000</v>
      </c>
      <c r="I683">
        <v>7100</v>
      </c>
      <c r="J683">
        <v>10800</v>
      </c>
      <c r="K683">
        <v>13300</v>
      </c>
      <c r="L683">
        <v>14000</v>
      </c>
      <c r="M683">
        <v>52200</v>
      </c>
      <c r="N683" s="2">
        <v>4.9179493846910451E-3</v>
      </c>
    </row>
    <row r="684" spans="1:14" hidden="1" x14ac:dyDescent="0.25">
      <c r="A684" t="s">
        <v>54</v>
      </c>
      <c r="B684" t="s">
        <v>175</v>
      </c>
      <c r="E684">
        <v>0</v>
      </c>
      <c r="F684">
        <v>0</v>
      </c>
      <c r="G684">
        <v>0</v>
      </c>
      <c r="H684">
        <v>0</v>
      </c>
      <c r="I684">
        <v>30000</v>
      </c>
      <c r="J684">
        <v>0</v>
      </c>
      <c r="K684">
        <v>0</v>
      </c>
      <c r="L684">
        <v>0</v>
      </c>
      <c r="M684">
        <v>30000</v>
      </c>
      <c r="N684" s="2">
        <v>2.8264076923511751E-3</v>
      </c>
    </row>
    <row r="685" spans="1:14" hidden="1" x14ac:dyDescent="0.25">
      <c r="A685" t="s">
        <v>54</v>
      </c>
      <c r="B685" t="s">
        <v>175</v>
      </c>
      <c r="H685">
        <v>0</v>
      </c>
      <c r="I685">
        <v>88</v>
      </c>
      <c r="J685">
        <v>0</v>
      </c>
      <c r="K685">
        <v>0</v>
      </c>
      <c r="L685">
        <v>0</v>
      </c>
      <c r="M685">
        <v>88</v>
      </c>
      <c r="N685" s="2">
        <v>8.2907958975634482E-6</v>
      </c>
    </row>
    <row r="686" spans="1:14" hidden="1" x14ac:dyDescent="0.25">
      <c r="A686" t="s">
        <v>54</v>
      </c>
      <c r="B686" t="s">
        <v>203</v>
      </c>
      <c r="H686">
        <v>0</v>
      </c>
      <c r="I686">
        <v>24</v>
      </c>
      <c r="J686">
        <v>2</v>
      </c>
      <c r="K686">
        <v>2</v>
      </c>
      <c r="L686">
        <v>2</v>
      </c>
      <c r="M686">
        <v>30</v>
      </c>
      <c r="N686" s="2">
        <v>2.8264076923511749E-6</v>
      </c>
    </row>
    <row r="687" spans="1:14" hidden="1" x14ac:dyDescent="0.25">
      <c r="A687" t="s">
        <v>54</v>
      </c>
      <c r="B687" t="s">
        <v>203</v>
      </c>
      <c r="G687">
        <v>0</v>
      </c>
      <c r="H687">
        <v>0</v>
      </c>
      <c r="I687">
        <v>1267</v>
      </c>
      <c r="J687">
        <v>133</v>
      </c>
      <c r="K687">
        <v>130</v>
      </c>
      <c r="L687">
        <v>130</v>
      </c>
      <c r="M687">
        <v>1660</v>
      </c>
      <c r="N687" s="2">
        <v>1.5639455897676499E-4</v>
      </c>
    </row>
    <row r="688" spans="1:14" hidden="1" x14ac:dyDescent="0.25">
      <c r="A688" t="s">
        <v>54</v>
      </c>
      <c r="B688" t="s">
        <v>178</v>
      </c>
      <c r="C688">
        <v>20698</v>
      </c>
      <c r="D688">
        <v>19940</v>
      </c>
      <c r="E688">
        <v>17459</v>
      </c>
      <c r="F688">
        <v>19275</v>
      </c>
      <c r="G688">
        <v>40758</v>
      </c>
      <c r="H688">
        <v>52741</v>
      </c>
      <c r="I688">
        <v>76818</v>
      </c>
      <c r="J688">
        <v>59912</v>
      </c>
      <c r="K688">
        <v>23185</v>
      </c>
      <c r="L688">
        <v>18533</v>
      </c>
      <c r="M688">
        <v>231189</v>
      </c>
      <c r="N688" s="2">
        <v>2.1781145599565861E-2</v>
      </c>
    </row>
    <row r="689" spans="1:14" hidden="1" x14ac:dyDescent="0.25">
      <c r="A689" t="s">
        <v>54</v>
      </c>
      <c r="B689" t="s">
        <v>178</v>
      </c>
      <c r="H689">
        <v>538</v>
      </c>
      <c r="I689">
        <v>535</v>
      </c>
      <c r="J689">
        <v>417</v>
      </c>
      <c r="K689">
        <v>161</v>
      </c>
      <c r="L689">
        <v>129</v>
      </c>
      <c r="M689">
        <v>1780</v>
      </c>
      <c r="N689" s="2">
        <v>1.6770018974616969E-4</v>
      </c>
    </row>
    <row r="690" spans="1:14" hidden="1" x14ac:dyDescent="0.25">
      <c r="A690" t="s">
        <v>54</v>
      </c>
      <c r="B690" t="s">
        <v>113</v>
      </c>
      <c r="H690">
        <v>4000</v>
      </c>
      <c r="I690">
        <v>7000</v>
      </c>
      <c r="J690">
        <v>4000</v>
      </c>
      <c r="K690">
        <v>4000</v>
      </c>
      <c r="L690">
        <v>5000</v>
      </c>
      <c r="M690">
        <v>24000</v>
      </c>
      <c r="N690" s="2">
        <v>2.261126153880941E-3</v>
      </c>
    </row>
    <row r="691" spans="1:14" hidden="1" x14ac:dyDescent="0.25">
      <c r="A691" t="s">
        <v>54</v>
      </c>
      <c r="B691" t="s">
        <v>158</v>
      </c>
      <c r="H691">
        <v>970</v>
      </c>
      <c r="I691">
        <v>1332</v>
      </c>
      <c r="J691">
        <v>1237</v>
      </c>
      <c r="K691">
        <v>397</v>
      </c>
      <c r="L691">
        <v>476</v>
      </c>
      <c r="M691">
        <v>4412</v>
      </c>
      <c r="N691" s="2">
        <v>4.1567035795511291E-4</v>
      </c>
    </row>
    <row r="692" spans="1:14" hidden="1" x14ac:dyDescent="0.25">
      <c r="A692" t="s">
        <v>54</v>
      </c>
      <c r="B692" t="s">
        <v>158</v>
      </c>
      <c r="G692">
        <v>48000</v>
      </c>
      <c r="H692">
        <v>51000</v>
      </c>
      <c r="I692">
        <v>70000</v>
      </c>
      <c r="J692">
        <v>65000</v>
      </c>
      <c r="K692">
        <v>20859</v>
      </c>
      <c r="L692">
        <v>25000</v>
      </c>
      <c r="M692">
        <v>231859</v>
      </c>
      <c r="N692" s="2">
        <v>2.1844268704695038E-2</v>
      </c>
    </row>
    <row r="693" spans="1:14" hidden="1" x14ac:dyDescent="0.25">
      <c r="A693" t="s">
        <v>75</v>
      </c>
      <c r="B693" t="s">
        <v>83</v>
      </c>
      <c r="C693">
        <v>228000</v>
      </c>
      <c r="D693">
        <v>225500</v>
      </c>
      <c r="E693">
        <v>241000</v>
      </c>
      <c r="F693">
        <v>246000</v>
      </c>
      <c r="G693">
        <v>73380</v>
      </c>
      <c r="H693">
        <v>57148</v>
      </c>
      <c r="I693">
        <v>69183</v>
      </c>
      <c r="J693">
        <v>46743</v>
      </c>
      <c r="K693">
        <v>79058</v>
      </c>
      <c r="L693">
        <v>70133</v>
      </c>
      <c r="M693">
        <v>322265</v>
      </c>
      <c r="N693" s="2">
        <v>0.85283493218656958</v>
      </c>
    </row>
    <row r="694" spans="1:14" hidden="1" x14ac:dyDescent="0.25">
      <c r="A694" t="s">
        <v>75</v>
      </c>
      <c r="B694" t="s">
        <v>205</v>
      </c>
      <c r="C694">
        <v>0</v>
      </c>
      <c r="D694">
        <v>0</v>
      </c>
      <c r="E694">
        <v>663</v>
      </c>
      <c r="F694">
        <v>5311</v>
      </c>
      <c r="G694">
        <v>9664</v>
      </c>
      <c r="H694">
        <v>9975</v>
      </c>
      <c r="I694">
        <v>9605</v>
      </c>
      <c r="J694">
        <v>10130</v>
      </c>
      <c r="K694">
        <v>9500</v>
      </c>
      <c r="L694">
        <v>16400</v>
      </c>
      <c r="M694">
        <v>55610</v>
      </c>
      <c r="N694" s="2">
        <v>0.14716506781343039</v>
      </c>
    </row>
    <row r="695" spans="1:14" hidden="1" x14ac:dyDescent="0.25">
      <c r="A695" t="s">
        <v>53</v>
      </c>
      <c r="B695" t="s">
        <v>183</v>
      </c>
      <c r="C695">
        <v>6000</v>
      </c>
      <c r="D695">
        <v>9000</v>
      </c>
      <c r="E695">
        <v>9000</v>
      </c>
      <c r="F695">
        <v>18000</v>
      </c>
      <c r="G695">
        <v>8000</v>
      </c>
      <c r="H695">
        <v>9000</v>
      </c>
      <c r="I695">
        <v>9000</v>
      </c>
      <c r="J695">
        <v>9000</v>
      </c>
      <c r="K695">
        <v>8000</v>
      </c>
      <c r="L695">
        <v>9000</v>
      </c>
      <c r="M695">
        <v>44000</v>
      </c>
      <c r="N695" s="2">
        <v>6.9943899746610736E-4</v>
      </c>
    </row>
    <row r="696" spans="1:14" hidden="1" x14ac:dyDescent="0.25">
      <c r="A696" t="s">
        <v>53</v>
      </c>
      <c r="B696" t="s">
        <v>124</v>
      </c>
      <c r="C696">
        <v>90300</v>
      </c>
      <c r="D696">
        <v>91000</v>
      </c>
      <c r="E696">
        <v>40000</v>
      </c>
      <c r="F696">
        <v>42000</v>
      </c>
      <c r="G696">
        <v>38300</v>
      </c>
      <c r="H696">
        <v>43600</v>
      </c>
      <c r="I696">
        <v>39900</v>
      </c>
      <c r="J696">
        <v>27600</v>
      </c>
      <c r="K696">
        <v>19200</v>
      </c>
      <c r="L696">
        <v>22000</v>
      </c>
      <c r="M696">
        <v>152300</v>
      </c>
      <c r="N696" s="2">
        <v>2.4210127116838218E-3</v>
      </c>
    </row>
    <row r="697" spans="1:14" hidden="1" x14ac:dyDescent="0.25">
      <c r="A697" t="s">
        <v>53</v>
      </c>
      <c r="B697" t="s">
        <v>83</v>
      </c>
      <c r="C697">
        <v>207000</v>
      </c>
      <c r="D697">
        <v>232000</v>
      </c>
      <c r="E697">
        <v>225900</v>
      </c>
      <c r="F697">
        <v>227600</v>
      </c>
      <c r="G697">
        <v>223700</v>
      </c>
      <c r="H697">
        <v>211200</v>
      </c>
      <c r="I697">
        <v>188800</v>
      </c>
      <c r="J697">
        <v>124388</v>
      </c>
      <c r="K697">
        <v>161897</v>
      </c>
      <c r="L697">
        <v>163911</v>
      </c>
      <c r="M697">
        <v>850196</v>
      </c>
      <c r="N697" s="2">
        <v>1.351500540658397E-2</v>
      </c>
    </row>
    <row r="698" spans="1:14" hidden="1" x14ac:dyDescent="0.25">
      <c r="A698" t="s">
        <v>53</v>
      </c>
      <c r="B698" t="s">
        <v>181</v>
      </c>
      <c r="C698">
        <v>24504</v>
      </c>
      <c r="D698">
        <v>25000</v>
      </c>
      <c r="E698">
        <v>25100</v>
      </c>
      <c r="F698">
        <v>24400</v>
      </c>
      <c r="G698">
        <v>25000</v>
      </c>
      <c r="H698">
        <v>26000</v>
      </c>
      <c r="I698">
        <v>27000</v>
      </c>
      <c r="J698">
        <v>27000</v>
      </c>
      <c r="K698">
        <v>27000</v>
      </c>
      <c r="L698">
        <v>27000</v>
      </c>
      <c r="M698">
        <v>134000</v>
      </c>
      <c r="N698" s="2">
        <v>2.1301096741013271E-3</v>
      </c>
    </row>
    <row r="699" spans="1:14" hidden="1" x14ac:dyDescent="0.25">
      <c r="A699" t="s">
        <v>53</v>
      </c>
      <c r="B699" t="s">
        <v>163</v>
      </c>
      <c r="C699">
        <v>119000</v>
      </c>
      <c r="D699">
        <v>129429</v>
      </c>
      <c r="E699">
        <v>133252</v>
      </c>
      <c r="F699">
        <v>130000</v>
      </c>
      <c r="G699">
        <v>142123</v>
      </c>
      <c r="H699">
        <v>138606</v>
      </c>
      <c r="I699">
        <v>138106</v>
      </c>
      <c r="J699">
        <v>138618</v>
      </c>
      <c r="K699">
        <v>122748</v>
      </c>
      <c r="L699">
        <v>155840</v>
      </c>
      <c r="M699">
        <v>693918</v>
      </c>
      <c r="N699" s="2">
        <v>1.103075705099287E-2</v>
      </c>
    </row>
    <row r="700" spans="1:14" hidden="1" x14ac:dyDescent="0.25">
      <c r="A700" t="s">
        <v>53</v>
      </c>
      <c r="B700" t="s">
        <v>144</v>
      </c>
      <c r="C700">
        <v>500</v>
      </c>
      <c r="D700">
        <v>0</v>
      </c>
      <c r="E700">
        <v>1924</v>
      </c>
      <c r="F700">
        <v>459</v>
      </c>
      <c r="G700">
        <v>41</v>
      </c>
      <c r="H700">
        <v>1100</v>
      </c>
      <c r="I700">
        <v>100</v>
      </c>
      <c r="J700">
        <v>1200</v>
      </c>
      <c r="K700">
        <v>3200</v>
      </c>
      <c r="L700">
        <v>3300</v>
      </c>
      <c r="M700">
        <v>8900</v>
      </c>
      <c r="N700" s="2">
        <v>1.4147743357837171E-4</v>
      </c>
    </row>
    <row r="701" spans="1:14" hidden="1" x14ac:dyDescent="0.25">
      <c r="A701" t="s">
        <v>53</v>
      </c>
      <c r="B701" t="s">
        <v>84</v>
      </c>
      <c r="C701">
        <v>3327</v>
      </c>
      <c r="D701">
        <v>2382</v>
      </c>
      <c r="E701">
        <v>1227</v>
      </c>
      <c r="F701">
        <v>142</v>
      </c>
      <c r="G701">
        <v>182</v>
      </c>
      <c r="H701">
        <v>25</v>
      </c>
      <c r="I701">
        <v>1</v>
      </c>
      <c r="J701">
        <v>0</v>
      </c>
      <c r="K701">
        <v>0</v>
      </c>
      <c r="L701">
        <v>0</v>
      </c>
      <c r="M701">
        <v>26</v>
      </c>
      <c r="N701" s="2">
        <v>4.1330486213906352E-7</v>
      </c>
    </row>
    <row r="702" spans="1:14" hidden="1" x14ac:dyDescent="0.25">
      <c r="A702" t="s">
        <v>53</v>
      </c>
      <c r="B702" t="s">
        <v>85</v>
      </c>
      <c r="C702">
        <v>165397</v>
      </c>
      <c r="D702">
        <v>151964</v>
      </c>
      <c r="E702">
        <v>160393</v>
      </c>
      <c r="F702">
        <v>176200</v>
      </c>
      <c r="G702">
        <v>176216</v>
      </c>
      <c r="H702">
        <v>243000</v>
      </c>
      <c r="I702">
        <v>250100</v>
      </c>
      <c r="J702">
        <v>253700</v>
      </c>
      <c r="K702">
        <v>257500</v>
      </c>
      <c r="L702">
        <v>265248</v>
      </c>
      <c r="M702">
        <v>1269548</v>
      </c>
      <c r="N702" s="2">
        <v>2.018116773534322E-2</v>
      </c>
    </row>
    <row r="703" spans="1:14" hidden="1" x14ac:dyDescent="0.25">
      <c r="A703" t="s">
        <v>53</v>
      </c>
      <c r="B703" t="s">
        <v>147</v>
      </c>
      <c r="C703">
        <v>85000</v>
      </c>
      <c r="D703">
        <v>90742</v>
      </c>
      <c r="E703">
        <v>93394</v>
      </c>
      <c r="F703">
        <v>96889</v>
      </c>
      <c r="G703">
        <v>100817</v>
      </c>
      <c r="H703">
        <v>103105</v>
      </c>
      <c r="I703">
        <v>102808</v>
      </c>
      <c r="J703">
        <v>102473</v>
      </c>
      <c r="K703">
        <v>100600</v>
      </c>
      <c r="L703">
        <v>101000</v>
      </c>
      <c r="M703">
        <v>509986</v>
      </c>
      <c r="N703" s="2">
        <v>8.106911285494324E-3</v>
      </c>
    </row>
    <row r="704" spans="1:14" hidden="1" x14ac:dyDescent="0.25">
      <c r="A704" t="s">
        <v>53</v>
      </c>
      <c r="B704" t="s">
        <v>116</v>
      </c>
      <c r="C704">
        <v>279150</v>
      </c>
      <c r="D704">
        <v>281781</v>
      </c>
      <c r="E704">
        <v>281456</v>
      </c>
      <c r="F704">
        <v>268863</v>
      </c>
      <c r="G704">
        <v>274226</v>
      </c>
      <c r="H704">
        <v>274061</v>
      </c>
      <c r="I704">
        <v>260956</v>
      </c>
      <c r="J704">
        <v>260267</v>
      </c>
      <c r="K704">
        <v>189900</v>
      </c>
      <c r="L704">
        <v>197400</v>
      </c>
      <c r="M704">
        <v>1182584</v>
      </c>
      <c r="N704" s="2">
        <v>1.8798758349533162E-2</v>
      </c>
    </row>
    <row r="705" spans="1:14" hidden="1" x14ac:dyDescent="0.25">
      <c r="A705" t="s">
        <v>53</v>
      </c>
      <c r="B705" t="s">
        <v>145</v>
      </c>
      <c r="C705">
        <v>9000</v>
      </c>
      <c r="D705">
        <v>14000</v>
      </c>
      <c r="E705">
        <v>10000</v>
      </c>
      <c r="F705">
        <v>10000</v>
      </c>
      <c r="G705">
        <v>11000</v>
      </c>
      <c r="H705">
        <v>12000</v>
      </c>
      <c r="I705">
        <v>15000</v>
      </c>
      <c r="J705">
        <v>14000</v>
      </c>
      <c r="K705">
        <v>12000</v>
      </c>
      <c r="L705">
        <v>14000</v>
      </c>
      <c r="M705">
        <v>67000</v>
      </c>
      <c r="N705" s="2">
        <v>1.065054837050664E-3</v>
      </c>
    </row>
    <row r="706" spans="1:14" hidden="1" x14ac:dyDescent="0.25">
      <c r="A706" t="s">
        <v>53</v>
      </c>
      <c r="B706" t="s">
        <v>86</v>
      </c>
      <c r="C706">
        <v>4590900</v>
      </c>
      <c r="D706">
        <v>4935100</v>
      </c>
      <c r="E706">
        <v>4704319</v>
      </c>
      <c r="F706">
        <v>4421600</v>
      </c>
      <c r="G706">
        <v>4603884</v>
      </c>
      <c r="H706">
        <v>4726200</v>
      </c>
      <c r="I706">
        <v>4942947</v>
      </c>
      <c r="J706">
        <v>5221500</v>
      </c>
      <c r="K706">
        <v>6443071</v>
      </c>
      <c r="L706">
        <v>7365000</v>
      </c>
      <c r="M706">
        <v>28698718</v>
      </c>
      <c r="N706" s="2">
        <v>0.45620460332914842</v>
      </c>
    </row>
    <row r="707" spans="1:14" hidden="1" x14ac:dyDescent="0.25">
      <c r="A707" t="s">
        <v>53</v>
      </c>
      <c r="B707" t="s">
        <v>87</v>
      </c>
      <c r="C707">
        <v>42000</v>
      </c>
      <c r="D707">
        <v>42000</v>
      </c>
      <c r="E707">
        <v>42000</v>
      </c>
      <c r="F707">
        <v>42000</v>
      </c>
      <c r="G707">
        <v>42000</v>
      </c>
      <c r="H707">
        <v>43000</v>
      </c>
      <c r="I707">
        <v>44000</v>
      </c>
      <c r="J707">
        <v>44000</v>
      </c>
      <c r="K707">
        <v>41000</v>
      </c>
      <c r="L707">
        <v>41000</v>
      </c>
      <c r="M707">
        <v>213000</v>
      </c>
      <c r="N707" s="2">
        <v>3.3859206013700199E-3</v>
      </c>
    </row>
    <row r="708" spans="1:14" hidden="1" x14ac:dyDescent="0.25">
      <c r="A708" t="s">
        <v>53</v>
      </c>
      <c r="B708" t="s">
        <v>190</v>
      </c>
      <c r="C708">
        <v>4000</v>
      </c>
      <c r="D708">
        <v>7000</v>
      </c>
      <c r="E708">
        <v>7000</v>
      </c>
      <c r="F708">
        <v>7000</v>
      </c>
      <c r="G708">
        <v>8000</v>
      </c>
      <c r="H708">
        <v>10400</v>
      </c>
      <c r="I708">
        <v>10000</v>
      </c>
      <c r="J708">
        <v>9000</v>
      </c>
      <c r="K708">
        <v>8000</v>
      </c>
      <c r="L708">
        <v>10000</v>
      </c>
      <c r="M708">
        <v>47400</v>
      </c>
      <c r="N708" s="2">
        <v>7.5348655636121571E-4</v>
      </c>
    </row>
    <row r="709" spans="1:14" hidden="1" x14ac:dyDescent="0.25">
      <c r="A709" t="s">
        <v>53</v>
      </c>
      <c r="B709" t="s">
        <v>88</v>
      </c>
      <c r="C709">
        <v>0</v>
      </c>
      <c r="D709">
        <v>0</v>
      </c>
      <c r="E709">
        <v>600</v>
      </c>
      <c r="F709">
        <v>1200</v>
      </c>
      <c r="G709">
        <v>3900</v>
      </c>
      <c r="H709">
        <v>4300</v>
      </c>
      <c r="I709">
        <v>5000</v>
      </c>
      <c r="J709">
        <v>5300</v>
      </c>
      <c r="K709">
        <v>4800</v>
      </c>
      <c r="L709">
        <v>5100</v>
      </c>
      <c r="M709">
        <v>24500</v>
      </c>
      <c r="N709" s="2">
        <v>3.8946035086180982E-4</v>
      </c>
    </row>
    <row r="710" spans="1:14" hidden="1" x14ac:dyDescent="0.25">
      <c r="A710" t="s">
        <v>53</v>
      </c>
      <c r="B710" t="s">
        <v>160</v>
      </c>
      <c r="G710">
        <v>5000</v>
      </c>
      <c r="H710">
        <v>5000</v>
      </c>
      <c r="I710">
        <v>5000</v>
      </c>
      <c r="J710">
        <v>5000</v>
      </c>
      <c r="K710">
        <v>5000</v>
      </c>
      <c r="L710">
        <v>5000</v>
      </c>
      <c r="M710">
        <v>25000</v>
      </c>
      <c r="N710" s="2">
        <v>3.97408521287561E-4</v>
      </c>
    </row>
    <row r="711" spans="1:14" hidden="1" x14ac:dyDescent="0.25">
      <c r="A711" t="s">
        <v>53</v>
      </c>
      <c r="B711" t="s">
        <v>217</v>
      </c>
      <c r="C711">
        <v>41000</v>
      </c>
      <c r="D711">
        <v>42000</v>
      </c>
      <c r="E711">
        <v>44000</v>
      </c>
      <c r="F711">
        <v>44000</v>
      </c>
      <c r="G711">
        <v>43000</v>
      </c>
      <c r="H711">
        <v>43000</v>
      </c>
      <c r="I711">
        <v>43000</v>
      </c>
      <c r="J711">
        <v>43000</v>
      </c>
      <c r="K711">
        <v>42000</v>
      </c>
      <c r="L711">
        <v>42000</v>
      </c>
      <c r="M711">
        <v>213000</v>
      </c>
      <c r="N711" s="2">
        <v>3.3859206013700199E-3</v>
      </c>
    </row>
    <row r="712" spans="1:14" hidden="1" x14ac:dyDescent="0.25">
      <c r="A712" t="s">
        <v>53</v>
      </c>
      <c r="B712" t="s">
        <v>89</v>
      </c>
      <c r="C712">
        <v>5000</v>
      </c>
      <c r="D712">
        <v>6000</v>
      </c>
      <c r="E712">
        <v>6000</v>
      </c>
      <c r="F712">
        <v>6000</v>
      </c>
      <c r="G712">
        <v>8000</v>
      </c>
      <c r="H712">
        <v>7000</v>
      </c>
      <c r="I712">
        <v>7000</v>
      </c>
      <c r="J712">
        <v>7000</v>
      </c>
      <c r="K712">
        <v>6000</v>
      </c>
      <c r="L712">
        <v>6000</v>
      </c>
      <c r="M712">
        <v>33000</v>
      </c>
      <c r="N712" s="2">
        <v>5.2457924809958055E-4</v>
      </c>
    </row>
    <row r="713" spans="1:14" hidden="1" x14ac:dyDescent="0.25">
      <c r="A713" t="s">
        <v>53</v>
      </c>
      <c r="B713" t="s">
        <v>128</v>
      </c>
      <c r="F713">
        <v>24000</v>
      </c>
      <c r="G713">
        <v>25000</v>
      </c>
      <c r="H713">
        <v>26000</v>
      </c>
      <c r="I713">
        <v>26000</v>
      </c>
      <c r="J713">
        <v>28000</v>
      </c>
      <c r="K713">
        <v>26000</v>
      </c>
      <c r="L713">
        <v>26000</v>
      </c>
      <c r="M713">
        <v>132000</v>
      </c>
      <c r="N713" s="2">
        <v>2.0983169923983222E-3</v>
      </c>
    </row>
    <row r="714" spans="1:14" hidden="1" x14ac:dyDescent="0.25">
      <c r="A714" t="s">
        <v>53</v>
      </c>
      <c r="B714" t="s">
        <v>231</v>
      </c>
      <c r="C714">
        <v>8046</v>
      </c>
      <c r="D714">
        <v>7581</v>
      </c>
      <c r="E714">
        <v>8588</v>
      </c>
      <c r="F714">
        <v>8329</v>
      </c>
      <c r="G714">
        <v>8348</v>
      </c>
      <c r="H714">
        <v>9606</v>
      </c>
      <c r="I714">
        <v>7393</v>
      </c>
      <c r="J714">
        <v>8226</v>
      </c>
      <c r="K714">
        <v>9925</v>
      </c>
      <c r="L714">
        <v>10000</v>
      </c>
      <c r="M714">
        <v>45150</v>
      </c>
      <c r="N714" s="2">
        <v>7.1771978944533518E-4</v>
      </c>
    </row>
    <row r="715" spans="1:14" hidden="1" x14ac:dyDescent="0.25">
      <c r="A715" t="s">
        <v>53</v>
      </c>
      <c r="B715" t="s">
        <v>91</v>
      </c>
      <c r="C715">
        <v>83000</v>
      </c>
      <c r="D715">
        <v>71000</v>
      </c>
      <c r="E715">
        <v>72000</v>
      </c>
      <c r="F715">
        <v>72000</v>
      </c>
      <c r="G715">
        <v>70000</v>
      </c>
      <c r="H715">
        <v>70000</v>
      </c>
      <c r="I715">
        <v>70000</v>
      </c>
      <c r="J715">
        <v>70000</v>
      </c>
      <c r="K715">
        <v>60000</v>
      </c>
      <c r="L715">
        <v>70000</v>
      </c>
      <c r="M715">
        <v>340000</v>
      </c>
      <c r="N715" s="2">
        <v>5.4047558895108294E-3</v>
      </c>
    </row>
    <row r="716" spans="1:14" hidden="1" x14ac:dyDescent="0.25">
      <c r="A716" t="s">
        <v>53</v>
      </c>
      <c r="B716" t="s">
        <v>117</v>
      </c>
      <c r="C716">
        <v>423000</v>
      </c>
      <c r="D716">
        <v>400000</v>
      </c>
      <c r="E716">
        <v>380000</v>
      </c>
      <c r="F716">
        <v>378000</v>
      </c>
      <c r="G716">
        <v>339000</v>
      </c>
      <c r="H716">
        <v>354000</v>
      </c>
      <c r="I716">
        <v>315000</v>
      </c>
      <c r="J716">
        <v>326000</v>
      </c>
      <c r="K716">
        <v>335000</v>
      </c>
      <c r="L716">
        <v>310006</v>
      </c>
      <c r="M716">
        <v>1640006</v>
      </c>
      <c r="N716" s="2">
        <v>2.607009437450911E-2</v>
      </c>
    </row>
    <row r="717" spans="1:14" hidden="1" x14ac:dyDescent="0.25">
      <c r="A717" t="s">
        <v>53</v>
      </c>
      <c r="B717" t="s">
        <v>92</v>
      </c>
      <c r="C717">
        <v>2961</v>
      </c>
      <c r="D717">
        <v>3076</v>
      </c>
      <c r="E717">
        <v>2817</v>
      </c>
      <c r="F717">
        <v>3048</v>
      </c>
      <c r="G717">
        <v>1823</v>
      </c>
      <c r="H717">
        <v>1150</v>
      </c>
      <c r="I717">
        <v>1200</v>
      </c>
      <c r="J717">
        <v>1000</v>
      </c>
      <c r="K717">
        <v>1000</v>
      </c>
      <c r="L717">
        <v>13456</v>
      </c>
      <c r="M717">
        <v>17806</v>
      </c>
      <c r="N717" s="2">
        <v>2.8305024520185239E-4</v>
      </c>
    </row>
    <row r="718" spans="1:14" hidden="1" x14ac:dyDescent="0.25">
      <c r="A718" t="s">
        <v>53</v>
      </c>
      <c r="B718" t="s">
        <v>93</v>
      </c>
      <c r="C718">
        <v>6000</v>
      </c>
      <c r="D718">
        <v>7000</v>
      </c>
      <c r="E718">
        <v>18000</v>
      </c>
      <c r="F718">
        <v>24000</v>
      </c>
      <c r="G718">
        <v>28000</v>
      </c>
      <c r="H718">
        <v>28000</v>
      </c>
      <c r="I718">
        <v>30000</v>
      </c>
      <c r="J718">
        <v>28000</v>
      </c>
      <c r="K718">
        <v>26000</v>
      </c>
      <c r="L718">
        <v>29000</v>
      </c>
      <c r="M718">
        <v>141000</v>
      </c>
      <c r="N718" s="2">
        <v>2.2413840600618439E-3</v>
      </c>
    </row>
    <row r="719" spans="1:14" hidden="1" x14ac:dyDescent="0.25">
      <c r="A719" t="s">
        <v>53</v>
      </c>
      <c r="B719" t="s">
        <v>196</v>
      </c>
      <c r="C719">
        <v>11000</v>
      </c>
      <c r="D719">
        <v>12000</v>
      </c>
      <c r="E719">
        <v>12000</v>
      </c>
      <c r="F719">
        <v>12000</v>
      </c>
      <c r="G719">
        <v>12000</v>
      </c>
      <c r="H719">
        <v>12000</v>
      </c>
      <c r="I719">
        <v>12000</v>
      </c>
      <c r="J719">
        <v>12000</v>
      </c>
      <c r="K719">
        <v>11000</v>
      </c>
      <c r="L719">
        <v>12000</v>
      </c>
      <c r="M719">
        <v>59000</v>
      </c>
      <c r="N719" s="2">
        <v>9.37884110238644E-4</v>
      </c>
    </row>
    <row r="720" spans="1:14" hidden="1" x14ac:dyDescent="0.25">
      <c r="A720" t="s">
        <v>53</v>
      </c>
      <c r="B720" t="s">
        <v>197</v>
      </c>
      <c r="C720">
        <v>0</v>
      </c>
      <c r="D720">
        <v>0</v>
      </c>
      <c r="E720">
        <v>0</v>
      </c>
      <c r="F720">
        <v>0</v>
      </c>
      <c r="G720">
        <v>0</v>
      </c>
      <c r="H720">
        <v>4500</v>
      </c>
      <c r="I720">
        <v>8000</v>
      </c>
      <c r="J720">
        <v>5000</v>
      </c>
      <c r="K720">
        <v>5000</v>
      </c>
      <c r="L720">
        <v>6000</v>
      </c>
      <c r="M720">
        <v>28500</v>
      </c>
      <c r="N720" s="2">
        <v>4.5304571426781949E-4</v>
      </c>
    </row>
    <row r="721" spans="1:14" hidden="1" x14ac:dyDescent="0.25">
      <c r="A721" t="s">
        <v>53</v>
      </c>
      <c r="B721" t="s">
        <v>97</v>
      </c>
      <c r="C721">
        <v>460100</v>
      </c>
      <c r="D721">
        <v>463000</v>
      </c>
      <c r="E721">
        <v>475000</v>
      </c>
      <c r="F721">
        <v>503000</v>
      </c>
      <c r="G721">
        <v>528000</v>
      </c>
      <c r="H721">
        <v>573000</v>
      </c>
      <c r="I721">
        <v>626000</v>
      </c>
      <c r="J721">
        <v>599000</v>
      </c>
      <c r="K721">
        <v>365000</v>
      </c>
      <c r="L721">
        <v>893158</v>
      </c>
      <c r="M721">
        <v>3056158</v>
      </c>
      <c r="N721" s="2">
        <v>4.8581729264045997E-2</v>
      </c>
    </row>
    <row r="722" spans="1:14" hidden="1" x14ac:dyDescent="0.25">
      <c r="A722" t="s">
        <v>53</v>
      </c>
      <c r="B722" t="s">
        <v>98</v>
      </c>
      <c r="C722">
        <v>45000</v>
      </c>
      <c r="D722">
        <v>42000</v>
      </c>
      <c r="E722">
        <v>46000</v>
      </c>
      <c r="F722">
        <v>46000</v>
      </c>
      <c r="G722">
        <v>48000</v>
      </c>
      <c r="H722">
        <v>46000</v>
      </c>
      <c r="I722">
        <v>54000</v>
      </c>
      <c r="J722">
        <v>54000</v>
      </c>
      <c r="K722">
        <v>53000</v>
      </c>
      <c r="L722">
        <v>54000</v>
      </c>
      <c r="M722">
        <v>261000</v>
      </c>
      <c r="N722" s="2">
        <v>4.1489449622421374E-3</v>
      </c>
    </row>
    <row r="723" spans="1:14" hidden="1" x14ac:dyDescent="0.25">
      <c r="A723" t="s">
        <v>53</v>
      </c>
      <c r="B723" t="s">
        <v>99</v>
      </c>
      <c r="C723">
        <v>81000</v>
      </c>
      <c r="D723">
        <v>76000</v>
      </c>
      <c r="E723">
        <v>72000</v>
      </c>
      <c r="F723">
        <v>78000</v>
      </c>
      <c r="G723">
        <v>130000</v>
      </c>
      <c r="H723">
        <v>132000</v>
      </c>
      <c r="I723">
        <v>125000</v>
      </c>
      <c r="J723">
        <v>122000</v>
      </c>
      <c r="K723">
        <v>117000</v>
      </c>
      <c r="L723">
        <v>120000</v>
      </c>
      <c r="M723">
        <v>616000</v>
      </c>
      <c r="N723" s="2">
        <v>9.7921459645255032E-3</v>
      </c>
    </row>
    <row r="724" spans="1:14" hidden="1" x14ac:dyDescent="0.25">
      <c r="A724" t="s">
        <v>53</v>
      </c>
      <c r="B724" t="s">
        <v>118</v>
      </c>
      <c r="C724">
        <v>16000</v>
      </c>
      <c r="D724">
        <v>17000</v>
      </c>
      <c r="E724">
        <v>17200</v>
      </c>
      <c r="F724">
        <v>17200</v>
      </c>
      <c r="G724">
        <v>18000</v>
      </c>
      <c r="H724">
        <v>17500</v>
      </c>
      <c r="I724">
        <v>15000</v>
      </c>
      <c r="J724">
        <v>16300</v>
      </c>
      <c r="K724">
        <v>12000</v>
      </c>
      <c r="L724">
        <v>14000</v>
      </c>
      <c r="M724">
        <v>74800</v>
      </c>
      <c r="N724" s="2">
        <v>1.1890462956923821E-3</v>
      </c>
    </row>
    <row r="725" spans="1:14" hidden="1" x14ac:dyDescent="0.25">
      <c r="A725" t="s">
        <v>53</v>
      </c>
      <c r="B725" t="s">
        <v>222</v>
      </c>
      <c r="C725">
        <v>21791</v>
      </c>
      <c r="D725">
        <v>22148</v>
      </c>
      <c r="E725">
        <v>26426</v>
      </c>
      <c r="F725">
        <v>26000</v>
      </c>
      <c r="G725">
        <v>24128</v>
      </c>
      <c r="H725">
        <v>25261</v>
      </c>
      <c r="I725">
        <v>28700</v>
      </c>
      <c r="J725">
        <v>24090</v>
      </c>
      <c r="K725">
        <v>23946</v>
      </c>
      <c r="L725">
        <v>23896</v>
      </c>
      <c r="M725">
        <v>125893</v>
      </c>
      <c r="N725" s="2">
        <v>2.0012380388181972E-3</v>
      </c>
    </row>
    <row r="726" spans="1:14" hidden="1" x14ac:dyDescent="0.25">
      <c r="A726" t="s">
        <v>53</v>
      </c>
      <c r="B726" t="s">
        <v>182</v>
      </c>
      <c r="C726">
        <v>138400</v>
      </c>
      <c r="D726">
        <v>179700</v>
      </c>
      <c r="E726">
        <v>209600</v>
      </c>
      <c r="F726">
        <v>209900</v>
      </c>
      <c r="G726">
        <v>187200</v>
      </c>
      <c r="H726">
        <v>173700</v>
      </c>
      <c r="I726">
        <v>167500</v>
      </c>
      <c r="J726">
        <v>159100</v>
      </c>
      <c r="K726">
        <v>152700</v>
      </c>
      <c r="L726">
        <v>158300</v>
      </c>
      <c r="M726">
        <v>811300</v>
      </c>
      <c r="N726" s="2">
        <v>1.289670133282393E-2</v>
      </c>
    </row>
    <row r="727" spans="1:14" hidden="1" x14ac:dyDescent="0.25">
      <c r="A727" t="s">
        <v>53</v>
      </c>
      <c r="B727" t="s">
        <v>119</v>
      </c>
      <c r="C727">
        <v>258527</v>
      </c>
      <c r="D727">
        <v>251854</v>
      </c>
      <c r="E727">
        <v>240000</v>
      </c>
      <c r="F727">
        <v>232000</v>
      </c>
      <c r="G727">
        <v>240000</v>
      </c>
      <c r="H727">
        <v>239000</v>
      </c>
      <c r="I727">
        <v>240000</v>
      </c>
      <c r="J727">
        <v>237000</v>
      </c>
      <c r="K727">
        <v>237600</v>
      </c>
      <c r="L727">
        <v>247000</v>
      </c>
      <c r="M727">
        <v>1200600</v>
      </c>
      <c r="N727" s="2">
        <v>1.9085146826313831E-2</v>
      </c>
    </row>
    <row r="728" spans="1:14" hidden="1" x14ac:dyDescent="0.25">
      <c r="A728" t="s">
        <v>53</v>
      </c>
      <c r="B728" t="s">
        <v>102</v>
      </c>
      <c r="C728">
        <v>88099</v>
      </c>
      <c r="D728">
        <v>91072</v>
      </c>
      <c r="E728">
        <v>127064</v>
      </c>
      <c r="F728">
        <v>120108</v>
      </c>
      <c r="G728">
        <v>134144</v>
      </c>
      <c r="H728">
        <v>147328</v>
      </c>
      <c r="I728">
        <v>148570</v>
      </c>
      <c r="J728">
        <v>127476</v>
      </c>
      <c r="K728">
        <v>123371</v>
      </c>
      <c r="L728">
        <v>111361</v>
      </c>
      <c r="M728">
        <v>658106</v>
      </c>
      <c r="N728" s="2">
        <v>1.0461477292418871E-2</v>
      </c>
    </row>
    <row r="729" spans="1:14" hidden="1" x14ac:dyDescent="0.25">
      <c r="A729" t="s">
        <v>53</v>
      </c>
      <c r="B729" t="s">
        <v>198</v>
      </c>
      <c r="C729">
        <v>1000</v>
      </c>
      <c r="D729">
        <v>1000</v>
      </c>
      <c r="E729">
        <v>1000</v>
      </c>
      <c r="F729">
        <v>1100</v>
      </c>
      <c r="G729">
        <v>1100</v>
      </c>
      <c r="H729">
        <v>1400</v>
      </c>
      <c r="I729">
        <v>1000</v>
      </c>
      <c r="J729">
        <v>1000</v>
      </c>
      <c r="K729">
        <v>1000</v>
      </c>
      <c r="L729">
        <v>1000</v>
      </c>
      <c r="M729">
        <v>5400</v>
      </c>
      <c r="N729" s="2">
        <v>8.5840240598113174E-5</v>
      </c>
    </row>
    <row r="730" spans="1:14" hidden="1" x14ac:dyDescent="0.25">
      <c r="A730" t="s">
        <v>53</v>
      </c>
      <c r="B730" t="s">
        <v>148</v>
      </c>
      <c r="C730">
        <v>460000</v>
      </c>
      <c r="D730">
        <v>427700</v>
      </c>
      <c r="E730">
        <v>634700</v>
      </c>
      <c r="F730">
        <v>656500</v>
      </c>
      <c r="G730">
        <v>812500</v>
      </c>
      <c r="H730">
        <v>806600</v>
      </c>
      <c r="I730">
        <v>801000</v>
      </c>
      <c r="J730">
        <v>813000</v>
      </c>
      <c r="K730">
        <v>770000</v>
      </c>
      <c r="L730">
        <v>800000</v>
      </c>
      <c r="M730">
        <v>3990600</v>
      </c>
      <c r="N730" s="2">
        <v>6.343593780200564E-2</v>
      </c>
    </row>
    <row r="731" spans="1:14" hidden="1" x14ac:dyDescent="0.25">
      <c r="A731" t="s">
        <v>53</v>
      </c>
      <c r="B731" t="s">
        <v>149</v>
      </c>
      <c r="C731">
        <v>3000</v>
      </c>
      <c r="D731">
        <v>3000</v>
      </c>
      <c r="E731">
        <v>3000</v>
      </c>
      <c r="F731">
        <v>1000</v>
      </c>
      <c r="G731">
        <v>2000</v>
      </c>
      <c r="H731">
        <v>2000</v>
      </c>
      <c r="I731">
        <v>2000</v>
      </c>
      <c r="J731">
        <v>3000</v>
      </c>
      <c r="K731">
        <v>3000</v>
      </c>
      <c r="L731">
        <v>3000</v>
      </c>
      <c r="M731">
        <v>13000</v>
      </c>
      <c r="N731" s="2">
        <v>2.066524310695317E-4</v>
      </c>
    </row>
    <row r="732" spans="1:14" hidden="1" x14ac:dyDescent="0.25">
      <c r="A732" t="s">
        <v>53</v>
      </c>
      <c r="B732" t="s">
        <v>232</v>
      </c>
      <c r="C732">
        <v>7200</v>
      </c>
      <c r="D732">
        <v>7200</v>
      </c>
      <c r="E732">
        <v>7200</v>
      </c>
      <c r="F732">
        <v>10000</v>
      </c>
      <c r="G732">
        <v>11300</v>
      </c>
      <c r="H732">
        <v>11900</v>
      </c>
      <c r="I732">
        <v>6000</v>
      </c>
      <c r="J732">
        <v>26000</v>
      </c>
      <c r="K732">
        <v>22000</v>
      </c>
      <c r="L732">
        <v>20000</v>
      </c>
      <c r="M732">
        <v>85900</v>
      </c>
      <c r="N732" s="2">
        <v>1.36549567914406E-3</v>
      </c>
    </row>
    <row r="733" spans="1:14" hidden="1" x14ac:dyDescent="0.25">
      <c r="A733" t="s">
        <v>53</v>
      </c>
      <c r="B733" t="s">
        <v>103</v>
      </c>
      <c r="C733">
        <v>32100</v>
      </c>
      <c r="D733">
        <v>32000</v>
      </c>
      <c r="E733">
        <v>26200</v>
      </c>
      <c r="F733">
        <v>25300</v>
      </c>
      <c r="G733">
        <v>28000</v>
      </c>
      <c r="H733">
        <v>30000</v>
      </c>
      <c r="I733">
        <v>30000</v>
      </c>
      <c r="J733">
        <v>35000</v>
      </c>
      <c r="K733">
        <v>33000</v>
      </c>
      <c r="L733">
        <v>33000</v>
      </c>
      <c r="M733">
        <v>161000</v>
      </c>
      <c r="N733" s="2">
        <v>2.559310877091893E-3</v>
      </c>
    </row>
    <row r="734" spans="1:14" hidden="1" x14ac:dyDescent="0.25">
      <c r="A734" t="s">
        <v>53</v>
      </c>
      <c r="B734" t="s">
        <v>150</v>
      </c>
      <c r="C734">
        <v>279100</v>
      </c>
      <c r="D734">
        <v>371200</v>
      </c>
      <c r="E734">
        <v>363500</v>
      </c>
      <c r="F734">
        <v>414000</v>
      </c>
      <c r="G734">
        <v>401400</v>
      </c>
      <c r="H734">
        <v>422800</v>
      </c>
      <c r="I734">
        <v>433107</v>
      </c>
      <c r="J734">
        <v>446889</v>
      </c>
      <c r="K734">
        <v>410000</v>
      </c>
      <c r="L734">
        <v>426355</v>
      </c>
      <c r="M734">
        <v>2139151</v>
      </c>
      <c r="N734" s="2">
        <v>3.4004673428832302E-2</v>
      </c>
    </row>
    <row r="735" spans="1:14" hidden="1" x14ac:dyDescent="0.25">
      <c r="A735" t="s">
        <v>53</v>
      </c>
      <c r="B735" t="s">
        <v>161</v>
      </c>
      <c r="C735">
        <v>15600</v>
      </c>
      <c r="D735">
        <v>14000</v>
      </c>
      <c r="E735">
        <v>15000</v>
      </c>
      <c r="F735">
        <v>14000</v>
      </c>
      <c r="G735">
        <v>11000</v>
      </c>
      <c r="H735">
        <v>8000</v>
      </c>
      <c r="I735">
        <v>8000</v>
      </c>
      <c r="J735">
        <v>8000</v>
      </c>
      <c r="K735">
        <v>7000</v>
      </c>
      <c r="L735">
        <v>7000</v>
      </c>
      <c r="M735">
        <v>38000</v>
      </c>
      <c r="N735" s="2">
        <v>6.0406095235709272E-4</v>
      </c>
    </row>
    <row r="736" spans="1:14" hidden="1" x14ac:dyDescent="0.25">
      <c r="A736" t="s">
        <v>53</v>
      </c>
      <c r="B736" t="s">
        <v>105</v>
      </c>
      <c r="C736">
        <v>1500</v>
      </c>
      <c r="D736">
        <v>1900</v>
      </c>
      <c r="E736">
        <v>2310</v>
      </c>
      <c r="F736">
        <v>2494</v>
      </c>
      <c r="G736">
        <v>2844</v>
      </c>
      <c r="H736">
        <v>3828</v>
      </c>
      <c r="I736">
        <v>3422</v>
      </c>
      <c r="J736">
        <v>3943</v>
      </c>
      <c r="K736">
        <v>4200</v>
      </c>
      <c r="L736">
        <v>4594</v>
      </c>
      <c r="M736">
        <v>19987</v>
      </c>
      <c r="N736" s="2">
        <v>3.1772016459897932E-4</v>
      </c>
    </row>
    <row r="737" spans="1:14" hidden="1" x14ac:dyDescent="0.25">
      <c r="A737" t="s">
        <v>53</v>
      </c>
      <c r="B737" t="s">
        <v>174</v>
      </c>
      <c r="C737">
        <v>200</v>
      </c>
      <c r="D737">
        <v>200</v>
      </c>
      <c r="E737">
        <v>200</v>
      </c>
      <c r="F737">
        <v>800</v>
      </c>
      <c r="G737">
        <v>6100</v>
      </c>
      <c r="H737">
        <v>12100</v>
      </c>
      <c r="I737">
        <v>7300</v>
      </c>
      <c r="J737">
        <v>14800</v>
      </c>
      <c r="K737">
        <v>10500</v>
      </c>
      <c r="L737">
        <v>11000</v>
      </c>
      <c r="M737">
        <v>55700</v>
      </c>
      <c r="N737" s="2">
        <v>8.8542618542868589E-4</v>
      </c>
    </row>
    <row r="738" spans="1:14" hidden="1" x14ac:dyDescent="0.25">
      <c r="A738" t="s">
        <v>53</v>
      </c>
      <c r="B738" t="s">
        <v>130</v>
      </c>
      <c r="C738">
        <v>27000</v>
      </c>
      <c r="D738">
        <v>27000</v>
      </c>
      <c r="E738">
        <v>31000</v>
      </c>
      <c r="F738">
        <v>32000</v>
      </c>
      <c r="G738">
        <v>33000</v>
      </c>
      <c r="H738">
        <v>36000</v>
      </c>
      <c r="I738">
        <v>36000</v>
      </c>
      <c r="J738">
        <v>36000</v>
      </c>
      <c r="K738">
        <v>34000</v>
      </c>
      <c r="L738">
        <v>34000</v>
      </c>
      <c r="M738">
        <v>176000</v>
      </c>
      <c r="N738" s="2">
        <v>2.797755989864429E-3</v>
      </c>
    </row>
    <row r="739" spans="1:14" hidden="1" x14ac:dyDescent="0.25">
      <c r="A739" t="s">
        <v>53</v>
      </c>
      <c r="B739" t="s">
        <v>203</v>
      </c>
      <c r="C739">
        <v>15000</v>
      </c>
      <c r="D739">
        <v>14000</v>
      </c>
      <c r="E739">
        <v>14000</v>
      </c>
      <c r="F739">
        <v>2000</v>
      </c>
      <c r="G739">
        <v>9000</v>
      </c>
      <c r="H739">
        <v>8000</v>
      </c>
      <c r="I739">
        <v>7000</v>
      </c>
      <c r="J739">
        <v>17000</v>
      </c>
      <c r="K739">
        <v>14000</v>
      </c>
      <c r="L739">
        <v>15000</v>
      </c>
      <c r="M739">
        <v>61000</v>
      </c>
      <c r="N739" s="2">
        <v>9.6967679194164881E-4</v>
      </c>
    </row>
    <row r="740" spans="1:14" hidden="1" x14ac:dyDescent="0.25">
      <c r="A740" t="s">
        <v>53</v>
      </c>
      <c r="B740" t="s">
        <v>133</v>
      </c>
      <c r="H740">
        <v>5</v>
      </c>
      <c r="I740">
        <v>10</v>
      </c>
      <c r="J740">
        <v>10</v>
      </c>
      <c r="K740">
        <v>9</v>
      </c>
      <c r="L740">
        <v>10</v>
      </c>
      <c r="M740">
        <v>44</v>
      </c>
      <c r="N740" s="2">
        <v>6.9943899746610734E-7</v>
      </c>
    </row>
    <row r="741" spans="1:14" hidden="1" x14ac:dyDescent="0.25">
      <c r="A741" t="s">
        <v>53</v>
      </c>
      <c r="B741" t="s">
        <v>106</v>
      </c>
      <c r="C741">
        <v>1414</v>
      </c>
      <c r="D741">
        <v>2527</v>
      </c>
      <c r="E741">
        <v>2549</v>
      </c>
      <c r="F741">
        <v>100</v>
      </c>
      <c r="G741">
        <v>100</v>
      </c>
      <c r="H741">
        <v>5000</v>
      </c>
      <c r="I741">
        <v>18000</v>
      </c>
      <c r="J741">
        <v>32000</v>
      </c>
      <c r="K741">
        <v>32000</v>
      </c>
      <c r="L741">
        <v>32000</v>
      </c>
      <c r="M741">
        <v>119000</v>
      </c>
      <c r="N741" s="2">
        <v>1.89166456132879E-3</v>
      </c>
    </row>
    <row r="742" spans="1:14" hidden="1" x14ac:dyDescent="0.25">
      <c r="A742" t="s">
        <v>53</v>
      </c>
      <c r="B742" t="s">
        <v>146</v>
      </c>
      <c r="C742">
        <v>5000</v>
      </c>
      <c r="D742">
        <v>62900</v>
      </c>
      <c r="E742">
        <v>54550</v>
      </c>
      <c r="F742">
        <v>5000</v>
      </c>
      <c r="G742">
        <v>10000</v>
      </c>
      <c r="H742">
        <v>15000</v>
      </c>
      <c r="I742">
        <v>15000</v>
      </c>
      <c r="J742">
        <v>15000</v>
      </c>
      <c r="K742">
        <v>10200</v>
      </c>
      <c r="L742">
        <v>13000</v>
      </c>
      <c r="M742">
        <v>68200</v>
      </c>
      <c r="N742" s="2">
        <v>1.0841304460724661E-3</v>
      </c>
    </row>
    <row r="743" spans="1:14" hidden="1" x14ac:dyDescent="0.25">
      <c r="A743" t="s">
        <v>53</v>
      </c>
      <c r="B743" t="s">
        <v>156</v>
      </c>
      <c r="C743">
        <v>32000</v>
      </c>
      <c r="D743">
        <v>32000</v>
      </c>
      <c r="E743">
        <v>30000</v>
      </c>
      <c r="F743">
        <v>28000</v>
      </c>
      <c r="G743">
        <v>14000</v>
      </c>
      <c r="H743">
        <v>10000</v>
      </c>
      <c r="I743">
        <v>10000</v>
      </c>
      <c r="J743">
        <v>10000</v>
      </c>
      <c r="K743">
        <v>10000</v>
      </c>
      <c r="L743">
        <v>10000</v>
      </c>
      <c r="M743">
        <v>50000</v>
      </c>
      <c r="N743" s="2">
        <v>7.9481704257512199E-4</v>
      </c>
    </row>
    <row r="744" spans="1:14" hidden="1" x14ac:dyDescent="0.25">
      <c r="A744" t="s">
        <v>53</v>
      </c>
      <c r="B744" t="s">
        <v>151</v>
      </c>
      <c r="C744">
        <v>141000</v>
      </c>
      <c r="D744">
        <v>145400</v>
      </c>
      <c r="E744">
        <v>149000</v>
      </c>
      <c r="F744">
        <v>155400</v>
      </c>
      <c r="G744">
        <v>154900</v>
      </c>
      <c r="H744">
        <v>157000</v>
      </c>
      <c r="I744">
        <v>159470</v>
      </c>
      <c r="J744">
        <v>158600</v>
      </c>
      <c r="K744">
        <v>139800</v>
      </c>
      <c r="L744">
        <v>144000</v>
      </c>
      <c r="M744">
        <v>758870</v>
      </c>
      <c r="N744" s="2">
        <v>1.206325618197966E-2</v>
      </c>
    </row>
    <row r="745" spans="1:14" hidden="1" x14ac:dyDescent="0.25">
      <c r="A745" t="s">
        <v>53</v>
      </c>
      <c r="B745" t="s">
        <v>178</v>
      </c>
      <c r="C745">
        <v>5000</v>
      </c>
      <c r="D745">
        <v>4000</v>
      </c>
      <c r="E745">
        <v>8000</v>
      </c>
      <c r="F745">
        <v>8000</v>
      </c>
      <c r="G745">
        <v>8000</v>
      </c>
      <c r="H745">
        <v>10000</v>
      </c>
      <c r="I745">
        <v>9000</v>
      </c>
      <c r="J745">
        <v>10000</v>
      </c>
      <c r="K745">
        <v>9000</v>
      </c>
      <c r="L745">
        <v>10000</v>
      </c>
      <c r="M745">
        <v>48000</v>
      </c>
      <c r="N745" s="2">
        <v>7.6302436087211719E-4</v>
      </c>
    </row>
    <row r="746" spans="1:14" hidden="1" x14ac:dyDescent="0.25">
      <c r="A746" t="s">
        <v>53</v>
      </c>
      <c r="B746" t="s">
        <v>120</v>
      </c>
      <c r="C746">
        <v>13200</v>
      </c>
      <c r="D746">
        <v>14000</v>
      </c>
      <c r="E746">
        <v>24000</v>
      </c>
      <c r="F746">
        <v>20000</v>
      </c>
      <c r="G746">
        <v>17000</v>
      </c>
      <c r="H746">
        <v>24000</v>
      </c>
      <c r="I746">
        <v>21000</v>
      </c>
      <c r="J746">
        <v>20000</v>
      </c>
      <c r="K746">
        <v>19000</v>
      </c>
      <c r="L746">
        <v>20000</v>
      </c>
      <c r="M746">
        <v>104000</v>
      </c>
      <c r="N746" s="2">
        <v>1.653219448556254E-3</v>
      </c>
    </row>
    <row r="747" spans="1:14" hidden="1" x14ac:dyDescent="0.25">
      <c r="A747" t="s">
        <v>53</v>
      </c>
      <c r="B747" t="s">
        <v>107</v>
      </c>
      <c r="C747">
        <v>110000</v>
      </c>
      <c r="D747">
        <v>106000</v>
      </c>
      <c r="E747">
        <v>96500</v>
      </c>
      <c r="F747">
        <v>116000</v>
      </c>
      <c r="G747">
        <v>130000</v>
      </c>
      <c r="H747">
        <v>140000</v>
      </c>
      <c r="I747">
        <v>140000</v>
      </c>
      <c r="J747">
        <v>141000</v>
      </c>
      <c r="K747">
        <v>142000</v>
      </c>
      <c r="L747">
        <v>140000</v>
      </c>
      <c r="M747">
        <v>703000</v>
      </c>
      <c r="N747" s="2">
        <v>1.117512761860621E-2</v>
      </c>
    </row>
    <row r="748" spans="1:14" hidden="1" x14ac:dyDescent="0.25">
      <c r="A748" t="s">
        <v>53</v>
      </c>
      <c r="B748" t="s">
        <v>108</v>
      </c>
      <c r="C748">
        <v>37000</v>
      </c>
      <c r="D748">
        <v>37000</v>
      </c>
      <c r="E748">
        <v>36000</v>
      </c>
      <c r="F748">
        <v>37000</v>
      </c>
      <c r="G748">
        <v>60000</v>
      </c>
      <c r="H748">
        <v>72000</v>
      </c>
      <c r="I748">
        <v>68000</v>
      </c>
      <c r="J748">
        <v>68000</v>
      </c>
      <c r="K748">
        <v>66000</v>
      </c>
      <c r="L748">
        <v>70000</v>
      </c>
      <c r="M748">
        <v>344000</v>
      </c>
      <c r="N748" s="2">
        <v>5.4683412529168392E-3</v>
      </c>
    </row>
    <row r="749" spans="1:14" hidden="1" x14ac:dyDescent="0.25">
      <c r="A749" t="s">
        <v>53</v>
      </c>
      <c r="B749" t="s">
        <v>205</v>
      </c>
      <c r="C749">
        <v>3366</v>
      </c>
      <c r="D749">
        <v>2607</v>
      </c>
      <c r="E749">
        <v>2187</v>
      </c>
      <c r="F749">
        <v>1857</v>
      </c>
      <c r="G749">
        <v>3576</v>
      </c>
      <c r="H749">
        <v>3424</v>
      </c>
      <c r="I749">
        <v>3693</v>
      </c>
      <c r="J749">
        <v>4121</v>
      </c>
      <c r="K749">
        <v>4223</v>
      </c>
      <c r="L749">
        <v>4868</v>
      </c>
      <c r="M749">
        <v>20329</v>
      </c>
      <c r="N749" s="2">
        <v>3.231567131701931E-4</v>
      </c>
    </row>
    <row r="750" spans="1:14" hidden="1" x14ac:dyDescent="0.25">
      <c r="A750" t="s">
        <v>53</v>
      </c>
      <c r="B750" t="s">
        <v>179</v>
      </c>
      <c r="C750">
        <v>13000</v>
      </c>
      <c r="D750">
        <v>15000</v>
      </c>
      <c r="E750">
        <v>6000</v>
      </c>
      <c r="F750">
        <v>6000</v>
      </c>
      <c r="G750">
        <v>6000</v>
      </c>
      <c r="H750">
        <v>15000</v>
      </c>
      <c r="I750">
        <v>14000</v>
      </c>
      <c r="J750">
        <v>16000</v>
      </c>
      <c r="K750">
        <v>14000</v>
      </c>
      <c r="L750">
        <v>15000</v>
      </c>
      <c r="M750">
        <v>74000</v>
      </c>
      <c r="N750" s="2">
        <v>1.176329223011181E-3</v>
      </c>
    </row>
    <row r="751" spans="1:14" hidden="1" x14ac:dyDescent="0.25">
      <c r="A751" t="s">
        <v>53</v>
      </c>
      <c r="B751" t="s">
        <v>135</v>
      </c>
      <c r="F751">
        <v>3155</v>
      </c>
      <c r="G751">
        <v>110</v>
      </c>
      <c r="H751">
        <v>9000</v>
      </c>
      <c r="I751">
        <v>9000</v>
      </c>
      <c r="J751">
        <v>9000</v>
      </c>
      <c r="K751">
        <v>8000</v>
      </c>
      <c r="L751">
        <v>9000</v>
      </c>
      <c r="M751">
        <v>44000</v>
      </c>
      <c r="N751" s="2">
        <v>6.9943899746610736E-4</v>
      </c>
    </row>
    <row r="752" spans="1:14" hidden="1" x14ac:dyDescent="0.25">
      <c r="A752" t="s">
        <v>53</v>
      </c>
      <c r="B752" t="s">
        <v>136</v>
      </c>
      <c r="C752">
        <v>12000</v>
      </c>
      <c r="D752">
        <v>12000</v>
      </c>
      <c r="E752">
        <v>11000</v>
      </c>
      <c r="F752">
        <v>12000</v>
      </c>
      <c r="G752">
        <v>12000</v>
      </c>
      <c r="H752">
        <v>12000</v>
      </c>
      <c r="I752">
        <v>12000</v>
      </c>
      <c r="J752">
        <v>12000</v>
      </c>
      <c r="K752">
        <v>11000</v>
      </c>
      <c r="L752">
        <v>12000</v>
      </c>
      <c r="M752">
        <v>59000</v>
      </c>
      <c r="N752" s="2">
        <v>9.37884110238644E-4</v>
      </c>
    </row>
    <row r="753" spans="1:14" hidden="1" x14ac:dyDescent="0.25">
      <c r="A753" t="s">
        <v>53</v>
      </c>
      <c r="B753" t="s">
        <v>137</v>
      </c>
      <c r="C753">
        <v>54000</v>
      </c>
      <c r="D753">
        <v>52000</v>
      </c>
      <c r="E753">
        <v>52000</v>
      </c>
      <c r="F753">
        <v>52000</v>
      </c>
      <c r="G753">
        <v>54000</v>
      </c>
      <c r="H753">
        <v>56000</v>
      </c>
      <c r="I753">
        <v>56000</v>
      </c>
      <c r="J753">
        <v>56000</v>
      </c>
      <c r="K753">
        <v>55000</v>
      </c>
      <c r="L753">
        <v>56000</v>
      </c>
      <c r="M753">
        <v>279000</v>
      </c>
      <c r="N753" s="2">
        <v>4.4350790975691808E-3</v>
      </c>
    </row>
    <row r="754" spans="1:14" hidden="1" x14ac:dyDescent="0.25">
      <c r="A754" t="s">
        <v>53</v>
      </c>
      <c r="B754" t="s">
        <v>121</v>
      </c>
      <c r="C754">
        <v>160000</v>
      </c>
      <c r="D754">
        <v>157000</v>
      </c>
      <c r="E754">
        <v>166000</v>
      </c>
      <c r="F754">
        <v>165000</v>
      </c>
      <c r="G754">
        <v>168800</v>
      </c>
      <c r="H754">
        <v>188400</v>
      </c>
      <c r="I754">
        <v>190000</v>
      </c>
      <c r="J754">
        <v>192000</v>
      </c>
      <c r="K754">
        <v>174600</v>
      </c>
      <c r="L754">
        <v>192000</v>
      </c>
      <c r="M754">
        <v>937000</v>
      </c>
      <c r="N754" s="2">
        <v>1.4894871377857791E-2</v>
      </c>
    </row>
    <row r="755" spans="1:14" hidden="1" x14ac:dyDescent="0.25">
      <c r="A755" t="s">
        <v>53</v>
      </c>
      <c r="B755" t="s">
        <v>211</v>
      </c>
      <c r="C755">
        <v>3762</v>
      </c>
      <c r="D755">
        <v>4803</v>
      </c>
      <c r="E755">
        <v>4528</v>
      </c>
      <c r="F755">
        <v>2548</v>
      </c>
      <c r="G755">
        <v>3006</v>
      </c>
      <c r="H755">
        <v>4500</v>
      </c>
      <c r="I755">
        <v>4700</v>
      </c>
      <c r="J755">
        <v>4700</v>
      </c>
      <c r="K755">
        <v>5000</v>
      </c>
      <c r="L755">
        <v>4054</v>
      </c>
      <c r="M755">
        <v>22954</v>
      </c>
      <c r="N755" s="2">
        <v>3.64884607905387E-4</v>
      </c>
    </row>
    <row r="756" spans="1:14" hidden="1" x14ac:dyDescent="0.25">
      <c r="A756" t="s">
        <v>53</v>
      </c>
      <c r="B756" t="s">
        <v>138</v>
      </c>
      <c r="C756">
        <v>61528</v>
      </c>
      <c r="D756">
        <v>68713</v>
      </c>
      <c r="E756">
        <v>68708</v>
      </c>
      <c r="F756">
        <v>71293</v>
      </c>
      <c r="G756">
        <v>74367</v>
      </c>
      <c r="H756">
        <v>78241</v>
      </c>
      <c r="I756">
        <v>75784</v>
      </c>
      <c r="J756">
        <v>75327</v>
      </c>
      <c r="K756">
        <v>74370</v>
      </c>
      <c r="L756">
        <v>73431</v>
      </c>
      <c r="M756">
        <v>377153</v>
      </c>
      <c r="N756" s="2">
        <v>5.9953526411667003E-3</v>
      </c>
    </row>
    <row r="757" spans="1:14" hidden="1" x14ac:dyDescent="0.25">
      <c r="A757" t="s">
        <v>53</v>
      </c>
      <c r="B757" t="s">
        <v>208</v>
      </c>
      <c r="C757">
        <v>35000</v>
      </c>
      <c r="D757">
        <v>34000</v>
      </c>
      <c r="E757">
        <v>40000</v>
      </c>
      <c r="F757">
        <v>46000</v>
      </c>
      <c r="G757">
        <v>48000</v>
      </c>
      <c r="H757">
        <v>48000</v>
      </c>
      <c r="I757">
        <v>58000</v>
      </c>
      <c r="J757">
        <v>55000</v>
      </c>
      <c r="K757">
        <v>55000</v>
      </c>
      <c r="L757">
        <v>55000</v>
      </c>
      <c r="M757">
        <v>271000</v>
      </c>
      <c r="N757" s="2">
        <v>4.3079083707571611E-3</v>
      </c>
    </row>
    <row r="758" spans="1:14" hidden="1" x14ac:dyDescent="0.25">
      <c r="A758" t="s">
        <v>53</v>
      </c>
      <c r="B758" t="s">
        <v>139</v>
      </c>
      <c r="K758">
        <v>2800</v>
      </c>
      <c r="L758">
        <v>3000</v>
      </c>
      <c r="M758">
        <v>5800</v>
      </c>
      <c r="N758" s="2">
        <v>9.2198776938714157E-5</v>
      </c>
    </row>
    <row r="759" spans="1:14" hidden="1" x14ac:dyDescent="0.25">
      <c r="A759" t="s">
        <v>53</v>
      </c>
      <c r="B759" t="s">
        <v>111</v>
      </c>
      <c r="G759">
        <v>0</v>
      </c>
      <c r="H759">
        <v>0</v>
      </c>
      <c r="I759">
        <v>0</v>
      </c>
      <c r="J759">
        <v>0</v>
      </c>
      <c r="K759">
        <v>2800</v>
      </c>
      <c r="L759">
        <v>6000</v>
      </c>
      <c r="M759">
        <v>8800</v>
      </c>
      <c r="N759" s="2">
        <v>1.3988779949322149E-4</v>
      </c>
    </row>
    <row r="760" spans="1:14" hidden="1" x14ac:dyDescent="0.25">
      <c r="A760" t="s">
        <v>53</v>
      </c>
      <c r="B760" t="s">
        <v>215</v>
      </c>
      <c r="C760">
        <v>86507</v>
      </c>
      <c r="D760">
        <v>87385</v>
      </c>
      <c r="E760">
        <v>79250</v>
      </c>
      <c r="F760">
        <v>86000</v>
      </c>
      <c r="G760">
        <v>86000</v>
      </c>
      <c r="H760">
        <v>88000</v>
      </c>
      <c r="I760">
        <v>85000</v>
      </c>
      <c r="J760">
        <v>82000</v>
      </c>
      <c r="K760">
        <v>80000</v>
      </c>
      <c r="L760">
        <v>86000</v>
      </c>
      <c r="M760">
        <v>421000</v>
      </c>
      <c r="N760" s="2">
        <v>6.6923594984825271E-3</v>
      </c>
    </row>
    <row r="761" spans="1:14" hidden="1" x14ac:dyDescent="0.25">
      <c r="A761" t="s">
        <v>53</v>
      </c>
      <c r="B761" t="s">
        <v>112</v>
      </c>
      <c r="C761">
        <v>50000</v>
      </c>
      <c r="D761">
        <v>50000</v>
      </c>
      <c r="E761">
        <v>55000</v>
      </c>
      <c r="F761">
        <v>56000</v>
      </c>
      <c r="G761">
        <v>58000</v>
      </c>
      <c r="H761">
        <v>58000</v>
      </c>
      <c r="I761">
        <v>58000</v>
      </c>
      <c r="J761">
        <v>58000</v>
      </c>
      <c r="K761">
        <v>56000</v>
      </c>
      <c r="L761">
        <v>56000</v>
      </c>
      <c r="M761">
        <v>286000</v>
      </c>
      <c r="N761" s="2">
        <v>4.5463534835296984E-3</v>
      </c>
    </row>
    <row r="762" spans="1:14" hidden="1" x14ac:dyDescent="0.25">
      <c r="A762" t="s">
        <v>53</v>
      </c>
      <c r="B762" t="s">
        <v>113</v>
      </c>
      <c r="C762">
        <v>1220000</v>
      </c>
      <c r="D762">
        <v>1150000</v>
      </c>
      <c r="E762">
        <v>1020000</v>
      </c>
      <c r="F762">
        <v>1050000</v>
      </c>
      <c r="G762">
        <v>1110000</v>
      </c>
      <c r="H762">
        <v>1140000</v>
      </c>
      <c r="I762">
        <v>1140000</v>
      </c>
      <c r="J762">
        <v>1170000</v>
      </c>
      <c r="K762">
        <v>1150000</v>
      </c>
      <c r="L762">
        <v>975000</v>
      </c>
      <c r="M762">
        <v>5575000</v>
      </c>
      <c r="N762" s="2">
        <v>8.8622100247126107E-2</v>
      </c>
    </row>
    <row r="763" spans="1:14" hidden="1" x14ac:dyDescent="0.25">
      <c r="A763" t="s">
        <v>53</v>
      </c>
      <c r="B763" t="s">
        <v>142</v>
      </c>
      <c r="C763">
        <v>500</v>
      </c>
      <c r="D763">
        <v>500</v>
      </c>
      <c r="E763">
        <v>500</v>
      </c>
      <c r="F763">
        <v>800</v>
      </c>
      <c r="G763">
        <v>800</v>
      </c>
      <c r="H763">
        <v>800</v>
      </c>
      <c r="I763">
        <v>800</v>
      </c>
      <c r="J763">
        <v>800</v>
      </c>
      <c r="K763">
        <v>800</v>
      </c>
      <c r="L763">
        <v>800</v>
      </c>
      <c r="M763">
        <v>4000</v>
      </c>
      <c r="N763" s="2">
        <v>6.3585363406009761E-5</v>
      </c>
    </row>
    <row r="764" spans="1:14" hidden="1" x14ac:dyDescent="0.25">
      <c r="A764" t="s">
        <v>53</v>
      </c>
      <c r="B764" t="s">
        <v>122</v>
      </c>
      <c r="C764">
        <v>43200</v>
      </c>
      <c r="D764">
        <v>48800</v>
      </c>
      <c r="E764">
        <v>34958</v>
      </c>
      <c r="F764">
        <v>24203</v>
      </c>
      <c r="G764">
        <v>28465</v>
      </c>
      <c r="H764">
        <v>33633</v>
      </c>
      <c r="I764">
        <v>29755</v>
      </c>
      <c r="J764">
        <v>24704</v>
      </c>
      <c r="K764">
        <v>24968</v>
      </c>
      <c r="L764">
        <v>59100</v>
      </c>
      <c r="M764">
        <v>172160</v>
      </c>
      <c r="N764" s="2">
        <v>2.7367140409946598E-3</v>
      </c>
    </row>
    <row r="765" spans="1:14" hidden="1" x14ac:dyDescent="0.25">
      <c r="A765" t="s">
        <v>53</v>
      </c>
      <c r="B765" t="s">
        <v>123</v>
      </c>
      <c r="C765">
        <v>2000</v>
      </c>
      <c r="D765">
        <v>2000</v>
      </c>
      <c r="E765">
        <v>16000</v>
      </c>
      <c r="F765">
        <v>18000</v>
      </c>
      <c r="G765">
        <v>22000</v>
      </c>
      <c r="H765">
        <v>25000</v>
      </c>
      <c r="I765">
        <v>25000</v>
      </c>
      <c r="J765">
        <v>25000</v>
      </c>
      <c r="K765">
        <v>24000</v>
      </c>
      <c r="L765">
        <v>25000</v>
      </c>
      <c r="M765">
        <v>124000</v>
      </c>
      <c r="N765" s="2">
        <v>1.971146265586303E-3</v>
      </c>
    </row>
    <row r="766" spans="1:14" hidden="1" x14ac:dyDescent="0.25">
      <c r="A766" t="s">
        <v>53</v>
      </c>
      <c r="B766" t="s">
        <v>140</v>
      </c>
      <c r="C766">
        <v>311930</v>
      </c>
      <c r="D766">
        <v>296000</v>
      </c>
      <c r="E766">
        <v>267000</v>
      </c>
      <c r="F766">
        <v>357200</v>
      </c>
      <c r="G766">
        <v>310000</v>
      </c>
      <c r="H766">
        <v>309000</v>
      </c>
      <c r="I766">
        <v>303000</v>
      </c>
      <c r="J766">
        <v>311000</v>
      </c>
      <c r="K766">
        <v>315000</v>
      </c>
      <c r="L766">
        <v>329000</v>
      </c>
      <c r="M766">
        <v>1567000</v>
      </c>
      <c r="N766" s="2">
        <v>2.4909566114304321E-2</v>
      </c>
    </row>
    <row r="767" spans="1:14" hidden="1" x14ac:dyDescent="0.25">
      <c r="A767" t="s">
        <v>53</v>
      </c>
      <c r="B767" t="s">
        <v>180</v>
      </c>
      <c r="H767">
        <v>26000</v>
      </c>
      <c r="I767">
        <v>21300</v>
      </c>
      <c r="J767">
        <v>21000</v>
      </c>
      <c r="K767">
        <v>20000</v>
      </c>
      <c r="L767">
        <v>20000</v>
      </c>
      <c r="M767">
        <v>108300</v>
      </c>
      <c r="N767" s="2">
        <v>1.7215737142177139E-3</v>
      </c>
    </row>
    <row r="768" spans="1:14" hidden="1" x14ac:dyDescent="0.25">
      <c r="A768" t="s">
        <v>53</v>
      </c>
      <c r="B768" t="s">
        <v>114</v>
      </c>
      <c r="C768">
        <v>25000</v>
      </c>
      <c r="D768">
        <v>22000</v>
      </c>
      <c r="E768">
        <v>20000</v>
      </c>
      <c r="F768">
        <v>20000</v>
      </c>
      <c r="G768">
        <v>15600</v>
      </c>
      <c r="H768">
        <v>15600</v>
      </c>
      <c r="I768">
        <v>9600</v>
      </c>
      <c r="J768">
        <v>8400</v>
      </c>
      <c r="K768">
        <v>7000</v>
      </c>
      <c r="L768">
        <v>6996</v>
      </c>
      <c r="M768">
        <v>47596</v>
      </c>
      <c r="N768" s="2">
        <v>7.5660223916811011E-4</v>
      </c>
    </row>
    <row r="769" spans="1:14" hidden="1" x14ac:dyDescent="0.25">
      <c r="A769" t="s">
        <v>53</v>
      </c>
      <c r="B769" t="s">
        <v>115</v>
      </c>
      <c r="F769">
        <v>22000</v>
      </c>
      <c r="G769">
        <v>25000</v>
      </c>
      <c r="H769">
        <v>31200</v>
      </c>
      <c r="I769">
        <v>32000</v>
      </c>
      <c r="J769">
        <v>34000</v>
      </c>
      <c r="K769">
        <v>34000</v>
      </c>
      <c r="L769">
        <v>34000</v>
      </c>
      <c r="M769">
        <v>165200</v>
      </c>
      <c r="N769" s="2">
        <v>2.6260755086682029E-3</v>
      </c>
    </row>
    <row r="770" spans="1:14" hidden="1" x14ac:dyDescent="0.25">
      <c r="A770" t="s">
        <v>53</v>
      </c>
      <c r="B770" t="s">
        <v>143</v>
      </c>
      <c r="C770">
        <v>4000</v>
      </c>
      <c r="D770">
        <v>5000</v>
      </c>
      <c r="E770">
        <v>5000</v>
      </c>
      <c r="F770">
        <v>4000</v>
      </c>
      <c r="G770">
        <v>5000</v>
      </c>
      <c r="H770">
        <v>4000</v>
      </c>
      <c r="I770">
        <v>5004</v>
      </c>
      <c r="J770">
        <v>5004</v>
      </c>
      <c r="K770">
        <v>4008</v>
      </c>
      <c r="L770">
        <v>5004</v>
      </c>
      <c r="M770">
        <v>23020</v>
      </c>
      <c r="N770" s="2">
        <v>3.6593376640158622E-4</v>
      </c>
    </row>
    <row r="771" spans="1:14" hidden="1" x14ac:dyDescent="0.25">
      <c r="A771" t="s">
        <v>52</v>
      </c>
      <c r="B771" t="s">
        <v>124</v>
      </c>
      <c r="C771">
        <v>26500</v>
      </c>
      <c r="D771">
        <v>28700</v>
      </c>
      <c r="E771">
        <v>31740</v>
      </c>
      <c r="F771">
        <v>29834</v>
      </c>
      <c r="G771">
        <v>28016</v>
      </c>
      <c r="H771">
        <v>40135</v>
      </c>
      <c r="I771">
        <v>28260</v>
      </c>
      <c r="J771">
        <v>42957</v>
      </c>
      <c r="K771">
        <v>23008</v>
      </c>
      <c r="L771">
        <v>17100</v>
      </c>
      <c r="M771">
        <v>151460</v>
      </c>
      <c r="N771" s="2">
        <v>6.6202407676576982E-3</v>
      </c>
    </row>
    <row r="772" spans="1:14" hidden="1" x14ac:dyDescent="0.25">
      <c r="A772" t="s">
        <v>52</v>
      </c>
      <c r="B772" t="s">
        <v>83</v>
      </c>
      <c r="C772">
        <v>620598</v>
      </c>
      <c r="D772">
        <v>711210</v>
      </c>
      <c r="E772">
        <v>727954</v>
      </c>
      <c r="F772">
        <v>653488</v>
      </c>
      <c r="G772">
        <v>441338</v>
      </c>
      <c r="H772">
        <v>395190</v>
      </c>
      <c r="I772">
        <v>446571</v>
      </c>
      <c r="J772">
        <v>500985</v>
      </c>
      <c r="K772">
        <v>494271</v>
      </c>
      <c r="L772">
        <v>485487</v>
      </c>
      <c r="M772">
        <v>2322504</v>
      </c>
      <c r="N772" s="2">
        <v>0.10151548701867209</v>
      </c>
    </row>
    <row r="773" spans="1:14" hidden="1" x14ac:dyDescent="0.25">
      <c r="A773" t="s">
        <v>52</v>
      </c>
      <c r="B773" t="s">
        <v>144</v>
      </c>
      <c r="C773">
        <v>81095</v>
      </c>
      <c r="D773">
        <v>82131</v>
      </c>
      <c r="E773">
        <v>75706</v>
      </c>
      <c r="F773">
        <v>75272</v>
      </c>
      <c r="G773">
        <v>89906</v>
      </c>
      <c r="H773">
        <v>113285</v>
      </c>
      <c r="I773">
        <v>112140</v>
      </c>
      <c r="J773">
        <v>88002</v>
      </c>
      <c r="K773">
        <v>64619</v>
      </c>
      <c r="L773">
        <v>92767</v>
      </c>
      <c r="M773">
        <v>470813</v>
      </c>
      <c r="N773" s="2">
        <v>2.0579000505369229E-2</v>
      </c>
    </row>
    <row r="774" spans="1:14" hidden="1" x14ac:dyDescent="0.25">
      <c r="A774" t="s">
        <v>52</v>
      </c>
      <c r="B774" t="s">
        <v>84</v>
      </c>
      <c r="C774">
        <v>5238</v>
      </c>
      <c r="D774">
        <v>6308</v>
      </c>
      <c r="E774">
        <v>5599</v>
      </c>
      <c r="F774">
        <v>6199</v>
      </c>
      <c r="G774">
        <v>6803</v>
      </c>
      <c r="H774">
        <v>7092</v>
      </c>
      <c r="I774">
        <v>7347</v>
      </c>
      <c r="J774">
        <v>2421</v>
      </c>
      <c r="K774">
        <v>3360</v>
      </c>
      <c r="L774">
        <v>3679</v>
      </c>
      <c r="M774">
        <v>23899</v>
      </c>
      <c r="N774" s="2">
        <v>1.0446133243513229E-3</v>
      </c>
    </row>
    <row r="775" spans="1:14" hidden="1" x14ac:dyDescent="0.25">
      <c r="A775" t="s">
        <v>52</v>
      </c>
      <c r="B775" t="s">
        <v>85</v>
      </c>
      <c r="C775">
        <v>8922</v>
      </c>
      <c r="D775">
        <v>8020</v>
      </c>
      <c r="E775">
        <v>10978</v>
      </c>
      <c r="F775">
        <v>9441</v>
      </c>
      <c r="G775">
        <v>9015</v>
      </c>
      <c r="H775">
        <v>6157</v>
      </c>
      <c r="I775">
        <v>7277</v>
      </c>
      <c r="J775">
        <v>6000</v>
      </c>
      <c r="K775">
        <v>5400</v>
      </c>
      <c r="L775">
        <v>6300</v>
      </c>
      <c r="M775">
        <v>31134</v>
      </c>
      <c r="N775" s="2">
        <v>1.360851551962596E-3</v>
      </c>
    </row>
    <row r="776" spans="1:14" hidden="1" x14ac:dyDescent="0.25">
      <c r="A776" t="s">
        <v>52</v>
      </c>
      <c r="B776" t="s">
        <v>147</v>
      </c>
      <c r="C776">
        <v>15949</v>
      </c>
      <c r="D776">
        <v>16914</v>
      </c>
      <c r="E776">
        <v>15618</v>
      </c>
      <c r="F776">
        <v>16456</v>
      </c>
      <c r="G776">
        <v>19688</v>
      </c>
      <c r="H776">
        <v>16099</v>
      </c>
      <c r="I776">
        <v>14723</v>
      </c>
      <c r="J776">
        <v>17097</v>
      </c>
      <c r="K776">
        <v>19500</v>
      </c>
      <c r="L776">
        <v>21400</v>
      </c>
      <c r="M776">
        <v>88819</v>
      </c>
      <c r="N776" s="2">
        <v>3.8822340204845442E-3</v>
      </c>
    </row>
    <row r="777" spans="1:14" hidden="1" x14ac:dyDescent="0.25">
      <c r="A777" t="s">
        <v>52</v>
      </c>
      <c r="B777" t="s">
        <v>116</v>
      </c>
      <c r="C777">
        <v>64116</v>
      </c>
      <c r="D777">
        <v>20678</v>
      </c>
      <c r="E777">
        <v>3617</v>
      </c>
      <c r="F777">
        <v>3809</v>
      </c>
      <c r="G777">
        <v>12020</v>
      </c>
      <c r="H777">
        <v>20477</v>
      </c>
      <c r="I777">
        <v>17874</v>
      </c>
      <c r="J777">
        <v>22824</v>
      </c>
      <c r="K777">
        <v>13600</v>
      </c>
      <c r="L777">
        <v>17800</v>
      </c>
      <c r="M777">
        <v>92575</v>
      </c>
      <c r="N777" s="2">
        <v>4.0464068999465953E-3</v>
      </c>
    </row>
    <row r="778" spans="1:14" hidden="1" x14ac:dyDescent="0.25">
      <c r="A778" t="s">
        <v>52</v>
      </c>
      <c r="B778" t="s">
        <v>145</v>
      </c>
      <c r="C778">
        <v>410</v>
      </c>
      <c r="D778">
        <v>1829</v>
      </c>
      <c r="E778">
        <v>2678</v>
      </c>
      <c r="F778">
        <v>2979</v>
      </c>
      <c r="G778">
        <v>1110</v>
      </c>
      <c r="H778">
        <v>1562</v>
      </c>
      <c r="I778">
        <v>712</v>
      </c>
      <c r="J778">
        <v>7</v>
      </c>
      <c r="K778">
        <v>1386</v>
      </c>
      <c r="L778">
        <v>382</v>
      </c>
      <c r="M778">
        <v>4049</v>
      </c>
      <c r="N778" s="2">
        <v>1.7697976276406991E-4</v>
      </c>
    </row>
    <row r="779" spans="1:14" hidden="1" x14ac:dyDescent="0.25">
      <c r="A779" t="s">
        <v>52</v>
      </c>
      <c r="B779" t="s">
        <v>86</v>
      </c>
      <c r="C779">
        <v>2613200</v>
      </c>
      <c r="D779">
        <v>2696538</v>
      </c>
      <c r="E779">
        <v>2608619</v>
      </c>
      <c r="F779">
        <v>2335024</v>
      </c>
      <c r="G779">
        <v>2337485</v>
      </c>
      <c r="H779">
        <v>1852200</v>
      </c>
      <c r="I779">
        <v>1892173</v>
      </c>
      <c r="J779">
        <v>1787400</v>
      </c>
      <c r="K779">
        <v>1970000</v>
      </c>
      <c r="L779">
        <v>2000000</v>
      </c>
      <c r="M779">
        <v>9501773</v>
      </c>
      <c r="N779" s="2">
        <v>0.41531774052310311</v>
      </c>
    </row>
    <row r="780" spans="1:14" hidden="1" x14ac:dyDescent="0.25">
      <c r="A780" t="s">
        <v>52</v>
      </c>
      <c r="B780" t="s">
        <v>160</v>
      </c>
      <c r="E780">
        <v>0</v>
      </c>
      <c r="F780">
        <v>0</v>
      </c>
      <c r="G780">
        <v>0</v>
      </c>
      <c r="H780">
        <v>1500</v>
      </c>
      <c r="I780">
        <v>25400</v>
      </c>
      <c r="J780">
        <v>35000</v>
      </c>
      <c r="K780">
        <v>30000</v>
      </c>
      <c r="L780">
        <v>30000</v>
      </c>
      <c r="M780">
        <v>121900</v>
      </c>
      <c r="N780" s="2">
        <v>5.3281879676315416E-3</v>
      </c>
    </row>
    <row r="781" spans="1:14" hidden="1" x14ac:dyDescent="0.25">
      <c r="A781" t="s">
        <v>52</v>
      </c>
      <c r="B781" t="s">
        <v>154</v>
      </c>
      <c r="F781">
        <v>0</v>
      </c>
      <c r="G781">
        <v>0</v>
      </c>
      <c r="H781">
        <v>0</v>
      </c>
      <c r="I781">
        <v>0</v>
      </c>
      <c r="J781">
        <v>937</v>
      </c>
      <c r="K781">
        <v>1530</v>
      </c>
      <c r="L781">
        <v>1494</v>
      </c>
      <c r="M781">
        <v>3961</v>
      </c>
      <c r="N781" s="2">
        <v>1.731333268235319E-4</v>
      </c>
    </row>
    <row r="782" spans="1:14" hidden="1" x14ac:dyDescent="0.25">
      <c r="A782" t="s">
        <v>52</v>
      </c>
      <c r="B782" t="s">
        <v>169</v>
      </c>
      <c r="H782">
        <v>0</v>
      </c>
      <c r="I782">
        <v>0</v>
      </c>
      <c r="J782">
        <v>0</v>
      </c>
      <c r="K782">
        <v>1124</v>
      </c>
      <c r="L782">
        <v>1190</v>
      </c>
      <c r="M782">
        <v>2314</v>
      </c>
      <c r="N782" s="2">
        <v>1.011437814364183E-4</v>
      </c>
    </row>
    <row r="783" spans="1:14" hidden="1" x14ac:dyDescent="0.25">
      <c r="A783" t="s">
        <v>52</v>
      </c>
      <c r="B783" t="s">
        <v>93</v>
      </c>
      <c r="C783">
        <v>18060</v>
      </c>
      <c r="D783">
        <v>18010</v>
      </c>
      <c r="E783">
        <v>16700</v>
      </c>
      <c r="F783">
        <v>14500</v>
      </c>
      <c r="G783">
        <v>14300</v>
      </c>
      <c r="H783">
        <v>12600</v>
      </c>
      <c r="I783">
        <v>15376</v>
      </c>
      <c r="J783">
        <v>14827</v>
      </c>
      <c r="K783">
        <v>19656</v>
      </c>
      <c r="L783">
        <v>16758</v>
      </c>
      <c r="M783">
        <v>79217</v>
      </c>
      <c r="N783" s="2">
        <v>3.4625354079726649E-3</v>
      </c>
    </row>
    <row r="784" spans="1:14" hidden="1" x14ac:dyDescent="0.25">
      <c r="A784" t="s">
        <v>52</v>
      </c>
      <c r="B784" t="s">
        <v>196</v>
      </c>
      <c r="C784">
        <v>2300</v>
      </c>
      <c r="D784">
        <v>863</v>
      </c>
      <c r="E784">
        <v>10359</v>
      </c>
      <c r="F784">
        <v>10153</v>
      </c>
      <c r="G784">
        <v>9970</v>
      </c>
      <c r="H784">
        <v>4200</v>
      </c>
      <c r="I784">
        <v>0</v>
      </c>
      <c r="J784">
        <v>377</v>
      </c>
      <c r="K784">
        <v>422</v>
      </c>
      <c r="L784">
        <v>0</v>
      </c>
      <c r="M784">
        <v>4999</v>
      </c>
      <c r="N784" s="2">
        <v>2.1850378712214989E-4</v>
      </c>
    </row>
    <row r="785" spans="1:14" hidden="1" x14ac:dyDescent="0.25">
      <c r="A785" t="s">
        <v>52</v>
      </c>
      <c r="B785" t="s">
        <v>197</v>
      </c>
      <c r="C785">
        <v>12400</v>
      </c>
      <c r="D785">
        <v>11600</v>
      </c>
      <c r="E785">
        <v>15500</v>
      </c>
      <c r="F785">
        <v>9800</v>
      </c>
      <c r="G785">
        <v>3985</v>
      </c>
      <c r="H785">
        <v>6761</v>
      </c>
      <c r="I785">
        <v>9893</v>
      </c>
      <c r="J785">
        <v>12308</v>
      </c>
      <c r="K785">
        <v>12300</v>
      </c>
      <c r="L785">
        <v>6000</v>
      </c>
      <c r="M785">
        <v>47262</v>
      </c>
      <c r="N785" s="2">
        <v>2.0657983570648228E-3</v>
      </c>
    </row>
    <row r="786" spans="1:14" hidden="1" x14ac:dyDescent="0.25">
      <c r="A786" t="s">
        <v>52</v>
      </c>
      <c r="B786" t="s">
        <v>97</v>
      </c>
      <c r="C786">
        <v>104345</v>
      </c>
      <c r="D786">
        <v>109812</v>
      </c>
      <c r="E786">
        <v>111267</v>
      </c>
      <c r="F786">
        <v>143707</v>
      </c>
      <c r="G786">
        <v>150964</v>
      </c>
      <c r="H786">
        <v>173789</v>
      </c>
      <c r="I786">
        <v>207067</v>
      </c>
      <c r="J786">
        <v>202964</v>
      </c>
      <c r="K786">
        <v>217787</v>
      </c>
      <c r="L786">
        <v>182500</v>
      </c>
      <c r="M786">
        <v>984107</v>
      </c>
      <c r="N786" s="2">
        <v>4.3014824251533829E-2</v>
      </c>
    </row>
    <row r="787" spans="1:14" hidden="1" x14ac:dyDescent="0.25">
      <c r="A787" t="s">
        <v>52</v>
      </c>
      <c r="B787" t="s">
        <v>98</v>
      </c>
      <c r="D787">
        <v>6200</v>
      </c>
      <c r="E787">
        <v>4700</v>
      </c>
      <c r="F787">
        <v>5500</v>
      </c>
      <c r="G787">
        <v>5300</v>
      </c>
      <c r="H787">
        <v>7900</v>
      </c>
      <c r="I787">
        <v>11400</v>
      </c>
      <c r="J787">
        <v>10800</v>
      </c>
      <c r="K787">
        <v>6500</v>
      </c>
      <c r="L787">
        <v>7660</v>
      </c>
      <c r="M787">
        <v>44260</v>
      </c>
      <c r="N787" s="2">
        <v>1.9345824400932899E-3</v>
      </c>
    </row>
    <row r="788" spans="1:14" hidden="1" x14ac:dyDescent="0.25">
      <c r="A788" t="s">
        <v>52</v>
      </c>
      <c r="B788" t="s">
        <v>99</v>
      </c>
      <c r="C788">
        <v>45000</v>
      </c>
      <c r="D788">
        <v>42000</v>
      </c>
      <c r="E788">
        <v>43285</v>
      </c>
      <c r="F788">
        <v>43785</v>
      </c>
      <c r="G788">
        <v>47000</v>
      </c>
      <c r="H788">
        <v>48000</v>
      </c>
      <c r="I788">
        <v>49600</v>
      </c>
      <c r="J788">
        <v>72500</v>
      </c>
      <c r="K788">
        <v>70000</v>
      </c>
      <c r="L788">
        <v>70000</v>
      </c>
      <c r="M788">
        <v>310100</v>
      </c>
      <c r="N788" s="2">
        <v>1.355431574046383E-2</v>
      </c>
    </row>
    <row r="789" spans="1:14" hidden="1" x14ac:dyDescent="0.25">
      <c r="A789" t="s">
        <v>52</v>
      </c>
      <c r="B789" t="s">
        <v>118</v>
      </c>
      <c r="C789">
        <v>47400</v>
      </c>
      <c r="D789">
        <v>42950</v>
      </c>
      <c r="E789">
        <v>40500</v>
      </c>
      <c r="F789">
        <v>31300</v>
      </c>
      <c r="G789">
        <v>19582</v>
      </c>
      <c r="H789">
        <v>17083</v>
      </c>
      <c r="I789">
        <v>16712</v>
      </c>
      <c r="J789">
        <v>16100</v>
      </c>
      <c r="K789">
        <v>14401</v>
      </c>
      <c r="L789">
        <v>13192</v>
      </c>
      <c r="M789">
        <v>77488</v>
      </c>
      <c r="N789" s="2">
        <v>3.3869616836409589E-3</v>
      </c>
    </row>
    <row r="790" spans="1:14" hidden="1" x14ac:dyDescent="0.25">
      <c r="A790" t="s">
        <v>52</v>
      </c>
      <c r="B790" t="s">
        <v>102</v>
      </c>
      <c r="C790">
        <v>38000</v>
      </c>
      <c r="D790">
        <v>40800</v>
      </c>
      <c r="E790">
        <v>37800</v>
      </c>
      <c r="F790">
        <v>40700</v>
      </c>
      <c r="G790">
        <v>70500</v>
      </c>
      <c r="H790">
        <v>111200</v>
      </c>
      <c r="I790">
        <v>86400</v>
      </c>
      <c r="J790">
        <v>55600</v>
      </c>
      <c r="K790">
        <v>30300</v>
      </c>
      <c r="L790">
        <v>29300</v>
      </c>
      <c r="M790">
        <v>312800</v>
      </c>
      <c r="N790" s="2">
        <v>1.3672331388639431E-2</v>
      </c>
    </row>
    <row r="791" spans="1:14" hidden="1" x14ac:dyDescent="0.25">
      <c r="A791" t="s">
        <v>52</v>
      </c>
      <c r="B791" t="s">
        <v>148</v>
      </c>
      <c r="C791">
        <v>1940</v>
      </c>
      <c r="D791">
        <v>2500</v>
      </c>
      <c r="E791">
        <v>2764</v>
      </c>
      <c r="F791">
        <v>2921</v>
      </c>
      <c r="G791">
        <v>2840</v>
      </c>
      <c r="H791">
        <v>3762</v>
      </c>
      <c r="I791">
        <v>2412</v>
      </c>
      <c r="J791">
        <v>1933</v>
      </c>
      <c r="K791">
        <v>1681</v>
      </c>
      <c r="L791">
        <v>1528</v>
      </c>
      <c r="M791">
        <v>11316</v>
      </c>
      <c r="N791" s="2">
        <v>4.9461669435372049E-4</v>
      </c>
    </row>
    <row r="792" spans="1:14" hidden="1" x14ac:dyDescent="0.25">
      <c r="A792" t="s">
        <v>52</v>
      </c>
      <c r="B792" t="s">
        <v>149</v>
      </c>
      <c r="C792">
        <v>25000</v>
      </c>
      <c r="D792">
        <v>32456</v>
      </c>
      <c r="E792">
        <v>32820</v>
      </c>
      <c r="F792">
        <v>31684</v>
      </c>
      <c r="G792">
        <v>32116</v>
      </c>
      <c r="H792">
        <v>32621</v>
      </c>
      <c r="I792">
        <v>20000</v>
      </c>
      <c r="J792">
        <v>25000</v>
      </c>
      <c r="K792">
        <v>25000</v>
      </c>
      <c r="L792">
        <v>25000</v>
      </c>
      <c r="M792">
        <v>127621</v>
      </c>
      <c r="N792" s="2">
        <v>5.5782500132658328E-3</v>
      </c>
    </row>
    <row r="793" spans="1:14" hidden="1" x14ac:dyDescent="0.25">
      <c r="A793" t="s">
        <v>52</v>
      </c>
      <c r="B793" t="s">
        <v>230</v>
      </c>
      <c r="C793">
        <v>5295</v>
      </c>
      <c r="D793">
        <v>6378</v>
      </c>
      <c r="E793">
        <v>7676</v>
      </c>
      <c r="F793">
        <v>5541</v>
      </c>
      <c r="G793">
        <v>6530</v>
      </c>
      <c r="H793">
        <v>5142</v>
      </c>
      <c r="I793">
        <v>4694</v>
      </c>
      <c r="J793">
        <v>3990</v>
      </c>
      <c r="K793">
        <v>4737</v>
      </c>
      <c r="L793">
        <v>5241</v>
      </c>
      <c r="M793">
        <v>23804</v>
      </c>
      <c r="N793" s="2">
        <v>1.0404609219155151E-3</v>
      </c>
    </row>
    <row r="794" spans="1:14" hidden="1" x14ac:dyDescent="0.25">
      <c r="A794" t="s">
        <v>52</v>
      </c>
      <c r="B794" t="s">
        <v>171</v>
      </c>
      <c r="C794">
        <v>164</v>
      </c>
      <c r="D794">
        <v>1600</v>
      </c>
      <c r="E794">
        <v>100</v>
      </c>
      <c r="F794">
        <v>200</v>
      </c>
      <c r="G794">
        <v>200</v>
      </c>
      <c r="H794">
        <v>700</v>
      </c>
      <c r="I794">
        <v>300</v>
      </c>
      <c r="J794">
        <v>300</v>
      </c>
      <c r="K794">
        <v>100</v>
      </c>
      <c r="L794">
        <v>200</v>
      </c>
      <c r="M794">
        <v>1600</v>
      </c>
      <c r="N794" s="2">
        <v>6.9935198918871758E-5</v>
      </c>
    </row>
    <row r="795" spans="1:14" hidden="1" x14ac:dyDescent="0.25">
      <c r="A795" t="s">
        <v>52</v>
      </c>
      <c r="B795" t="s">
        <v>150</v>
      </c>
      <c r="C795">
        <v>238091</v>
      </c>
      <c r="D795">
        <v>253361</v>
      </c>
      <c r="E795">
        <v>250462</v>
      </c>
      <c r="F795">
        <v>263772</v>
      </c>
      <c r="G795">
        <v>242071</v>
      </c>
      <c r="H795">
        <v>243022</v>
      </c>
      <c r="I795">
        <v>230869</v>
      </c>
      <c r="J795">
        <v>372106</v>
      </c>
      <c r="K795">
        <v>468486</v>
      </c>
      <c r="L795">
        <v>272200</v>
      </c>
      <c r="M795">
        <v>1586683</v>
      </c>
      <c r="N795" s="2">
        <v>6.9353119516370132E-2</v>
      </c>
    </row>
    <row r="796" spans="1:14" hidden="1" x14ac:dyDescent="0.25">
      <c r="A796" t="s">
        <v>52</v>
      </c>
      <c r="B796" t="s">
        <v>173</v>
      </c>
      <c r="D796">
        <v>200</v>
      </c>
      <c r="E796">
        <v>500</v>
      </c>
      <c r="F796">
        <v>200</v>
      </c>
      <c r="G796">
        <v>4700</v>
      </c>
      <c r="H796">
        <v>7400</v>
      </c>
      <c r="I796">
        <v>11600</v>
      </c>
      <c r="J796">
        <v>14000</v>
      </c>
      <c r="K796">
        <v>12400</v>
      </c>
      <c r="L796">
        <v>9100</v>
      </c>
      <c r="M796">
        <v>54500</v>
      </c>
      <c r="N796" s="2">
        <v>2.382167713174069E-3</v>
      </c>
    </row>
    <row r="797" spans="1:14" hidden="1" x14ac:dyDescent="0.25">
      <c r="A797" t="s">
        <v>52</v>
      </c>
      <c r="B797" t="s">
        <v>104</v>
      </c>
      <c r="C797">
        <v>1958</v>
      </c>
      <c r="D797">
        <v>1200</v>
      </c>
      <c r="E797">
        <v>2400</v>
      </c>
      <c r="F797">
        <v>2200</v>
      </c>
      <c r="G797">
        <v>3600</v>
      </c>
      <c r="H797">
        <v>3110</v>
      </c>
      <c r="I797">
        <v>3100</v>
      </c>
      <c r="J797">
        <v>3480</v>
      </c>
      <c r="K797">
        <v>640</v>
      </c>
      <c r="L797">
        <v>0</v>
      </c>
      <c r="M797">
        <v>10330</v>
      </c>
      <c r="N797" s="2">
        <v>4.5151912801996577E-4</v>
      </c>
    </row>
    <row r="798" spans="1:14" hidden="1" x14ac:dyDescent="0.25">
      <c r="A798" t="s">
        <v>52</v>
      </c>
      <c r="B798" t="s">
        <v>161</v>
      </c>
      <c r="C798">
        <v>27526</v>
      </c>
      <c r="D798">
        <v>30765</v>
      </c>
      <c r="E798">
        <v>27505</v>
      </c>
      <c r="F798">
        <v>32138</v>
      </c>
      <c r="G798">
        <v>29617</v>
      </c>
      <c r="H798">
        <v>38009</v>
      </c>
      <c r="I798">
        <v>30339</v>
      </c>
      <c r="J798">
        <v>32736</v>
      </c>
      <c r="K798">
        <v>38162</v>
      </c>
      <c r="L798">
        <v>32000</v>
      </c>
      <c r="M798">
        <v>171246</v>
      </c>
      <c r="N798" s="2">
        <v>7.4850769212881961E-3</v>
      </c>
    </row>
    <row r="799" spans="1:14" hidden="1" x14ac:dyDescent="0.25">
      <c r="A799" t="s">
        <v>52</v>
      </c>
      <c r="B799" t="s">
        <v>174</v>
      </c>
      <c r="C799">
        <v>9800</v>
      </c>
      <c r="D799">
        <v>11700</v>
      </c>
      <c r="E799">
        <v>24309</v>
      </c>
      <c r="F799">
        <v>17463</v>
      </c>
      <c r="G799">
        <v>20322</v>
      </c>
      <c r="H799">
        <v>20322</v>
      </c>
      <c r="I799">
        <v>45964</v>
      </c>
      <c r="J799">
        <v>42832</v>
      </c>
      <c r="K799">
        <v>22710</v>
      </c>
      <c r="L799">
        <v>25355</v>
      </c>
      <c r="M799">
        <v>157183</v>
      </c>
      <c r="N799" s="2">
        <v>6.8703902322906378E-3</v>
      </c>
    </row>
    <row r="800" spans="1:14" hidden="1" x14ac:dyDescent="0.25">
      <c r="A800" t="s">
        <v>52</v>
      </c>
      <c r="B800" t="s">
        <v>175</v>
      </c>
      <c r="C800">
        <v>9530</v>
      </c>
      <c r="D800">
        <v>11224</v>
      </c>
      <c r="E800">
        <v>11788</v>
      </c>
      <c r="F800">
        <v>10746</v>
      </c>
      <c r="G800">
        <v>6116</v>
      </c>
      <c r="H800">
        <v>6577</v>
      </c>
      <c r="I800">
        <v>4293</v>
      </c>
      <c r="J800">
        <v>5892</v>
      </c>
      <c r="K800">
        <v>9181</v>
      </c>
      <c r="L800">
        <v>9525</v>
      </c>
      <c r="M800">
        <v>35468</v>
      </c>
      <c r="N800" s="2">
        <v>1.5502885220340899E-3</v>
      </c>
    </row>
    <row r="801" spans="1:14" hidden="1" x14ac:dyDescent="0.25">
      <c r="A801" t="s">
        <v>52</v>
      </c>
      <c r="B801" t="s">
        <v>214</v>
      </c>
      <c r="D801">
        <v>0</v>
      </c>
      <c r="E801">
        <v>0</v>
      </c>
      <c r="F801">
        <v>0</v>
      </c>
      <c r="G801">
        <v>0</v>
      </c>
      <c r="H801">
        <v>3900</v>
      </c>
      <c r="I801">
        <v>0</v>
      </c>
      <c r="J801">
        <v>0</v>
      </c>
      <c r="K801">
        <v>0</v>
      </c>
      <c r="L801">
        <v>0</v>
      </c>
      <c r="M801">
        <v>3900</v>
      </c>
      <c r="N801" s="2">
        <v>1.7046704736474989E-4</v>
      </c>
    </row>
    <row r="802" spans="1:14" hidden="1" x14ac:dyDescent="0.25">
      <c r="A802" t="s">
        <v>52</v>
      </c>
      <c r="B802" t="s">
        <v>203</v>
      </c>
      <c r="C802">
        <v>11300</v>
      </c>
      <c r="D802">
        <v>11500</v>
      </c>
      <c r="E802">
        <v>11400</v>
      </c>
      <c r="F802">
        <v>15700</v>
      </c>
      <c r="G802">
        <v>13300</v>
      </c>
      <c r="H802">
        <v>21000</v>
      </c>
      <c r="I802">
        <v>15000</v>
      </c>
      <c r="J802">
        <v>20000</v>
      </c>
      <c r="K802">
        <v>16000</v>
      </c>
      <c r="L802">
        <v>40000</v>
      </c>
      <c r="M802">
        <v>112000</v>
      </c>
      <c r="N802" s="2">
        <v>4.8954639243210226E-3</v>
      </c>
    </row>
    <row r="803" spans="1:14" hidden="1" x14ac:dyDescent="0.25">
      <c r="A803" t="s">
        <v>52</v>
      </c>
      <c r="B803" t="s">
        <v>176</v>
      </c>
      <c r="C803">
        <v>39184</v>
      </c>
      <c r="D803">
        <v>42826</v>
      </c>
      <c r="E803">
        <v>43810</v>
      </c>
      <c r="F803">
        <v>37922</v>
      </c>
      <c r="G803">
        <v>31034</v>
      </c>
      <c r="H803">
        <v>39635</v>
      </c>
      <c r="I803">
        <v>41902</v>
      </c>
      <c r="J803">
        <v>43491</v>
      </c>
      <c r="K803">
        <v>44928</v>
      </c>
      <c r="L803">
        <v>42873</v>
      </c>
      <c r="M803">
        <v>212829</v>
      </c>
      <c r="N803" s="2">
        <v>9.3026490316903479E-3</v>
      </c>
    </row>
    <row r="804" spans="1:14" hidden="1" x14ac:dyDescent="0.25">
      <c r="A804" t="s">
        <v>52</v>
      </c>
      <c r="B804" t="s">
        <v>106</v>
      </c>
      <c r="C804">
        <v>600</v>
      </c>
      <c r="D804">
        <v>300</v>
      </c>
      <c r="E804">
        <v>1200</v>
      </c>
      <c r="F804">
        <v>100</v>
      </c>
      <c r="G804">
        <v>1196</v>
      </c>
      <c r="H804">
        <v>3047</v>
      </c>
      <c r="I804">
        <v>4822</v>
      </c>
      <c r="J804">
        <v>8089</v>
      </c>
      <c r="K804">
        <v>4256</v>
      </c>
      <c r="L804">
        <v>3930</v>
      </c>
      <c r="M804">
        <v>24144</v>
      </c>
      <c r="N804" s="2">
        <v>1.0553221516857751E-3</v>
      </c>
    </row>
    <row r="805" spans="1:14" hidden="1" x14ac:dyDescent="0.25">
      <c r="A805" t="s">
        <v>52</v>
      </c>
      <c r="B805" t="s">
        <v>146</v>
      </c>
      <c r="C805">
        <v>249236</v>
      </c>
      <c r="D805">
        <v>266472</v>
      </c>
      <c r="E805">
        <v>277294</v>
      </c>
      <c r="F805">
        <v>315525</v>
      </c>
      <c r="G805">
        <v>314422</v>
      </c>
      <c r="H805">
        <v>306784</v>
      </c>
      <c r="I805">
        <v>289123</v>
      </c>
      <c r="J805">
        <v>308116</v>
      </c>
      <c r="K805">
        <v>241548</v>
      </c>
      <c r="L805">
        <v>264124</v>
      </c>
      <c r="M805">
        <v>1409695</v>
      </c>
      <c r="N805" s="2">
        <v>6.1617062649961828E-2</v>
      </c>
    </row>
    <row r="806" spans="1:14" hidden="1" x14ac:dyDescent="0.25">
      <c r="A806" t="s">
        <v>52</v>
      </c>
      <c r="B806" t="s">
        <v>151</v>
      </c>
      <c r="C806">
        <v>89000</v>
      </c>
      <c r="D806">
        <v>79000</v>
      </c>
      <c r="E806">
        <v>83150</v>
      </c>
      <c r="F806">
        <v>69190</v>
      </c>
      <c r="G806">
        <v>62750</v>
      </c>
      <c r="H806">
        <v>73530</v>
      </c>
      <c r="I806">
        <v>70340</v>
      </c>
      <c r="J806">
        <v>69860</v>
      </c>
      <c r="K806">
        <v>65660</v>
      </c>
      <c r="L806">
        <v>7814</v>
      </c>
      <c r="M806">
        <v>287204</v>
      </c>
      <c r="N806" s="2">
        <v>1.255354304393478E-2</v>
      </c>
    </row>
    <row r="807" spans="1:14" hidden="1" x14ac:dyDescent="0.25">
      <c r="A807" t="s">
        <v>52</v>
      </c>
      <c r="B807" t="s">
        <v>178</v>
      </c>
      <c r="C807">
        <v>87</v>
      </c>
      <c r="D807">
        <v>1496</v>
      </c>
      <c r="E807">
        <v>3192</v>
      </c>
      <c r="F807">
        <v>3077</v>
      </c>
      <c r="G807">
        <v>4126</v>
      </c>
      <c r="H807">
        <v>5164</v>
      </c>
      <c r="I807">
        <v>18397</v>
      </c>
      <c r="J807">
        <v>27852</v>
      </c>
      <c r="K807">
        <v>28178</v>
      </c>
      <c r="L807">
        <v>30067</v>
      </c>
      <c r="M807">
        <v>109658</v>
      </c>
      <c r="N807" s="2">
        <v>4.7930962769035246E-3</v>
      </c>
    </row>
    <row r="808" spans="1:14" hidden="1" x14ac:dyDescent="0.25">
      <c r="A808" t="s">
        <v>52</v>
      </c>
      <c r="B808" t="s">
        <v>120</v>
      </c>
      <c r="C808">
        <v>5300</v>
      </c>
      <c r="D808">
        <v>400</v>
      </c>
      <c r="E808">
        <v>0</v>
      </c>
      <c r="F808">
        <v>0</v>
      </c>
      <c r="G808">
        <v>0</v>
      </c>
      <c r="H808">
        <v>900</v>
      </c>
      <c r="I808">
        <v>1200</v>
      </c>
      <c r="J808">
        <v>200</v>
      </c>
      <c r="K808">
        <v>0</v>
      </c>
      <c r="L808">
        <v>0</v>
      </c>
      <c r="M808">
        <v>2300</v>
      </c>
      <c r="N808" s="2">
        <v>1.005318484458782E-4</v>
      </c>
    </row>
    <row r="809" spans="1:14" hidden="1" x14ac:dyDescent="0.25">
      <c r="A809" t="s">
        <v>52</v>
      </c>
      <c r="B809" t="s">
        <v>107</v>
      </c>
      <c r="C809">
        <v>151000</v>
      </c>
      <c r="D809">
        <v>165000</v>
      </c>
      <c r="E809">
        <v>196000</v>
      </c>
      <c r="F809">
        <v>180000</v>
      </c>
      <c r="G809">
        <v>204300</v>
      </c>
      <c r="H809">
        <v>204700</v>
      </c>
      <c r="I809">
        <v>206100</v>
      </c>
      <c r="J809">
        <v>207900</v>
      </c>
      <c r="K809">
        <v>200700</v>
      </c>
      <c r="L809">
        <v>200000</v>
      </c>
      <c r="M809">
        <v>1019400</v>
      </c>
      <c r="N809" s="2">
        <v>4.455746361118617E-2</v>
      </c>
    </row>
    <row r="810" spans="1:14" hidden="1" x14ac:dyDescent="0.25">
      <c r="A810" t="s">
        <v>52</v>
      </c>
      <c r="B810" t="s">
        <v>179</v>
      </c>
      <c r="C810">
        <v>2500</v>
      </c>
      <c r="D810">
        <v>3100</v>
      </c>
      <c r="E810">
        <v>3700</v>
      </c>
      <c r="F810">
        <v>3300</v>
      </c>
      <c r="G810">
        <v>3500</v>
      </c>
      <c r="H810">
        <v>3200</v>
      </c>
      <c r="I810">
        <v>3230</v>
      </c>
      <c r="J810">
        <v>5730</v>
      </c>
      <c r="K810">
        <v>5400</v>
      </c>
      <c r="L810">
        <v>5000</v>
      </c>
      <c r="M810">
        <v>22560</v>
      </c>
      <c r="N810" s="2">
        <v>9.8608630475609184E-4</v>
      </c>
    </row>
    <row r="811" spans="1:14" hidden="1" x14ac:dyDescent="0.25">
      <c r="A811" t="s">
        <v>52</v>
      </c>
      <c r="B811" t="s">
        <v>135</v>
      </c>
      <c r="C811">
        <v>166</v>
      </c>
      <c r="D811">
        <v>235</v>
      </c>
      <c r="E811">
        <v>162</v>
      </c>
      <c r="F811">
        <v>226</v>
      </c>
      <c r="G811">
        <v>133</v>
      </c>
      <c r="H811">
        <v>147</v>
      </c>
      <c r="I811">
        <v>114</v>
      </c>
      <c r="J811">
        <v>111</v>
      </c>
      <c r="K811">
        <v>102</v>
      </c>
      <c r="L811">
        <v>101</v>
      </c>
      <c r="M811">
        <v>575</v>
      </c>
      <c r="N811" s="2">
        <v>2.513296211146954E-5</v>
      </c>
    </row>
    <row r="812" spans="1:14" hidden="1" x14ac:dyDescent="0.25">
      <c r="A812" t="s">
        <v>52</v>
      </c>
      <c r="B812" t="s">
        <v>137</v>
      </c>
      <c r="C812">
        <v>52489</v>
      </c>
      <c r="D812">
        <v>41848</v>
      </c>
      <c r="E812">
        <v>29348</v>
      </c>
      <c r="F812">
        <v>34573</v>
      </c>
      <c r="G812">
        <v>39344</v>
      </c>
      <c r="H812">
        <v>48150</v>
      </c>
      <c r="I812">
        <v>35118</v>
      </c>
      <c r="J812">
        <v>42936</v>
      </c>
      <c r="K812">
        <v>28048</v>
      </c>
      <c r="L812">
        <v>31224</v>
      </c>
      <c r="M812">
        <v>185476</v>
      </c>
      <c r="N812" s="2">
        <v>8.1070630966729122E-3</v>
      </c>
    </row>
    <row r="813" spans="1:14" hidden="1" x14ac:dyDescent="0.25">
      <c r="A813" t="s">
        <v>52</v>
      </c>
      <c r="B813" t="s">
        <v>121</v>
      </c>
      <c r="C813">
        <v>3800</v>
      </c>
      <c r="D813">
        <v>2200</v>
      </c>
      <c r="E813">
        <v>1200</v>
      </c>
      <c r="F813">
        <v>1598</v>
      </c>
      <c r="G813">
        <v>4946</v>
      </c>
      <c r="H813">
        <v>3258</v>
      </c>
      <c r="I813">
        <v>9936</v>
      </c>
      <c r="J813">
        <v>11390</v>
      </c>
      <c r="K813">
        <v>11397</v>
      </c>
      <c r="L813">
        <v>10965</v>
      </c>
      <c r="M813">
        <v>46946</v>
      </c>
      <c r="N813" s="2">
        <v>2.0519861552783462E-3</v>
      </c>
    </row>
    <row r="814" spans="1:14" hidden="1" x14ac:dyDescent="0.25">
      <c r="A814" t="s">
        <v>52</v>
      </c>
      <c r="B814" t="s">
        <v>138</v>
      </c>
      <c r="C814">
        <v>63551</v>
      </c>
      <c r="D814">
        <v>59556</v>
      </c>
      <c r="E814">
        <v>70848</v>
      </c>
      <c r="F814">
        <v>79354</v>
      </c>
      <c r="G814">
        <v>75830</v>
      </c>
      <c r="H814">
        <v>71112</v>
      </c>
      <c r="I814">
        <v>64751</v>
      </c>
      <c r="J814">
        <v>68635</v>
      </c>
      <c r="K814">
        <v>65402</v>
      </c>
      <c r="L814">
        <v>65404</v>
      </c>
      <c r="M814">
        <v>335304</v>
      </c>
      <c r="N814" s="2">
        <v>1.465596996143336E-2</v>
      </c>
    </row>
    <row r="815" spans="1:14" hidden="1" x14ac:dyDescent="0.25">
      <c r="A815" t="s">
        <v>52</v>
      </c>
      <c r="B815" t="s">
        <v>139</v>
      </c>
      <c r="C815">
        <v>16000</v>
      </c>
      <c r="D815">
        <v>17000</v>
      </c>
      <c r="E815">
        <v>28000</v>
      </c>
      <c r="F815">
        <v>39232</v>
      </c>
      <c r="G815">
        <v>53480</v>
      </c>
      <c r="H815">
        <v>57100</v>
      </c>
      <c r="I815">
        <v>47141</v>
      </c>
      <c r="J815">
        <v>52715</v>
      </c>
      <c r="K815">
        <v>33282</v>
      </c>
      <c r="L815">
        <v>48058</v>
      </c>
      <c r="M815">
        <v>238296</v>
      </c>
      <c r="N815" s="2">
        <v>1.0415798850982171E-2</v>
      </c>
    </row>
    <row r="816" spans="1:14" hidden="1" x14ac:dyDescent="0.25">
      <c r="A816" t="s">
        <v>52</v>
      </c>
      <c r="B816" t="s">
        <v>112</v>
      </c>
      <c r="C816">
        <v>57017</v>
      </c>
      <c r="D816">
        <v>76638</v>
      </c>
      <c r="E816">
        <v>62190</v>
      </c>
      <c r="F816">
        <v>77110</v>
      </c>
      <c r="G816">
        <v>64300</v>
      </c>
      <c r="H816">
        <v>75000</v>
      </c>
      <c r="I816">
        <v>76000</v>
      </c>
      <c r="J816">
        <v>71500</v>
      </c>
      <c r="K816">
        <v>81500</v>
      </c>
      <c r="L816">
        <v>93700</v>
      </c>
      <c r="M816">
        <v>397700</v>
      </c>
      <c r="N816" s="2">
        <v>1.738326788127206E-2</v>
      </c>
    </row>
    <row r="817" spans="1:14" hidden="1" x14ac:dyDescent="0.25">
      <c r="A817" t="s">
        <v>52</v>
      </c>
      <c r="B817" t="s">
        <v>113</v>
      </c>
      <c r="C817">
        <v>345000</v>
      </c>
      <c r="D817">
        <v>339000</v>
      </c>
      <c r="E817">
        <v>378000</v>
      </c>
      <c r="F817">
        <v>360000</v>
      </c>
      <c r="G817">
        <v>336000</v>
      </c>
      <c r="H817">
        <v>310000</v>
      </c>
      <c r="I817">
        <v>280000</v>
      </c>
      <c r="J817">
        <v>274000</v>
      </c>
      <c r="K817">
        <v>297000</v>
      </c>
      <c r="L817">
        <v>286000</v>
      </c>
      <c r="M817">
        <v>1447000</v>
      </c>
      <c r="N817" s="2">
        <v>6.3247645522254647E-2</v>
      </c>
    </row>
    <row r="818" spans="1:14" hidden="1" x14ac:dyDescent="0.25">
      <c r="A818" t="s">
        <v>52</v>
      </c>
      <c r="B818" t="s">
        <v>140</v>
      </c>
      <c r="C818">
        <v>61</v>
      </c>
      <c r="D818">
        <v>100</v>
      </c>
      <c r="E818">
        <v>100</v>
      </c>
      <c r="F818">
        <v>100</v>
      </c>
      <c r="G818">
        <v>100</v>
      </c>
      <c r="H818">
        <v>100</v>
      </c>
      <c r="I818">
        <v>100</v>
      </c>
      <c r="J818">
        <v>150</v>
      </c>
      <c r="K818">
        <v>100</v>
      </c>
      <c r="L818">
        <v>100</v>
      </c>
      <c r="M818">
        <v>550</v>
      </c>
      <c r="N818" s="2">
        <v>2.4040224628362169E-5</v>
      </c>
    </row>
    <row r="819" spans="1:14" hidden="1" x14ac:dyDescent="0.25">
      <c r="A819" t="s">
        <v>52</v>
      </c>
      <c r="B819" t="s">
        <v>180</v>
      </c>
      <c r="C819">
        <v>3000</v>
      </c>
      <c r="D819">
        <v>3000</v>
      </c>
      <c r="E819">
        <v>3000</v>
      </c>
      <c r="F819">
        <v>20000</v>
      </c>
      <c r="G819">
        <v>30000</v>
      </c>
      <c r="H819">
        <v>26000</v>
      </c>
      <c r="I819">
        <v>21300</v>
      </c>
      <c r="J819">
        <v>19100</v>
      </c>
      <c r="K819">
        <v>18400</v>
      </c>
      <c r="L819">
        <v>30500</v>
      </c>
      <c r="M819">
        <v>115300</v>
      </c>
      <c r="N819" s="2">
        <v>5.0397052720911962E-3</v>
      </c>
    </row>
    <row r="820" spans="1:14" hidden="1" x14ac:dyDescent="0.25">
      <c r="A820" t="s">
        <v>52</v>
      </c>
      <c r="B820" t="s">
        <v>115</v>
      </c>
      <c r="C820">
        <v>200</v>
      </c>
      <c r="D820">
        <v>1600</v>
      </c>
      <c r="E820">
        <v>2500</v>
      </c>
      <c r="F820">
        <v>1600</v>
      </c>
      <c r="G820">
        <v>700</v>
      </c>
      <c r="H820">
        <v>3800</v>
      </c>
      <c r="I820">
        <v>12100</v>
      </c>
      <c r="J820">
        <v>10400</v>
      </c>
      <c r="K820">
        <v>12000</v>
      </c>
      <c r="L820">
        <v>14000</v>
      </c>
      <c r="M820">
        <v>52300</v>
      </c>
      <c r="N820" s="2">
        <v>2.2860068146606208E-3</v>
      </c>
    </row>
    <row r="821" spans="1:14" hidden="1" x14ac:dyDescent="0.25">
      <c r="A821" t="s">
        <v>32</v>
      </c>
      <c r="B821" t="s">
        <v>183</v>
      </c>
      <c r="C821">
        <v>350000</v>
      </c>
      <c r="D821">
        <v>300000</v>
      </c>
      <c r="E821">
        <v>300000</v>
      </c>
      <c r="F821">
        <v>300000</v>
      </c>
      <c r="G821">
        <v>300000</v>
      </c>
      <c r="H821">
        <v>300000</v>
      </c>
      <c r="I821">
        <v>100000</v>
      </c>
      <c r="J821">
        <v>1500000</v>
      </c>
      <c r="K821">
        <v>2200000</v>
      </c>
      <c r="L821">
        <v>3100000</v>
      </c>
      <c r="M821">
        <v>7200000</v>
      </c>
      <c r="N821" s="2">
        <v>1.0480653387665039E-3</v>
      </c>
    </row>
    <row r="822" spans="1:14" hidden="1" x14ac:dyDescent="0.25">
      <c r="A822" t="s">
        <v>32</v>
      </c>
      <c r="B822" t="s">
        <v>124</v>
      </c>
      <c r="C822">
        <v>3683000</v>
      </c>
      <c r="D822">
        <v>4115390</v>
      </c>
      <c r="E822">
        <v>4428300</v>
      </c>
      <c r="F822">
        <v>3934000</v>
      </c>
      <c r="G822">
        <v>2914000</v>
      </c>
      <c r="H822">
        <v>3402000</v>
      </c>
      <c r="I822">
        <v>3790000</v>
      </c>
      <c r="J822">
        <v>3050000</v>
      </c>
      <c r="K822">
        <v>2455000</v>
      </c>
      <c r="L822">
        <v>3500000</v>
      </c>
      <c r="M822">
        <v>16197000</v>
      </c>
      <c r="N822" s="2">
        <v>2.3577103183334818E-3</v>
      </c>
    </row>
    <row r="823" spans="1:14" hidden="1" x14ac:dyDescent="0.25">
      <c r="A823" t="s">
        <v>32</v>
      </c>
      <c r="B823" t="s">
        <v>83</v>
      </c>
      <c r="C823">
        <v>3480000</v>
      </c>
      <c r="D823">
        <v>3342000</v>
      </c>
      <c r="E823">
        <v>3282000</v>
      </c>
      <c r="F823">
        <v>3594000</v>
      </c>
      <c r="G823">
        <v>3642000</v>
      </c>
      <c r="H823">
        <v>3758000</v>
      </c>
      <c r="I823">
        <v>3882000</v>
      </c>
      <c r="J823">
        <v>3664000</v>
      </c>
      <c r="K823">
        <v>3700000</v>
      </c>
      <c r="L823">
        <v>3800000</v>
      </c>
      <c r="M823">
        <v>18804000</v>
      </c>
      <c r="N823" s="2">
        <v>2.7371973097451881E-3</v>
      </c>
    </row>
    <row r="824" spans="1:14" hidden="1" x14ac:dyDescent="0.25">
      <c r="A824" t="s">
        <v>32</v>
      </c>
      <c r="B824" t="s">
        <v>181</v>
      </c>
      <c r="C824">
        <v>5751000</v>
      </c>
      <c r="D824">
        <v>6200000</v>
      </c>
      <c r="E824">
        <v>6015000</v>
      </c>
      <c r="F824">
        <v>5805000</v>
      </c>
      <c r="G824">
        <v>5642000</v>
      </c>
      <c r="H824">
        <v>6335000</v>
      </c>
      <c r="I824">
        <v>5269000</v>
      </c>
      <c r="J824">
        <v>5750000</v>
      </c>
      <c r="K824">
        <v>5300000</v>
      </c>
      <c r="L824">
        <v>6100000</v>
      </c>
      <c r="M824">
        <v>28754000</v>
      </c>
      <c r="N824" s="2">
        <v>4.1855653820683427E-3</v>
      </c>
    </row>
    <row r="825" spans="1:14" hidden="1" x14ac:dyDescent="0.25">
      <c r="A825" t="s">
        <v>32</v>
      </c>
      <c r="B825" t="s">
        <v>125</v>
      </c>
      <c r="C825">
        <v>2000</v>
      </c>
      <c r="D825">
        <v>1916</v>
      </c>
      <c r="E825">
        <v>1504</v>
      </c>
      <c r="F825">
        <v>1150</v>
      </c>
      <c r="G825">
        <v>2533</v>
      </c>
      <c r="H825">
        <v>315</v>
      </c>
      <c r="I825">
        <v>0</v>
      </c>
      <c r="J825">
        <v>702</v>
      </c>
      <c r="K825">
        <v>362</v>
      </c>
      <c r="L825">
        <v>1</v>
      </c>
      <c r="M825">
        <v>1380</v>
      </c>
      <c r="N825" s="2">
        <v>2.0087918993024669E-7</v>
      </c>
    </row>
    <row r="826" spans="1:14" hidden="1" x14ac:dyDescent="0.25">
      <c r="A826" t="s">
        <v>32</v>
      </c>
      <c r="B826" t="s">
        <v>126</v>
      </c>
      <c r="D826">
        <v>780000</v>
      </c>
      <c r="E826">
        <v>1440000</v>
      </c>
      <c r="F826">
        <v>1230000</v>
      </c>
      <c r="G826">
        <v>1260000</v>
      </c>
      <c r="H826">
        <v>1260000</v>
      </c>
      <c r="I826">
        <v>1600000</v>
      </c>
      <c r="J826">
        <v>1450000</v>
      </c>
      <c r="K826">
        <v>1400000</v>
      </c>
      <c r="L826">
        <v>1400000</v>
      </c>
      <c r="M826">
        <v>7110000</v>
      </c>
      <c r="N826" s="2">
        <v>1.0349645220319231E-3</v>
      </c>
    </row>
    <row r="827" spans="1:14" hidden="1" x14ac:dyDescent="0.25">
      <c r="A827" t="s">
        <v>32</v>
      </c>
      <c r="B827" t="s">
        <v>163</v>
      </c>
      <c r="C827">
        <v>4073000</v>
      </c>
      <c r="D827">
        <v>4343000</v>
      </c>
      <c r="E827">
        <v>4335000</v>
      </c>
      <c r="F827">
        <v>4248000</v>
      </c>
      <c r="G827">
        <v>4896000</v>
      </c>
      <c r="H827">
        <v>4860000</v>
      </c>
      <c r="I827">
        <v>4900000</v>
      </c>
      <c r="J827">
        <v>4800000</v>
      </c>
      <c r="K827">
        <v>3600000</v>
      </c>
      <c r="L827">
        <v>4200000</v>
      </c>
      <c r="M827">
        <v>22360000</v>
      </c>
      <c r="N827" s="2">
        <v>3.2548251353915329E-3</v>
      </c>
    </row>
    <row r="828" spans="1:14" hidden="1" x14ac:dyDescent="0.25">
      <c r="A828" t="s">
        <v>32</v>
      </c>
      <c r="B828" t="s">
        <v>84</v>
      </c>
      <c r="C828">
        <v>749539</v>
      </c>
      <c r="D828">
        <v>759100</v>
      </c>
      <c r="E828">
        <v>860430</v>
      </c>
      <c r="F828">
        <v>845462</v>
      </c>
      <c r="G828">
        <v>778123</v>
      </c>
      <c r="H828">
        <v>738476</v>
      </c>
      <c r="I828">
        <v>664291</v>
      </c>
      <c r="J828">
        <v>744778</v>
      </c>
      <c r="K828">
        <v>739058</v>
      </c>
      <c r="L828">
        <v>1066238</v>
      </c>
      <c r="M828">
        <v>3952841</v>
      </c>
      <c r="N828" s="2">
        <v>5.753938391326567E-4</v>
      </c>
    </row>
    <row r="829" spans="1:14" hidden="1" x14ac:dyDescent="0.25">
      <c r="A829" t="s">
        <v>32</v>
      </c>
      <c r="B829" t="s">
        <v>85</v>
      </c>
      <c r="C829">
        <v>32448000</v>
      </c>
      <c r="D829">
        <v>31552000</v>
      </c>
      <c r="E829">
        <v>32052000</v>
      </c>
      <c r="F829">
        <v>32292000</v>
      </c>
      <c r="G829">
        <v>29896000</v>
      </c>
      <c r="H829">
        <v>32392000</v>
      </c>
      <c r="I829">
        <v>32765000</v>
      </c>
      <c r="J829">
        <v>30901000</v>
      </c>
      <c r="K829">
        <v>29655000</v>
      </c>
      <c r="L829">
        <v>28500000</v>
      </c>
      <c r="M829">
        <v>154213000</v>
      </c>
      <c r="N829" s="2">
        <v>2.2447958345444299E-2</v>
      </c>
    </row>
    <row r="830" spans="1:14" hidden="1" x14ac:dyDescent="0.25">
      <c r="A830" t="s">
        <v>32</v>
      </c>
      <c r="B830" t="s">
        <v>116</v>
      </c>
      <c r="C830">
        <v>8496000</v>
      </c>
      <c r="D830">
        <v>7300000</v>
      </c>
      <c r="E830">
        <v>8210000</v>
      </c>
      <c r="F830">
        <v>7353000</v>
      </c>
      <c r="G830">
        <v>7606000</v>
      </c>
      <c r="H830">
        <v>7914000</v>
      </c>
      <c r="I830">
        <v>8100000</v>
      </c>
      <c r="J830">
        <v>7700000</v>
      </c>
      <c r="K830">
        <v>6400000</v>
      </c>
      <c r="L830">
        <v>7800000</v>
      </c>
      <c r="M830">
        <v>37914000</v>
      </c>
      <c r="N830" s="2">
        <v>5.5189373963879509E-3</v>
      </c>
    </row>
    <row r="831" spans="1:14" hidden="1" x14ac:dyDescent="0.25">
      <c r="A831" t="s">
        <v>32</v>
      </c>
      <c r="B831" t="s">
        <v>145</v>
      </c>
      <c r="C831">
        <v>1068000</v>
      </c>
      <c r="D831">
        <v>766000</v>
      </c>
      <c r="E831">
        <v>584000</v>
      </c>
      <c r="F831">
        <v>644000</v>
      </c>
      <c r="G831">
        <v>677000</v>
      </c>
      <c r="H831">
        <v>670000</v>
      </c>
      <c r="I831">
        <v>661000</v>
      </c>
      <c r="J831">
        <v>595000</v>
      </c>
      <c r="K831">
        <v>663000</v>
      </c>
      <c r="L831">
        <v>700000</v>
      </c>
      <c r="M831">
        <v>3289000</v>
      </c>
      <c r="N831" s="2">
        <v>4.7876206933375459E-4</v>
      </c>
    </row>
    <row r="832" spans="1:14" hidden="1" x14ac:dyDescent="0.25">
      <c r="A832" t="s">
        <v>32</v>
      </c>
      <c r="B832" t="s">
        <v>86</v>
      </c>
      <c r="C832">
        <v>663544000</v>
      </c>
      <c r="D832">
        <v>711498800</v>
      </c>
      <c r="E832">
        <v>713747800</v>
      </c>
      <c r="F832">
        <v>691413000</v>
      </c>
      <c r="G832">
        <v>702273300</v>
      </c>
      <c r="H832">
        <v>713619300</v>
      </c>
      <c r="I832">
        <v>779876300</v>
      </c>
      <c r="J832">
        <v>809365000</v>
      </c>
      <c r="K832">
        <v>888976100</v>
      </c>
      <c r="L832">
        <v>868600000</v>
      </c>
      <c r="M832">
        <v>4060436700</v>
      </c>
      <c r="N832" s="2">
        <v>0.59105596743408995</v>
      </c>
    </row>
    <row r="833" spans="1:14" hidden="1" x14ac:dyDescent="0.25">
      <c r="A833" t="s">
        <v>32</v>
      </c>
      <c r="B833" t="s">
        <v>87</v>
      </c>
      <c r="C833">
        <v>345000</v>
      </c>
      <c r="D833">
        <v>264000</v>
      </c>
      <c r="E833">
        <v>234000</v>
      </c>
      <c r="F833">
        <v>240000</v>
      </c>
      <c r="G833">
        <v>225000</v>
      </c>
      <c r="H833">
        <v>203000</v>
      </c>
      <c r="I833">
        <v>205000</v>
      </c>
      <c r="J833">
        <v>207000</v>
      </c>
      <c r="K833">
        <v>164000</v>
      </c>
      <c r="L833">
        <v>211000</v>
      </c>
      <c r="M833">
        <v>990000</v>
      </c>
      <c r="N833" s="2">
        <v>1.441089840803944E-4</v>
      </c>
    </row>
    <row r="834" spans="1:14" hidden="1" x14ac:dyDescent="0.25">
      <c r="A834" t="s">
        <v>32</v>
      </c>
      <c r="B834" t="s">
        <v>217</v>
      </c>
      <c r="C834">
        <v>3935207</v>
      </c>
      <c r="D834">
        <v>4040000</v>
      </c>
      <c r="E834">
        <v>4152000</v>
      </c>
      <c r="F834">
        <v>4031000</v>
      </c>
      <c r="G834">
        <v>4165000</v>
      </c>
      <c r="H834">
        <v>3691000</v>
      </c>
      <c r="I834">
        <v>4000000</v>
      </c>
      <c r="J834">
        <v>3635000</v>
      </c>
      <c r="K834">
        <v>3500000</v>
      </c>
      <c r="L834">
        <v>3900000</v>
      </c>
      <c r="M834">
        <v>18726000</v>
      </c>
      <c r="N834" s="2">
        <v>2.7258432685752171E-3</v>
      </c>
    </row>
    <row r="835" spans="1:14" hidden="1" x14ac:dyDescent="0.25">
      <c r="A835" t="s">
        <v>32</v>
      </c>
      <c r="B835" t="s">
        <v>128</v>
      </c>
      <c r="C835">
        <v>3618000</v>
      </c>
      <c r="D835">
        <v>3400000</v>
      </c>
      <c r="E835">
        <v>2882000</v>
      </c>
      <c r="F835">
        <v>2451000</v>
      </c>
      <c r="G835">
        <v>2618000</v>
      </c>
      <c r="H835">
        <v>4700000</v>
      </c>
      <c r="I835">
        <v>5800000</v>
      </c>
      <c r="J835">
        <v>4400000</v>
      </c>
      <c r="K835">
        <v>4800000</v>
      </c>
      <c r="L835">
        <v>5400000</v>
      </c>
      <c r="M835">
        <v>25100000</v>
      </c>
      <c r="N835" s="2">
        <v>3.6536722226443419E-3</v>
      </c>
    </row>
    <row r="836" spans="1:14" hidden="1" x14ac:dyDescent="0.25">
      <c r="A836" t="s">
        <v>32</v>
      </c>
      <c r="B836" t="s">
        <v>154</v>
      </c>
      <c r="C836">
        <v>2461000</v>
      </c>
      <c r="D836">
        <v>2100000</v>
      </c>
      <c r="E836">
        <v>2500000</v>
      </c>
      <c r="F836">
        <v>2600000</v>
      </c>
      <c r="G836">
        <v>2700000</v>
      </c>
      <c r="H836">
        <v>2600000</v>
      </c>
      <c r="I836">
        <v>2700000</v>
      </c>
      <c r="J836">
        <v>2300000</v>
      </c>
      <c r="K836">
        <v>1900000</v>
      </c>
      <c r="L836">
        <v>2500000</v>
      </c>
      <c r="M836">
        <v>12000000</v>
      </c>
      <c r="N836" s="2">
        <v>1.746775564610841E-3</v>
      </c>
    </row>
    <row r="837" spans="1:14" hidden="1" x14ac:dyDescent="0.25">
      <c r="A837" t="s">
        <v>32</v>
      </c>
      <c r="B837" t="s">
        <v>91</v>
      </c>
      <c r="C837">
        <v>9531844</v>
      </c>
      <c r="D837">
        <v>10276499</v>
      </c>
      <c r="E837">
        <v>10865646</v>
      </c>
      <c r="F837">
        <v>10097177</v>
      </c>
      <c r="G837">
        <v>9724062</v>
      </c>
      <c r="H837">
        <v>10677830</v>
      </c>
      <c r="I837">
        <v>10529559</v>
      </c>
      <c r="J837">
        <v>9877027</v>
      </c>
      <c r="K837">
        <v>7695671</v>
      </c>
      <c r="L837">
        <v>9500000</v>
      </c>
      <c r="M837">
        <v>48280087</v>
      </c>
      <c r="N837" s="2">
        <v>7.0278730190737916E-3</v>
      </c>
    </row>
    <row r="838" spans="1:14" hidden="1" x14ac:dyDescent="0.25">
      <c r="A838" t="s">
        <v>32</v>
      </c>
      <c r="B838" t="s">
        <v>117</v>
      </c>
      <c r="C838">
        <v>27046000</v>
      </c>
      <c r="D838">
        <v>26678000</v>
      </c>
      <c r="E838">
        <v>27943000</v>
      </c>
      <c r="F838">
        <v>27844000</v>
      </c>
      <c r="G838">
        <v>27269000</v>
      </c>
      <c r="H838">
        <v>27816000</v>
      </c>
      <c r="I838">
        <v>27271000</v>
      </c>
      <c r="J838">
        <v>25400000</v>
      </c>
      <c r="K838">
        <v>25500000</v>
      </c>
      <c r="L838">
        <v>26200000</v>
      </c>
      <c r="M838">
        <v>132187000</v>
      </c>
      <c r="N838" s="2">
        <v>1.9241751796601099E-2</v>
      </c>
    </row>
    <row r="839" spans="1:14" hidden="1" x14ac:dyDescent="0.25">
      <c r="A839" t="s">
        <v>32</v>
      </c>
      <c r="B839" t="s">
        <v>96</v>
      </c>
      <c r="C839">
        <v>1229000</v>
      </c>
      <c r="D839">
        <v>600000</v>
      </c>
      <c r="E839">
        <v>801000</v>
      </c>
      <c r="F839">
        <v>1247000</v>
      </c>
      <c r="G839">
        <v>863000</v>
      </c>
      <c r="H839">
        <v>1311000</v>
      </c>
      <c r="I839">
        <v>1355000</v>
      </c>
      <c r="J839">
        <v>1151000</v>
      </c>
      <c r="K839">
        <v>1000000</v>
      </c>
      <c r="L839">
        <v>600000</v>
      </c>
      <c r="M839">
        <v>5417000</v>
      </c>
      <c r="N839" s="2">
        <v>7.8852360279141039E-4</v>
      </c>
    </row>
    <row r="840" spans="1:14" hidden="1" x14ac:dyDescent="0.25">
      <c r="A840" t="s">
        <v>32</v>
      </c>
      <c r="B840" t="s">
        <v>97</v>
      </c>
      <c r="C840">
        <v>68037000</v>
      </c>
      <c r="D840">
        <v>68252000</v>
      </c>
      <c r="E840">
        <v>75532000</v>
      </c>
      <c r="F840">
        <v>74621000</v>
      </c>
      <c r="G840">
        <v>77254000</v>
      </c>
      <c r="H840">
        <v>96313000</v>
      </c>
      <c r="I840">
        <v>106823000</v>
      </c>
      <c r="J840">
        <v>111574000</v>
      </c>
      <c r="K840">
        <v>101400000</v>
      </c>
      <c r="L840">
        <v>116600000</v>
      </c>
      <c r="M840">
        <v>532710000</v>
      </c>
      <c r="N840" s="2">
        <v>7.7543734251986754E-2</v>
      </c>
    </row>
    <row r="841" spans="1:14" hidden="1" x14ac:dyDescent="0.25">
      <c r="A841" t="s">
        <v>32</v>
      </c>
      <c r="B841" t="s">
        <v>98</v>
      </c>
      <c r="C841">
        <v>524000</v>
      </c>
      <c r="D841">
        <v>757000</v>
      </c>
      <c r="E841">
        <v>155000</v>
      </c>
      <c r="F841">
        <v>2513000</v>
      </c>
      <c r="G841">
        <v>2640000</v>
      </c>
      <c r="H841">
        <v>2572000</v>
      </c>
      <c r="I841">
        <v>2967000</v>
      </c>
      <c r="J841">
        <v>3020000</v>
      </c>
      <c r="K841">
        <v>3100000</v>
      </c>
      <c r="L841">
        <v>3000000</v>
      </c>
      <c r="M841">
        <v>14659000</v>
      </c>
      <c r="N841" s="2">
        <v>2.1338319168025259E-3</v>
      </c>
    </row>
    <row r="842" spans="1:14" hidden="1" x14ac:dyDescent="0.25">
      <c r="A842" t="s">
        <v>32</v>
      </c>
      <c r="B842" t="s">
        <v>99</v>
      </c>
      <c r="C842">
        <v>13725000</v>
      </c>
      <c r="D842">
        <v>16465000</v>
      </c>
      <c r="E842">
        <v>17333000</v>
      </c>
      <c r="F842">
        <v>17005000</v>
      </c>
      <c r="G842">
        <v>18264000</v>
      </c>
      <c r="H842">
        <v>21694000</v>
      </c>
      <c r="I842">
        <v>28100000</v>
      </c>
      <c r="J842">
        <v>31000000</v>
      </c>
      <c r="K842">
        <v>33300000</v>
      </c>
      <c r="L842">
        <v>32500000</v>
      </c>
      <c r="M842">
        <v>146594000</v>
      </c>
      <c r="N842" s="2">
        <v>2.1338901426546798E-2</v>
      </c>
    </row>
    <row r="843" spans="1:14" hidden="1" x14ac:dyDescent="0.25">
      <c r="A843" t="s">
        <v>32</v>
      </c>
      <c r="B843" t="s">
        <v>182</v>
      </c>
      <c r="C843">
        <v>9424000</v>
      </c>
      <c r="D843">
        <v>6933000</v>
      </c>
      <c r="E843">
        <v>6434000</v>
      </c>
      <c r="F843">
        <v>5051000</v>
      </c>
      <c r="G843">
        <v>6044000</v>
      </c>
      <c r="H843">
        <v>5052000</v>
      </c>
      <c r="I843">
        <v>4836000</v>
      </c>
      <c r="J843">
        <v>4606000</v>
      </c>
      <c r="K843">
        <v>3405000</v>
      </c>
      <c r="L843">
        <v>3926000</v>
      </c>
      <c r="M843">
        <v>21825000</v>
      </c>
      <c r="N843" s="2">
        <v>3.1769480581359671E-3</v>
      </c>
    </row>
    <row r="844" spans="1:14" hidden="1" x14ac:dyDescent="0.25">
      <c r="A844" t="s">
        <v>32</v>
      </c>
      <c r="B844" t="s">
        <v>119</v>
      </c>
      <c r="C844">
        <v>81405470</v>
      </c>
      <c r="D844">
        <v>83849049</v>
      </c>
      <c r="E844">
        <v>83872490</v>
      </c>
      <c r="F844">
        <v>81010826</v>
      </c>
      <c r="G844">
        <v>80186246</v>
      </c>
      <c r="H844">
        <v>78329729</v>
      </c>
      <c r="I844">
        <v>77327888</v>
      </c>
      <c r="J844">
        <v>74907006</v>
      </c>
      <c r="K844">
        <v>61600469</v>
      </c>
      <c r="L844">
        <v>70344478</v>
      </c>
      <c r="M844">
        <v>362509570</v>
      </c>
      <c r="N844" s="2">
        <v>5.2768571567798593E-2</v>
      </c>
    </row>
    <row r="845" spans="1:14" hidden="1" x14ac:dyDescent="0.25">
      <c r="A845" t="s">
        <v>32</v>
      </c>
      <c r="B845" t="s">
        <v>102</v>
      </c>
      <c r="C845">
        <v>2707000</v>
      </c>
      <c r="D845">
        <v>2622745</v>
      </c>
      <c r="E845">
        <v>3184780</v>
      </c>
      <c r="F845">
        <v>3233671</v>
      </c>
      <c r="G845">
        <v>3595090</v>
      </c>
      <c r="H845">
        <v>3766322</v>
      </c>
      <c r="I845">
        <v>3174116</v>
      </c>
      <c r="J845">
        <v>3208744</v>
      </c>
      <c r="K845">
        <v>3212375</v>
      </c>
      <c r="L845">
        <v>3623764</v>
      </c>
      <c r="M845">
        <v>16985321</v>
      </c>
      <c r="N845" s="2">
        <v>2.4724619733226139E-3</v>
      </c>
    </row>
    <row r="846" spans="1:14" hidden="1" x14ac:dyDescent="0.25">
      <c r="A846" t="s">
        <v>32</v>
      </c>
      <c r="B846" t="s">
        <v>148</v>
      </c>
      <c r="C846">
        <v>41718000</v>
      </c>
      <c r="D846">
        <v>41045000</v>
      </c>
      <c r="E846">
        <v>46909000</v>
      </c>
      <c r="F846">
        <v>47639000</v>
      </c>
      <c r="G846">
        <v>46336000</v>
      </c>
      <c r="H846">
        <v>47100000</v>
      </c>
      <c r="I846">
        <v>47124000</v>
      </c>
      <c r="J846">
        <v>47521000</v>
      </c>
      <c r="K846">
        <v>45359000</v>
      </c>
      <c r="L846">
        <v>46440000</v>
      </c>
      <c r="M846">
        <v>233544000</v>
      </c>
      <c r="N846" s="2">
        <v>3.3995746038456183E-2</v>
      </c>
    </row>
    <row r="847" spans="1:14" hidden="1" x14ac:dyDescent="0.25">
      <c r="A847" t="s">
        <v>32</v>
      </c>
      <c r="B847" t="s">
        <v>149</v>
      </c>
      <c r="C847">
        <v>250000</v>
      </c>
      <c r="D847">
        <v>250000</v>
      </c>
      <c r="E847">
        <v>250000</v>
      </c>
      <c r="F847">
        <v>250000</v>
      </c>
      <c r="G847">
        <v>250000</v>
      </c>
      <c r="H847">
        <v>250000</v>
      </c>
      <c r="I847">
        <v>200000</v>
      </c>
      <c r="J847">
        <v>150000</v>
      </c>
      <c r="K847">
        <v>100000</v>
      </c>
      <c r="L847">
        <v>150000</v>
      </c>
      <c r="M847">
        <v>850000</v>
      </c>
      <c r="N847" s="2">
        <v>1.2372993582660121E-4</v>
      </c>
    </row>
    <row r="848" spans="1:14" hidden="1" x14ac:dyDescent="0.25">
      <c r="A848" t="s">
        <v>32</v>
      </c>
      <c r="B848" t="s">
        <v>218</v>
      </c>
      <c r="C848">
        <v>508000</v>
      </c>
      <c r="D848">
        <v>956000</v>
      </c>
      <c r="E848">
        <v>998000</v>
      </c>
      <c r="F848">
        <v>449000</v>
      </c>
      <c r="G848">
        <v>698852</v>
      </c>
      <c r="H848">
        <v>561956</v>
      </c>
      <c r="I848">
        <v>611763</v>
      </c>
      <c r="J848">
        <v>880470</v>
      </c>
      <c r="K848">
        <v>834550</v>
      </c>
      <c r="L848">
        <v>900000</v>
      </c>
      <c r="M848">
        <v>3788739</v>
      </c>
      <c r="N848" s="2">
        <v>5.5150639215734262E-4</v>
      </c>
    </row>
    <row r="849" spans="1:14" hidden="1" x14ac:dyDescent="0.25">
      <c r="A849" t="s">
        <v>32</v>
      </c>
      <c r="B849" t="s">
        <v>103</v>
      </c>
      <c r="C849">
        <v>2329000</v>
      </c>
      <c r="D849">
        <v>1399000</v>
      </c>
      <c r="E849">
        <v>1007000</v>
      </c>
      <c r="F849">
        <v>1434000</v>
      </c>
      <c r="G849">
        <v>1178000</v>
      </c>
      <c r="H849">
        <v>952000</v>
      </c>
      <c r="I849">
        <v>1230000</v>
      </c>
      <c r="J849">
        <v>4467000</v>
      </c>
      <c r="K849">
        <v>700000</v>
      </c>
      <c r="L849">
        <v>700000</v>
      </c>
      <c r="M849">
        <v>8049000</v>
      </c>
      <c r="N849" s="2">
        <v>1.1716497099627219E-3</v>
      </c>
    </row>
    <row r="850" spans="1:14" hidden="1" x14ac:dyDescent="0.25">
      <c r="A850" t="s">
        <v>32</v>
      </c>
      <c r="B850" t="s">
        <v>150</v>
      </c>
      <c r="C850">
        <v>10197841</v>
      </c>
      <c r="D850">
        <v>11011092</v>
      </c>
      <c r="E850">
        <v>11092595</v>
      </c>
      <c r="F850">
        <v>10074000</v>
      </c>
      <c r="G850">
        <v>9782000</v>
      </c>
      <c r="H850">
        <v>10256000</v>
      </c>
      <c r="I850">
        <v>10511000</v>
      </c>
      <c r="J850">
        <v>9819000</v>
      </c>
      <c r="K850">
        <v>7606000</v>
      </c>
      <c r="L850">
        <v>8496000</v>
      </c>
      <c r="M850">
        <v>46688000</v>
      </c>
      <c r="N850" s="2">
        <v>6.7961214633792443E-3</v>
      </c>
    </row>
    <row r="851" spans="1:14" hidden="1" x14ac:dyDescent="0.25">
      <c r="A851" t="s">
        <v>32</v>
      </c>
      <c r="B851" t="s">
        <v>130</v>
      </c>
      <c r="C851">
        <v>5909000</v>
      </c>
      <c r="D851">
        <v>5700000</v>
      </c>
      <c r="E851">
        <v>5868000</v>
      </c>
      <c r="F851">
        <v>6050000</v>
      </c>
      <c r="G851">
        <v>6092000</v>
      </c>
      <c r="H851">
        <v>6145000</v>
      </c>
      <c r="I851">
        <v>6150000</v>
      </c>
      <c r="J851">
        <v>5900000</v>
      </c>
      <c r="K851">
        <v>5400000</v>
      </c>
      <c r="L851">
        <v>5900000</v>
      </c>
      <c r="M851">
        <v>29495000</v>
      </c>
      <c r="N851" s="2">
        <v>4.293428773183062E-3</v>
      </c>
    </row>
    <row r="852" spans="1:14" hidden="1" x14ac:dyDescent="0.25">
      <c r="A852" t="s">
        <v>32</v>
      </c>
      <c r="B852" t="s">
        <v>131</v>
      </c>
      <c r="C852">
        <v>670000</v>
      </c>
      <c r="D852">
        <v>700000</v>
      </c>
      <c r="E852">
        <v>680000</v>
      </c>
      <c r="F852">
        <v>678000</v>
      </c>
      <c r="G852">
        <v>670000</v>
      </c>
      <c r="H852">
        <v>683000</v>
      </c>
      <c r="I852">
        <v>700000</v>
      </c>
      <c r="J852">
        <v>672000</v>
      </c>
      <c r="K852">
        <v>600000</v>
      </c>
      <c r="L852">
        <v>700000</v>
      </c>
      <c r="M852">
        <v>3355000</v>
      </c>
      <c r="N852" s="2">
        <v>4.883693349391142E-4</v>
      </c>
    </row>
    <row r="853" spans="1:14" hidden="1" x14ac:dyDescent="0.25">
      <c r="A853" t="s">
        <v>32</v>
      </c>
      <c r="B853" t="s">
        <v>132</v>
      </c>
      <c r="C853">
        <v>99800</v>
      </c>
      <c r="D853">
        <v>106300</v>
      </c>
      <c r="E853">
        <v>102100</v>
      </c>
      <c r="F853">
        <v>58700</v>
      </c>
      <c r="G853">
        <v>43000</v>
      </c>
      <c r="H853">
        <v>74100</v>
      </c>
      <c r="I853">
        <v>78800</v>
      </c>
      <c r="J853">
        <v>74200</v>
      </c>
      <c r="K853">
        <v>70000</v>
      </c>
      <c r="L853">
        <v>70000</v>
      </c>
      <c r="M853">
        <v>367100</v>
      </c>
      <c r="N853" s="2">
        <v>5.3436775814053301E-5</v>
      </c>
    </row>
    <row r="854" spans="1:14" hidden="1" x14ac:dyDescent="0.25">
      <c r="A854" t="s">
        <v>32</v>
      </c>
      <c r="B854" t="s">
        <v>133</v>
      </c>
      <c r="C854">
        <v>1520000</v>
      </c>
      <c r="D854">
        <v>1468000</v>
      </c>
      <c r="E854">
        <v>1420000</v>
      </c>
      <c r="F854">
        <v>1509000</v>
      </c>
      <c r="G854">
        <v>1439000</v>
      </c>
      <c r="H854">
        <v>1526000</v>
      </c>
      <c r="I854">
        <v>1500000</v>
      </c>
      <c r="J854">
        <v>1750000</v>
      </c>
      <c r="K854">
        <v>1800000</v>
      </c>
      <c r="L854">
        <v>1700000</v>
      </c>
      <c r="M854">
        <v>8276000</v>
      </c>
      <c r="N854" s="2">
        <v>1.2046928810599429E-3</v>
      </c>
    </row>
    <row r="855" spans="1:14" hidden="1" x14ac:dyDescent="0.25">
      <c r="A855" t="s">
        <v>32</v>
      </c>
      <c r="B855" t="s">
        <v>219</v>
      </c>
      <c r="C855">
        <v>67000</v>
      </c>
      <c r="D855">
        <v>69000</v>
      </c>
      <c r="E855">
        <v>71000</v>
      </c>
      <c r="F855">
        <v>71000</v>
      </c>
      <c r="G855">
        <v>50000</v>
      </c>
      <c r="H855">
        <v>38000</v>
      </c>
      <c r="I855">
        <v>39000</v>
      </c>
      <c r="J855">
        <v>41000</v>
      </c>
      <c r="K855">
        <v>35000</v>
      </c>
      <c r="L855">
        <v>44000</v>
      </c>
      <c r="M855">
        <v>197000</v>
      </c>
      <c r="N855" s="2">
        <v>2.8676232185694639E-5</v>
      </c>
    </row>
    <row r="856" spans="1:14" hidden="1" x14ac:dyDescent="0.25">
      <c r="A856" t="s">
        <v>32</v>
      </c>
      <c r="B856" t="s">
        <v>151</v>
      </c>
      <c r="C856">
        <v>3943968</v>
      </c>
      <c r="D856">
        <v>4013877</v>
      </c>
      <c r="E856">
        <v>4639571</v>
      </c>
      <c r="F856">
        <v>4826492</v>
      </c>
      <c r="G856">
        <v>4679616</v>
      </c>
      <c r="H856">
        <v>5159128</v>
      </c>
      <c r="I856">
        <v>4787696</v>
      </c>
      <c r="J856">
        <v>4241941</v>
      </c>
      <c r="K856">
        <v>3502468</v>
      </c>
      <c r="L856">
        <v>3594504</v>
      </c>
      <c r="M856">
        <v>21285737</v>
      </c>
      <c r="N856" s="2">
        <v>3.098450438861072E-3</v>
      </c>
    </row>
    <row r="857" spans="1:14" hidden="1" x14ac:dyDescent="0.25">
      <c r="A857" t="s">
        <v>32</v>
      </c>
      <c r="B857" t="s">
        <v>134</v>
      </c>
      <c r="C857">
        <v>2424000</v>
      </c>
      <c r="D857">
        <v>2385493</v>
      </c>
      <c r="E857">
        <v>2547000</v>
      </c>
      <c r="F857">
        <v>2631000</v>
      </c>
      <c r="G857">
        <v>2506000</v>
      </c>
      <c r="H857">
        <v>2548000</v>
      </c>
      <c r="I857">
        <v>2525000</v>
      </c>
      <c r="J857">
        <v>2423000</v>
      </c>
      <c r="K857">
        <v>752569</v>
      </c>
      <c r="L857">
        <v>800000</v>
      </c>
      <c r="M857">
        <v>9048569</v>
      </c>
      <c r="N857" s="2">
        <v>1.317151601991263E-3</v>
      </c>
    </row>
    <row r="858" spans="1:14" hidden="1" x14ac:dyDescent="0.25">
      <c r="A858" t="s">
        <v>32</v>
      </c>
      <c r="B858" t="s">
        <v>120</v>
      </c>
      <c r="C858">
        <v>1467000</v>
      </c>
      <c r="D858">
        <v>1601139</v>
      </c>
      <c r="E858">
        <v>1630642</v>
      </c>
      <c r="F858">
        <v>1938502</v>
      </c>
      <c r="G858">
        <v>1922001</v>
      </c>
      <c r="H858">
        <v>1766958</v>
      </c>
      <c r="I858">
        <v>1979200</v>
      </c>
      <c r="J858">
        <v>2107300</v>
      </c>
      <c r="K858">
        <v>1800000</v>
      </c>
      <c r="L858">
        <v>2100000</v>
      </c>
      <c r="M858">
        <v>9753458</v>
      </c>
      <c r="N858" s="2">
        <v>1.4197585087381769E-3</v>
      </c>
    </row>
    <row r="859" spans="1:14" hidden="1" x14ac:dyDescent="0.25">
      <c r="A859" t="s">
        <v>32</v>
      </c>
      <c r="B859" t="s">
        <v>107</v>
      </c>
      <c r="C859">
        <v>50500000</v>
      </c>
      <c r="D859">
        <v>50000000</v>
      </c>
      <c r="E859">
        <v>51400000</v>
      </c>
      <c r="F859">
        <v>53700000</v>
      </c>
      <c r="G859">
        <v>51900000</v>
      </c>
      <c r="H859">
        <v>52100000</v>
      </c>
      <c r="I859">
        <v>51800000</v>
      </c>
      <c r="J859">
        <v>51200000</v>
      </c>
      <c r="K859">
        <v>52000000</v>
      </c>
      <c r="L859">
        <v>53900000</v>
      </c>
      <c r="M859">
        <v>261000000</v>
      </c>
      <c r="N859" s="2">
        <v>3.7992368530285793E-2</v>
      </c>
    </row>
    <row r="860" spans="1:14" hidden="1" x14ac:dyDescent="0.25">
      <c r="A860" t="s">
        <v>32</v>
      </c>
      <c r="B860" t="s">
        <v>108</v>
      </c>
      <c r="C860">
        <v>4976000</v>
      </c>
      <c r="D860">
        <v>6070000</v>
      </c>
      <c r="E860">
        <v>6460000</v>
      </c>
      <c r="F860">
        <v>5800000</v>
      </c>
      <c r="G860">
        <v>5119000</v>
      </c>
      <c r="H860">
        <v>4812000</v>
      </c>
      <c r="I860">
        <v>5000000</v>
      </c>
      <c r="J860">
        <v>4700000</v>
      </c>
      <c r="K860">
        <v>5200000</v>
      </c>
      <c r="L860">
        <v>6100000</v>
      </c>
      <c r="M860">
        <v>25812000</v>
      </c>
      <c r="N860" s="2">
        <v>3.7573142394779178E-3</v>
      </c>
    </row>
    <row r="861" spans="1:14" hidden="1" x14ac:dyDescent="0.25">
      <c r="A861" t="s">
        <v>32</v>
      </c>
      <c r="B861" t="s">
        <v>179</v>
      </c>
      <c r="C861">
        <v>318651</v>
      </c>
      <c r="D861">
        <v>366277</v>
      </c>
      <c r="E861">
        <v>550000</v>
      </c>
      <c r="F861">
        <v>904000</v>
      </c>
      <c r="G861">
        <v>1154000</v>
      </c>
      <c r="H861">
        <v>1340000</v>
      </c>
      <c r="I861">
        <v>1593000</v>
      </c>
      <c r="J861">
        <v>1577000</v>
      </c>
      <c r="K861">
        <v>1500000</v>
      </c>
      <c r="L861">
        <v>1500000</v>
      </c>
      <c r="M861">
        <v>7510000</v>
      </c>
      <c r="N861" s="2">
        <v>1.093190374185618E-3</v>
      </c>
    </row>
    <row r="862" spans="1:14" hidden="1" x14ac:dyDescent="0.25">
      <c r="A862" t="s">
        <v>32</v>
      </c>
      <c r="B862" t="s">
        <v>135</v>
      </c>
      <c r="C862">
        <v>3519755</v>
      </c>
      <c r="D862">
        <v>3617000</v>
      </c>
      <c r="E862">
        <v>3838000</v>
      </c>
      <c r="F862">
        <v>3738000</v>
      </c>
      <c r="G862">
        <v>3987000</v>
      </c>
      <c r="H862">
        <v>4106000</v>
      </c>
      <c r="I862">
        <v>4200000</v>
      </c>
      <c r="J862">
        <v>3100000</v>
      </c>
      <c r="K862">
        <v>3000000</v>
      </c>
      <c r="L862">
        <v>3000000</v>
      </c>
      <c r="M862">
        <v>17406000</v>
      </c>
      <c r="N862" s="2">
        <v>2.5336979564680251E-3</v>
      </c>
    </row>
    <row r="863" spans="1:14" hidden="1" x14ac:dyDescent="0.25">
      <c r="A863" t="s">
        <v>32</v>
      </c>
      <c r="B863" t="s">
        <v>137</v>
      </c>
      <c r="C863">
        <v>6092000</v>
      </c>
      <c r="D863">
        <v>6404000</v>
      </c>
      <c r="E863">
        <v>6040000</v>
      </c>
      <c r="F863">
        <v>6939000</v>
      </c>
      <c r="G863">
        <v>5013000</v>
      </c>
      <c r="H863">
        <v>5277000</v>
      </c>
      <c r="I863">
        <v>5400000</v>
      </c>
      <c r="J863">
        <v>4500000</v>
      </c>
      <c r="K863">
        <v>2300000</v>
      </c>
      <c r="L863">
        <v>3100000</v>
      </c>
      <c r="M863">
        <v>20577000</v>
      </c>
      <c r="N863" s="2">
        <v>2.9952833994164388E-3</v>
      </c>
    </row>
    <row r="864" spans="1:14" hidden="1" x14ac:dyDescent="0.25">
      <c r="A864" t="s">
        <v>32</v>
      </c>
      <c r="B864" t="s">
        <v>121</v>
      </c>
      <c r="C864">
        <v>3081000</v>
      </c>
      <c r="D864">
        <v>3949000</v>
      </c>
      <c r="E864">
        <v>3958000</v>
      </c>
      <c r="F864">
        <v>4450000</v>
      </c>
      <c r="G864">
        <v>4115000</v>
      </c>
      <c r="H864">
        <v>4462000</v>
      </c>
      <c r="I864">
        <v>4500000</v>
      </c>
      <c r="J864">
        <v>3900000</v>
      </c>
      <c r="K864">
        <v>2900000</v>
      </c>
      <c r="L864">
        <v>4000000</v>
      </c>
      <c r="M864">
        <v>19762000</v>
      </c>
      <c r="N864" s="2">
        <v>2.8766482256532859E-3</v>
      </c>
    </row>
    <row r="865" spans="1:14" hidden="1" x14ac:dyDescent="0.25">
      <c r="A865" t="s">
        <v>32</v>
      </c>
      <c r="B865" t="s">
        <v>138</v>
      </c>
      <c r="C865">
        <v>2805000</v>
      </c>
      <c r="D865">
        <v>2896000</v>
      </c>
      <c r="E865">
        <v>3078000</v>
      </c>
      <c r="F865">
        <v>2865000</v>
      </c>
      <c r="G865">
        <v>3079000</v>
      </c>
      <c r="H865">
        <v>3111000</v>
      </c>
      <c r="I865">
        <v>2877000</v>
      </c>
      <c r="J865">
        <v>3172000</v>
      </c>
      <c r="K865">
        <v>2854000</v>
      </c>
      <c r="L865">
        <v>3100000</v>
      </c>
      <c r="M865">
        <v>15114000</v>
      </c>
      <c r="N865" s="2">
        <v>2.2000638236273542E-3</v>
      </c>
    </row>
    <row r="866" spans="1:14" hidden="1" x14ac:dyDescent="0.25">
      <c r="A866" t="s">
        <v>32</v>
      </c>
      <c r="B866" t="s">
        <v>208</v>
      </c>
      <c r="C866">
        <v>11784000</v>
      </c>
      <c r="D866">
        <v>13300000</v>
      </c>
      <c r="E866">
        <v>14505000</v>
      </c>
      <c r="F866">
        <v>14370000</v>
      </c>
      <c r="G866">
        <v>14890000</v>
      </c>
      <c r="H866">
        <v>14361000</v>
      </c>
      <c r="I866">
        <v>14841000</v>
      </c>
      <c r="J866">
        <v>14510000</v>
      </c>
      <c r="K866">
        <v>13400000</v>
      </c>
      <c r="L866">
        <v>15200000</v>
      </c>
      <c r="M866">
        <v>72312000</v>
      </c>
      <c r="N866" s="2">
        <v>1.0526069552344929E-2</v>
      </c>
    </row>
    <row r="867" spans="1:14" hidden="1" x14ac:dyDescent="0.25">
      <c r="A867" t="s">
        <v>32</v>
      </c>
      <c r="B867" t="s">
        <v>112</v>
      </c>
      <c r="C867">
        <v>18289109</v>
      </c>
      <c r="D867">
        <v>19548094</v>
      </c>
      <c r="E867">
        <v>9364000</v>
      </c>
      <c r="F867">
        <v>10184000</v>
      </c>
      <c r="G867">
        <v>10304000</v>
      </c>
      <c r="H867">
        <v>10589000</v>
      </c>
      <c r="I867">
        <v>10536000</v>
      </c>
      <c r="J867">
        <v>9900000</v>
      </c>
      <c r="K867">
        <v>10000000</v>
      </c>
      <c r="L867">
        <v>10400000</v>
      </c>
      <c r="M867">
        <v>51425000</v>
      </c>
      <c r="N867" s="2">
        <v>7.485661117509374E-3</v>
      </c>
    </row>
    <row r="868" spans="1:14" hidden="1" x14ac:dyDescent="0.25">
      <c r="A868" t="s">
        <v>32</v>
      </c>
      <c r="B868" t="s">
        <v>113</v>
      </c>
      <c r="C868">
        <v>32062000</v>
      </c>
      <c r="D868">
        <v>30381000</v>
      </c>
      <c r="E868">
        <v>29345000</v>
      </c>
      <c r="F868">
        <v>25435000</v>
      </c>
      <c r="G868">
        <v>22293000</v>
      </c>
      <c r="H868">
        <v>22395000</v>
      </c>
      <c r="I868">
        <v>24058000</v>
      </c>
      <c r="J868">
        <v>22301000</v>
      </c>
      <c r="K868">
        <v>21700000</v>
      </c>
      <c r="L868">
        <v>23400000</v>
      </c>
      <c r="M868">
        <v>113854000</v>
      </c>
      <c r="N868" s="2">
        <v>1.6573115427766891E-2</v>
      </c>
    </row>
    <row r="869" spans="1:14" hidden="1" x14ac:dyDescent="0.25">
      <c r="A869" t="s">
        <v>32</v>
      </c>
      <c r="B869" t="s">
        <v>122</v>
      </c>
      <c r="C869">
        <v>28487000</v>
      </c>
      <c r="D869">
        <v>29088700</v>
      </c>
      <c r="E869">
        <v>24800900</v>
      </c>
      <c r="F869">
        <v>21863000</v>
      </c>
      <c r="G869">
        <v>23560000</v>
      </c>
      <c r="H869">
        <v>19797900</v>
      </c>
      <c r="I869">
        <v>20531200</v>
      </c>
      <c r="J869">
        <v>20055900</v>
      </c>
      <c r="K869">
        <v>20238000</v>
      </c>
      <c r="L869">
        <v>21200000</v>
      </c>
      <c r="M869">
        <v>101823000</v>
      </c>
      <c r="N869" s="2">
        <v>1.482182735961414E-2</v>
      </c>
    </row>
    <row r="870" spans="1:14" hidden="1" x14ac:dyDescent="0.25">
      <c r="A870" t="s">
        <v>32</v>
      </c>
      <c r="B870" t="s">
        <v>123</v>
      </c>
      <c r="C870">
        <v>2699000</v>
      </c>
      <c r="D870">
        <v>3075000</v>
      </c>
      <c r="E870">
        <v>2409000</v>
      </c>
      <c r="F870">
        <v>3190000</v>
      </c>
      <c r="G870">
        <v>3479000</v>
      </c>
      <c r="H870">
        <v>3608000</v>
      </c>
      <c r="I870">
        <v>3784000</v>
      </c>
      <c r="J870">
        <v>3700000</v>
      </c>
      <c r="K870">
        <v>3000000</v>
      </c>
      <c r="L870">
        <v>3700000</v>
      </c>
      <c r="M870">
        <v>17792000</v>
      </c>
      <c r="N870" s="2">
        <v>2.58988590379634E-3</v>
      </c>
    </row>
    <row r="871" spans="1:14" hidden="1" x14ac:dyDescent="0.25">
      <c r="A871" t="s">
        <v>32</v>
      </c>
      <c r="B871" t="s">
        <v>140</v>
      </c>
      <c r="C871">
        <v>7183100</v>
      </c>
      <c r="D871">
        <v>9470600</v>
      </c>
      <c r="E871">
        <v>9704600</v>
      </c>
      <c r="F871">
        <v>8773500</v>
      </c>
      <c r="G871">
        <v>6142400</v>
      </c>
      <c r="H871">
        <v>5996500</v>
      </c>
      <c r="I871">
        <v>5587900</v>
      </c>
      <c r="J871">
        <v>5621700</v>
      </c>
      <c r="K871">
        <v>5235500</v>
      </c>
      <c r="L871">
        <v>5749600</v>
      </c>
      <c r="M871">
        <v>28191200</v>
      </c>
      <c r="N871" s="2">
        <v>4.1036416080880954E-3</v>
      </c>
    </row>
    <row r="872" spans="1:14" hidden="1" x14ac:dyDescent="0.25">
      <c r="A872" t="s">
        <v>32</v>
      </c>
      <c r="B872" t="s">
        <v>114</v>
      </c>
      <c r="C872">
        <v>4594000</v>
      </c>
      <c r="D872">
        <v>2727000</v>
      </c>
      <c r="E872">
        <v>1402000</v>
      </c>
      <c r="F872">
        <v>1356000</v>
      </c>
      <c r="G872">
        <v>908000</v>
      </c>
      <c r="H872">
        <v>491000</v>
      </c>
      <c r="I872">
        <v>442000</v>
      </c>
      <c r="J872">
        <v>393000</v>
      </c>
      <c r="K872">
        <v>285000</v>
      </c>
      <c r="L872">
        <v>290000</v>
      </c>
      <c r="M872">
        <v>1901000</v>
      </c>
      <c r="N872" s="2">
        <v>2.7671836236043399E-4</v>
      </c>
    </row>
    <row r="873" spans="1:14" hidden="1" x14ac:dyDescent="0.25">
      <c r="A873" t="s">
        <v>32</v>
      </c>
      <c r="B873" t="s">
        <v>115</v>
      </c>
      <c r="C873">
        <v>650000</v>
      </c>
      <c r="D873">
        <v>650000</v>
      </c>
      <c r="E873">
        <v>1393000</v>
      </c>
      <c r="F873">
        <v>1700000</v>
      </c>
      <c r="G873">
        <v>2600000</v>
      </c>
      <c r="H873">
        <v>4250000</v>
      </c>
      <c r="I873">
        <v>8323000</v>
      </c>
      <c r="J873">
        <v>9836000</v>
      </c>
      <c r="K873">
        <v>10000000</v>
      </c>
      <c r="L873">
        <v>10000000</v>
      </c>
      <c r="M873">
        <v>42409000</v>
      </c>
      <c r="N873" s="2">
        <v>6.1732504099650956E-3</v>
      </c>
    </row>
    <row r="874" spans="1:14" hidden="1" x14ac:dyDescent="0.25">
      <c r="A874" t="s">
        <v>31</v>
      </c>
      <c r="B874" t="s">
        <v>183</v>
      </c>
      <c r="C874">
        <v>1700000</v>
      </c>
      <c r="D874">
        <v>1066700</v>
      </c>
      <c r="E874">
        <v>911135</v>
      </c>
      <c r="F874">
        <v>944000</v>
      </c>
      <c r="G874">
        <v>826000</v>
      </c>
      <c r="H874">
        <v>830000</v>
      </c>
      <c r="I874">
        <v>830000</v>
      </c>
      <c r="J874">
        <v>830000</v>
      </c>
      <c r="K874">
        <v>830000</v>
      </c>
      <c r="L874">
        <v>830000</v>
      </c>
      <c r="M874">
        <v>4150000</v>
      </c>
      <c r="N874" s="2">
        <v>2.6783205307300429E-4</v>
      </c>
    </row>
    <row r="875" spans="1:14" hidden="1" x14ac:dyDescent="0.25">
      <c r="A875" t="s">
        <v>31</v>
      </c>
      <c r="B875" t="s">
        <v>83</v>
      </c>
      <c r="C875">
        <v>519356328</v>
      </c>
      <c r="D875">
        <v>609729698</v>
      </c>
      <c r="E875">
        <v>739682244</v>
      </c>
      <c r="F875">
        <v>809881763</v>
      </c>
      <c r="G875">
        <v>858025634</v>
      </c>
      <c r="H875">
        <v>885356738</v>
      </c>
      <c r="I875">
        <v>903850494</v>
      </c>
      <c r="J875">
        <v>917045579</v>
      </c>
      <c r="K875">
        <v>918063223</v>
      </c>
      <c r="L875">
        <v>922159323</v>
      </c>
      <c r="M875">
        <v>4546475357</v>
      </c>
      <c r="N875" s="2">
        <v>0.29341971785810372</v>
      </c>
    </row>
    <row r="876" spans="1:14" hidden="1" x14ac:dyDescent="0.25">
      <c r="A876" t="s">
        <v>31</v>
      </c>
      <c r="B876" t="s">
        <v>181</v>
      </c>
      <c r="C876">
        <v>2142255</v>
      </c>
      <c r="D876">
        <v>2323323</v>
      </c>
      <c r="E876">
        <v>2436675</v>
      </c>
      <c r="F876">
        <v>2783327</v>
      </c>
      <c r="G876">
        <v>2777260</v>
      </c>
      <c r="H876">
        <v>2981737</v>
      </c>
      <c r="I876">
        <v>2803536</v>
      </c>
      <c r="J876">
        <v>3242102</v>
      </c>
      <c r="K876">
        <v>3043237</v>
      </c>
      <c r="L876">
        <v>3311102</v>
      </c>
      <c r="M876">
        <v>15381714</v>
      </c>
      <c r="N876" s="2">
        <v>9.927026603377769E-4</v>
      </c>
    </row>
    <row r="877" spans="1:14" hidden="1" x14ac:dyDescent="0.25">
      <c r="A877" t="s">
        <v>31</v>
      </c>
      <c r="B877" t="s">
        <v>212</v>
      </c>
      <c r="C877">
        <v>3742</v>
      </c>
      <c r="D877">
        <v>20506</v>
      </c>
      <c r="E877">
        <v>18997</v>
      </c>
      <c r="F877">
        <v>43202</v>
      </c>
      <c r="G877">
        <v>28065</v>
      </c>
      <c r="H877">
        <v>32974</v>
      </c>
      <c r="I877">
        <v>37843</v>
      </c>
      <c r="J877">
        <v>36864</v>
      </c>
      <c r="K877">
        <v>14734</v>
      </c>
      <c r="L877">
        <v>25917</v>
      </c>
      <c r="M877">
        <v>148332</v>
      </c>
      <c r="N877" s="2">
        <v>9.5730274931144284E-6</v>
      </c>
    </row>
    <row r="878" spans="1:14" hidden="1" x14ac:dyDescent="0.25">
      <c r="A878" t="s">
        <v>31</v>
      </c>
      <c r="B878" t="s">
        <v>144</v>
      </c>
      <c r="C878">
        <v>13348</v>
      </c>
      <c r="D878">
        <v>1760</v>
      </c>
      <c r="E878">
        <v>18425</v>
      </c>
      <c r="F878">
        <v>24453</v>
      </c>
      <c r="G878">
        <v>22</v>
      </c>
      <c r="H878">
        <v>38330</v>
      </c>
      <c r="I878">
        <v>71662</v>
      </c>
      <c r="J878">
        <v>79023</v>
      </c>
      <c r="K878">
        <v>26576</v>
      </c>
      <c r="L878">
        <v>29322</v>
      </c>
      <c r="M878">
        <v>244913</v>
      </c>
      <c r="N878" s="2">
        <v>1.5806157015486439E-5</v>
      </c>
    </row>
    <row r="879" spans="1:14" hidden="1" x14ac:dyDescent="0.25">
      <c r="A879" t="s">
        <v>31</v>
      </c>
      <c r="B879" t="s">
        <v>84</v>
      </c>
      <c r="C879">
        <v>2075732</v>
      </c>
      <c r="D879">
        <v>2121908</v>
      </c>
      <c r="E879">
        <v>2127564</v>
      </c>
      <c r="F879">
        <v>2122802</v>
      </c>
      <c r="G879">
        <v>1751800</v>
      </c>
      <c r="H879">
        <v>1621907</v>
      </c>
      <c r="I879">
        <v>1380488</v>
      </c>
      <c r="J879">
        <v>1450205</v>
      </c>
      <c r="K879">
        <v>1427410</v>
      </c>
      <c r="L879">
        <v>1553961</v>
      </c>
      <c r="M879">
        <v>7433971</v>
      </c>
      <c r="N879" s="2">
        <v>4.7977246154582532E-4</v>
      </c>
    </row>
    <row r="880" spans="1:14" hidden="1" x14ac:dyDescent="0.25">
      <c r="A880" t="s">
        <v>31</v>
      </c>
      <c r="B880" t="s">
        <v>85</v>
      </c>
      <c r="C880">
        <v>400600000</v>
      </c>
      <c r="D880">
        <v>316800000</v>
      </c>
      <c r="E880">
        <v>411182786</v>
      </c>
      <c r="F880">
        <v>430838137</v>
      </c>
      <c r="G880">
        <v>424200000</v>
      </c>
      <c r="H880">
        <v>453703525</v>
      </c>
      <c r="I880">
        <v>450393000</v>
      </c>
      <c r="J880">
        <v>396841000</v>
      </c>
      <c r="K880">
        <v>387990000</v>
      </c>
      <c r="L880">
        <v>430550725</v>
      </c>
      <c r="M880">
        <v>2119478250</v>
      </c>
      <c r="N880" s="2">
        <v>0.13678655690146471</v>
      </c>
    </row>
    <row r="881" spans="1:14" hidden="1" x14ac:dyDescent="0.25">
      <c r="A881" t="s">
        <v>31</v>
      </c>
      <c r="B881" t="s">
        <v>116</v>
      </c>
      <c r="C881">
        <v>39427100</v>
      </c>
      <c r="D881">
        <v>42769700</v>
      </c>
      <c r="E881">
        <v>44196000</v>
      </c>
      <c r="F881">
        <v>46673000</v>
      </c>
      <c r="G881">
        <v>48999000</v>
      </c>
      <c r="H881">
        <v>51836000</v>
      </c>
      <c r="I881">
        <v>52358000</v>
      </c>
      <c r="J881">
        <v>59013000</v>
      </c>
      <c r="K881">
        <v>60059572</v>
      </c>
      <c r="L881">
        <v>57491803</v>
      </c>
      <c r="M881">
        <v>280758375</v>
      </c>
      <c r="N881" s="2">
        <v>1.8119540239443479E-2</v>
      </c>
    </row>
    <row r="882" spans="1:14" hidden="1" x14ac:dyDescent="0.25">
      <c r="A882" t="s">
        <v>31</v>
      </c>
      <c r="B882" t="s">
        <v>145</v>
      </c>
      <c r="C882">
        <v>17330000</v>
      </c>
      <c r="D882">
        <v>17109000</v>
      </c>
      <c r="E882">
        <v>18866000</v>
      </c>
      <c r="F882">
        <v>15448000</v>
      </c>
      <c r="G882">
        <v>14620000</v>
      </c>
      <c r="H882">
        <v>15426000</v>
      </c>
      <c r="I882">
        <v>14013000</v>
      </c>
      <c r="J882">
        <v>13137000</v>
      </c>
      <c r="K882">
        <v>15553000</v>
      </c>
      <c r="L882">
        <v>17685000</v>
      </c>
      <c r="M882">
        <v>75814000</v>
      </c>
      <c r="N882" s="2">
        <v>4.8928721136570494E-3</v>
      </c>
    </row>
    <row r="883" spans="1:14" hidden="1" x14ac:dyDescent="0.25">
      <c r="A883" t="s">
        <v>31</v>
      </c>
      <c r="B883" t="s">
        <v>86</v>
      </c>
      <c r="C883">
        <v>1309637000</v>
      </c>
      <c r="D883">
        <v>1451011000</v>
      </c>
      <c r="E883">
        <v>1514240000</v>
      </c>
      <c r="F883">
        <v>1381288000</v>
      </c>
      <c r="G883">
        <v>1280893000</v>
      </c>
      <c r="H883">
        <v>1229373000</v>
      </c>
      <c r="I883">
        <v>763374000</v>
      </c>
      <c r="J883">
        <v>844356000</v>
      </c>
      <c r="K883">
        <v>845000000</v>
      </c>
      <c r="L883">
        <v>850000000</v>
      </c>
      <c r="M883">
        <v>4532103000</v>
      </c>
      <c r="N883" s="2">
        <v>0.29249215692248731</v>
      </c>
    </row>
    <row r="884" spans="1:14" hidden="1" x14ac:dyDescent="0.25">
      <c r="A884" t="s">
        <v>31</v>
      </c>
      <c r="B884" t="s">
        <v>87</v>
      </c>
      <c r="C884">
        <v>827447</v>
      </c>
      <c r="D884">
        <v>831280</v>
      </c>
      <c r="E884">
        <v>676525</v>
      </c>
      <c r="F884">
        <v>902451</v>
      </c>
      <c r="G884">
        <v>715881</v>
      </c>
      <c r="H884">
        <v>712868</v>
      </c>
      <c r="I884">
        <v>575542</v>
      </c>
      <c r="J884">
        <v>666715</v>
      </c>
      <c r="K884">
        <v>786641</v>
      </c>
      <c r="L884">
        <v>749890</v>
      </c>
      <c r="M884">
        <v>3491656</v>
      </c>
      <c r="N884" s="2">
        <v>2.253439506276323E-4</v>
      </c>
    </row>
    <row r="885" spans="1:14" hidden="1" x14ac:dyDescent="0.25">
      <c r="A885" t="s">
        <v>31</v>
      </c>
      <c r="B885" t="s">
        <v>128</v>
      </c>
      <c r="C885">
        <v>427831</v>
      </c>
      <c r="D885">
        <v>1421772</v>
      </c>
      <c r="E885">
        <v>1699133</v>
      </c>
      <c r="F885">
        <v>508915</v>
      </c>
      <c r="G885">
        <v>565229</v>
      </c>
      <c r="H885">
        <v>565000</v>
      </c>
      <c r="I885">
        <v>557000</v>
      </c>
      <c r="J885">
        <v>107000</v>
      </c>
      <c r="K885">
        <v>100000</v>
      </c>
      <c r="L885">
        <v>100000</v>
      </c>
      <c r="M885">
        <v>1429000</v>
      </c>
      <c r="N885" s="2">
        <v>9.2224579238873056E-5</v>
      </c>
    </row>
    <row r="886" spans="1:14" hidden="1" x14ac:dyDescent="0.25">
      <c r="A886" t="s">
        <v>31</v>
      </c>
      <c r="B886" t="s">
        <v>117</v>
      </c>
      <c r="C886">
        <v>447515</v>
      </c>
      <c r="D886">
        <v>413404</v>
      </c>
      <c r="E886">
        <v>461082</v>
      </c>
      <c r="F886">
        <v>467690</v>
      </c>
      <c r="G886">
        <v>514004</v>
      </c>
      <c r="H886">
        <v>447300</v>
      </c>
      <c r="I886">
        <v>448000</v>
      </c>
      <c r="J886">
        <v>533700</v>
      </c>
      <c r="K886">
        <v>529400</v>
      </c>
      <c r="L886">
        <v>400000</v>
      </c>
      <c r="M886">
        <v>2358400</v>
      </c>
      <c r="N886" s="2">
        <v>1.5220605155840319E-4</v>
      </c>
    </row>
    <row r="887" spans="1:14" hidden="1" x14ac:dyDescent="0.25">
      <c r="A887" t="s">
        <v>31</v>
      </c>
      <c r="B887" t="s">
        <v>196</v>
      </c>
      <c r="C887">
        <v>1000</v>
      </c>
      <c r="D887">
        <v>778</v>
      </c>
      <c r="H887">
        <v>6360</v>
      </c>
      <c r="I887">
        <v>6172</v>
      </c>
      <c r="J887">
        <v>69</v>
      </c>
      <c r="K887">
        <v>62</v>
      </c>
      <c r="L887">
        <v>60</v>
      </c>
      <c r="M887">
        <v>12723</v>
      </c>
      <c r="N887" s="2">
        <v>8.2111499066212875E-7</v>
      </c>
    </row>
    <row r="888" spans="1:14" hidden="1" x14ac:dyDescent="0.25">
      <c r="A888" t="s">
        <v>31</v>
      </c>
      <c r="B888" t="s">
        <v>94</v>
      </c>
      <c r="G888">
        <v>0</v>
      </c>
      <c r="H888">
        <v>0</v>
      </c>
      <c r="I888">
        <v>0</v>
      </c>
      <c r="J888">
        <v>0</v>
      </c>
      <c r="K888">
        <v>644245</v>
      </c>
      <c r="L888">
        <v>1752558</v>
      </c>
      <c r="M888">
        <v>2396803</v>
      </c>
      <c r="N888" s="2">
        <v>1.546844983859123E-4</v>
      </c>
    </row>
    <row r="889" spans="1:14" hidden="1" x14ac:dyDescent="0.25">
      <c r="A889" t="s">
        <v>31</v>
      </c>
      <c r="B889" t="s">
        <v>97</v>
      </c>
      <c r="C889">
        <v>136618000</v>
      </c>
      <c r="D889">
        <v>152183000</v>
      </c>
      <c r="E889">
        <v>129321000</v>
      </c>
      <c r="F889">
        <v>158108000</v>
      </c>
      <c r="G889">
        <v>194584000</v>
      </c>
      <c r="H889">
        <v>201426000</v>
      </c>
      <c r="I889">
        <v>206446000</v>
      </c>
      <c r="J889">
        <v>246081000</v>
      </c>
      <c r="K889">
        <v>204481000</v>
      </c>
      <c r="L889">
        <v>198300000</v>
      </c>
      <c r="M889">
        <v>1056734000</v>
      </c>
      <c r="N889" s="2">
        <v>6.8199334161939323E-2</v>
      </c>
    </row>
    <row r="890" spans="1:14" hidden="1" x14ac:dyDescent="0.25">
      <c r="A890" t="s">
        <v>31</v>
      </c>
      <c r="B890" t="s">
        <v>98</v>
      </c>
      <c r="C890">
        <v>11545752</v>
      </c>
      <c r="D890">
        <v>22353337</v>
      </c>
      <c r="E890">
        <v>5951400</v>
      </c>
      <c r="F890">
        <v>3838546</v>
      </c>
      <c r="G890">
        <v>3800000</v>
      </c>
      <c r="H890">
        <v>1955926</v>
      </c>
      <c r="I890">
        <v>1321249</v>
      </c>
      <c r="J890">
        <v>3450000</v>
      </c>
      <c r="K890">
        <v>3500000</v>
      </c>
      <c r="L890">
        <v>3500000</v>
      </c>
      <c r="M890">
        <v>13727175</v>
      </c>
      <c r="N890" s="2">
        <v>8.8592228027528153E-4</v>
      </c>
    </row>
    <row r="891" spans="1:14" hidden="1" x14ac:dyDescent="0.25">
      <c r="A891" t="s">
        <v>31</v>
      </c>
      <c r="B891" t="s">
        <v>99</v>
      </c>
      <c r="C891">
        <v>43497000</v>
      </c>
      <c r="D891">
        <v>48693000</v>
      </c>
      <c r="E891">
        <v>54082000</v>
      </c>
      <c r="F891">
        <v>58485696</v>
      </c>
      <c r="G891">
        <v>65001032</v>
      </c>
      <c r="H891">
        <v>75843536</v>
      </c>
      <c r="I891">
        <v>93365420</v>
      </c>
      <c r="J891">
        <v>91778118</v>
      </c>
      <c r="K891">
        <v>104818915</v>
      </c>
      <c r="L891">
        <v>104900000</v>
      </c>
      <c r="M891">
        <v>470705989</v>
      </c>
      <c r="N891" s="2">
        <v>3.0378349741597348E-2</v>
      </c>
    </row>
    <row r="892" spans="1:14" hidden="1" x14ac:dyDescent="0.25">
      <c r="A892" t="s">
        <v>31</v>
      </c>
      <c r="B892" t="s">
        <v>102</v>
      </c>
      <c r="C892">
        <v>52614000</v>
      </c>
      <c r="D892">
        <v>51758500</v>
      </c>
      <c r="E892">
        <v>51540800</v>
      </c>
      <c r="F892">
        <v>37269700</v>
      </c>
      <c r="G892">
        <v>35793500</v>
      </c>
      <c r="H892">
        <v>38728200</v>
      </c>
      <c r="I892">
        <v>41876500</v>
      </c>
      <c r="J892">
        <v>45221900</v>
      </c>
      <c r="K892">
        <v>62865000</v>
      </c>
      <c r="L892">
        <v>64089700</v>
      </c>
      <c r="M892">
        <v>252781300</v>
      </c>
      <c r="N892" s="2">
        <v>1.631396013432844E-2</v>
      </c>
    </row>
    <row r="893" spans="1:14" hidden="1" x14ac:dyDescent="0.25">
      <c r="A893" t="s">
        <v>31</v>
      </c>
      <c r="B893" t="s">
        <v>148</v>
      </c>
      <c r="C893">
        <v>592743</v>
      </c>
      <c r="D893">
        <v>663045</v>
      </c>
      <c r="E893">
        <v>693262</v>
      </c>
      <c r="F893">
        <v>445318</v>
      </c>
      <c r="G893">
        <v>444677</v>
      </c>
      <c r="H893">
        <v>310550</v>
      </c>
      <c r="I893">
        <v>380748</v>
      </c>
      <c r="J893">
        <v>342346</v>
      </c>
      <c r="K893">
        <v>575232</v>
      </c>
      <c r="L893">
        <v>538563</v>
      </c>
      <c r="M893">
        <v>2147439</v>
      </c>
      <c r="N893" s="2">
        <v>1.3859108342627449E-4</v>
      </c>
    </row>
    <row r="894" spans="1:14" hidden="1" x14ac:dyDescent="0.25">
      <c r="A894" t="s">
        <v>31</v>
      </c>
      <c r="B894" t="s">
        <v>149</v>
      </c>
      <c r="C894">
        <v>5100000</v>
      </c>
      <c r="D894">
        <v>5716000</v>
      </c>
      <c r="E894">
        <v>5487000</v>
      </c>
      <c r="F894">
        <v>4020000</v>
      </c>
      <c r="G894">
        <v>4280000</v>
      </c>
      <c r="H894">
        <v>4473000</v>
      </c>
      <c r="I894">
        <v>3500000</v>
      </c>
      <c r="J894">
        <v>3000000</v>
      </c>
      <c r="K894">
        <v>2500000</v>
      </c>
      <c r="L894">
        <v>3000000</v>
      </c>
      <c r="M894">
        <v>16473000</v>
      </c>
      <c r="N894" s="2">
        <v>1.0631319060895421E-3</v>
      </c>
    </row>
    <row r="895" spans="1:14" hidden="1" x14ac:dyDescent="0.25">
      <c r="A895" t="s">
        <v>31</v>
      </c>
      <c r="B895" t="s">
        <v>171</v>
      </c>
      <c r="D895">
        <v>904757</v>
      </c>
      <c r="E895">
        <v>1098133</v>
      </c>
      <c r="F895">
        <v>234745</v>
      </c>
      <c r="G895">
        <v>115065</v>
      </c>
      <c r="H895">
        <v>250000</v>
      </c>
      <c r="I895">
        <v>99196</v>
      </c>
      <c r="J895">
        <v>470300</v>
      </c>
      <c r="K895">
        <v>1013042</v>
      </c>
      <c r="L895">
        <v>3522598</v>
      </c>
      <c r="M895">
        <v>5355136</v>
      </c>
      <c r="N895" s="2">
        <v>3.4560893237714599E-4</v>
      </c>
    </row>
    <row r="896" spans="1:14" hidden="1" x14ac:dyDescent="0.25">
      <c r="A896" t="s">
        <v>31</v>
      </c>
      <c r="B896" t="s">
        <v>199</v>
      </c>
      <c r="C896">
        <v>2369850</v>
      </c>
      <c r="D896">
        <v>4948095</v>
      </c>
      <c r="E896">
        <v>4921391</v>
      </c>
      <c r="F896">
        <v>5748520</v>
      </c>
      <c r="G896">
        <v>1405195</v>
      </c>
      <c r="H896">
        <v>1604763</v>
      </c>
      <c r="I896">
        <v>4657155</v>
      </c>
      <c r="J896">
        <v>4428645</v>
      </c>
      <c r="K896">
        <v>4874409</v>
      </c>
      <c r="L896">
        <v>5000000</v>
      </c>
      <c r="M896">
        <v>20564972</v>
      </c>
      <c r="N896" s="2">
        <v>1.3272189571443009E-3</v>
      </c>
    </row>
    <row r="897" spans="1:14" hidden="1" x14ac:dyDescent="0.25">
      <c r="A897" t="s">
        <v>31</v>
      </c>
      <c r="B897" t="s">
        <v>213</v>
      </c>
      <c r="C897">
        <v>0</v>
      </c>
      <c r="D897">
        <v>0</v>
      </c>
      <c r="E897">
        <v>0</v>
      </c>
      <c r="F897">
        <v>0</v>
      </c>
      <c r="G897">
        <v>3800</v>
      </c>
      <c r="H897">
        <v>5000</v>
      </c>
      <c r="I897">
        <v>2563</v>
      </c>
      <c r="J897">
        <v>3000</v>
      </c>
      <c r="K897">
        <v>5018</v>
      </c>
      <c r="L897">
        <v>4980</v>
      </c>
      <c r="M897">
        <v>20561</v>
      </c>
      <c r="N897" s="2">
        <v>1.3269626128274799E-6</v>
      </c>
    </row>
    <row r="898" spans="1:14" hidden="1" x14ac:dyDescent="0.25">
      <c r="A898" t="s">
        <v>31</v>
      </c>
      <c r="B898" t="s">
        <v>103</v>
      </c>
      <c r="C898">
        <v>12143985</v>
      </c>
      <c r="D898">
        <v>12134258</v>
      </c>
      <c r="E898">
        <v>9615323</v>
      </c>
      <c r="F898">
        <v>1625253</v>
      </c>
      <c r="G898">
        <v>1914232</v>
      </c>
      <c r="H898">
        <v>3919632</v>
      </c>
      <c r="I898">
        <v>3353634</v>
      </c>
      <c r="J898">
        <v>4160462</v>
      </c>
      <c r="K898">
        <v>5371411</v>
      </c>
      <c r="L898">
        <v>4874485</v>
      </c>
      <c r="M898">
        <v>21679624</v>
      </c>
      <c r="N898" s="2">
        <v>1.3991561941616331E-3</v>
      </c>
    </row>
    <row r="899" spans="1:14" hidden="1" x14ac:dyDescent="0.25">
      <c r="A899" t="s">
        <v>31</v>
      </c>
      <c r="B899" t="s">
        <v>172</v>
      </c>
      <c r="C899">
        <v>11169800</v>
      </c>
      <c r="D899">
        <v>12532200</v>
      </c>
      <c r="E899">
        <v>13305800</v>
      </c>
      <c r="F899">
        <v>11607000</v>
      </c>
      <c r="G899">
        <v>13268061</v>
      </c>
      <c r="H899">
        <v>11813000</v>
      </c>
      <c r="I899">
        <v>10710305</v>
      </c>
      <c r="J899">
        <v>12196491</v>
      </c>
      <c r="K899">
        <v>12515312</v>
      </c>
      <c r="L899">
        <v>12618000</v>
      </c>
      <c r="M899">
        <v>59853108</v>
      </c>
      <c r="N899" s="2">
        <v>3.8627905538410261E-3</v>
      </c>
    </row>
    <row r="900" spans="1:14" hidden="1" x14ac:dyDescent="0.25">
      <c r="A900" t="s">
        <v>31</v>
      </c>
      <c r="B900" t="s">
        <v>150</v>
      </c>
      <c r="C900">
        <v>22600000</v>
      </c>
      <c r="D900">
        <v>28545000</v>
      </c>
      <c r="E900">
        <v>25193818</v>
      </c>
      <c r="F900">
        <v>20397000</v>
      </c>
      <c r="G900">
        <v>18317700</v>
      </c>
      <c r="H900">
        <v>17746262</v>
      </c>
      <c r="I900">
        <v>21244460</v>
      </c>
      <c r="J900">
        <v>26089068</v>
      </c>
      <c r="K900">
        <v>27208553</v>
      </c>
      <c r="L900">
        <v>27500000</v>
      </c>
      <c r="M900">
        <v>119788343</v>
      </c>
      <c r="N900" s="2">
        <v>7.7308814072056019E-3</v>
      </c>
    </row>
    <row r="901" spans="1:14" hidden="1" x14ac:dyDescent="0.25">
      <c r="A901" t="s">
        <v>31</v>
      </c>
      <c r="B901" t="s">
        <v>173</v>
      </c>
      <c r="C901">
        <v>7561400</v>
      </c>
      <c r="D901">
        <v>6011200</v>
      </c>
      <c r="E901">
        <v>10260500</v>
      </c>
      <c r="F901">
        <v>6173400</v>
      </c>
      <c r="G901">
        <v>4936200</v>
      </c>
      <c r="H901">
        <v>7694700</v>
      </c>
      <c r="I901">
        <v>6225400</v>
      </c>
      <c r="J901">
        <v>8572200</v>
      </c>
      <c r="K901">
        <v>9224400</v>
      </c>
      <c r="L901">
        <v>9171900</v>
      </c>
      <c r="M901">
        <v>40888600</v>
      </c>
      <c r="N901" s="2">
        <v>2.638862092838758E-3</v>
      </c>
    </row>
    <row r="902" spans="1:14" hidden="1" x14ac:dyDescent="0.25">
      <c r="A902" t="s">
        <v>31</v>
      </c>
      <c r="B902" t="s">
        <v>161</v>
      </c>
      <c r="C902">
        <v>260700</v>
      </c>
      <c r="D902">
        <v>301100</v>
      </c>
      <c r="E902">
        <v>22910</v>
      </c>
      <c r="F902">
        <v>17860</v>
      </c>
      <c r="G902">
        <v>21033</v>
      </c>
      <c r="H902">
        <v>100000</v>
      </c>
      <c r="I902">
        <v>51000</v>
      </c>
      <c r="J902">
        <v>50000</v>
      </c>
      <c r="K902">
        <v>50000</v>
      </c>
      <c r="L902">
        <v>50000</v>
      </c>
      <c r="M902">
        <v>301000</v>
      </c>
      <c r="N902" s="2">
        <v>1.9425891078307059E-5</v>
      </c>
    </row>
    <row r="903" spans="1:14" hidden="1" x14ac:dyDescent="0.25">
      <c r="A903" t="s">
        <v>31</v>
      </c>
      <c r="B903" t="s">
        <v>175</v>
      </c>
      <c r="E903">
        <v>0</v>
      </c>
      <c r="F903">
        <v>4000</v>
      </c>
      <c r="G903">
        <v>8478</v>
      </c>
      <c r="H903">
        <v>2450</v>
      </c>
      <c r="I903">
        <v>3824</v>
      </c>
      <c r="J903">
        <v>15646</v>
      </c>
      <c r="K903">
        <v>66164</v>
      </c>
      <c r="L903">
        <v>75718</v>
      </c>
      <c r="M903">
        <v>163802</v>
      </c>
      <c r="N903" s="2">
        <v>1.0571427941557651E-5</v>
      </c>
    </row>
    <row r="904" spans="1:14" hidden="1" x14ac:dyDescent="0.25">
      <c r="A904" t="s">
        <v>31</v>
      </c>
      <c r="B904" t="s">
        <v>214</v>
      </c>
      <c r="D904">
        <v>0</v>
      </c>
      <c r="E904">
        <v>0</v>
      </c>
      <c r="F904">
        <v>0</v>
      </c>
      <c r="G904">
        <v>0</v>
      </c>
      <c r="H904">
        <v>772</v>
      </c>
      <c r="I904">
        <v>396</v>
      </c>
      <c r="J904">
        <v>267</v>
      </c>
      <c r="K904">
        <v>0</v>
      </c>
      <c r="L904">
        <v>0</v>
      </c>
      <c r="M904">
        <v>1435</v>
      </c>
      <c r="N904" s="2">
        <v>9.2611806303556921E-8</v>
      </c>
    </row>
    <row r="905" spans="1:14" hidden="1" x14ac:dyDescent="0.25">
      <c r="A905" t="s">
        <v>31</v>
      </c>
      <c r="B905" t="s">
        <v>131</v>
      </c>
      <c r="C905">
        <v>2394848</v>
      </c>
      <c r="D905">
        <v>3156619</v>
      </c>
      <c r="E905">
        <v>3245369</v>
      </c>
      <c r="F905">
        <v>3193722</v>
      </c>
      <c r="G905">
        <v>3495818</v>
      </c>
      <c r="H905">
        <v>4008000</v>
      </c>
      <c r="I905">
        <v>4000000</v>
      </c>
      <c r="J905">
        <v>4000000</v>
      </c>
      <c r="K905">
        <v>4000000</v>
      </c>
      <c r="L905">
        <v>4000000</v>
      </c>
      <c r="M905">
        <v>20008000</v>
      </c>
      <c r="N905" s="2">
        <v>1.2912731850324511E-3</v>
      </c>
    </row>
    <row r="906" spans="1:14" hidden="1" x14ac:dyDescent="0.25">
      <c r="A906" t="s">
        <v>31</v>
      </c>
      <c r="B906" t="s">
        <v>203</v>
      </c>
      <c r="C906">
        <v>70000</v>
      </c>
      <c r="D906">
        <v>50000</v>
      </c>
      <c r="E906">
        <v>50000</v>
      </c>
      <c r="F906">
        <v>4000</v>
      </c>
      <c r="G906">
        <v>1550</v>
      </c>
      <c r="H906">
        <v>1550</v>
      </c>
      <c r="I906">
        <v>1582</v>
      </c>
      <c r="J906">
        <v>160</v>
      </c>
      <c r="K906">
        <v>127</v>
      </c>
      <c r="L906">
        <v>3078</v>
      </c>
      <c r="M906">
        <v>6497</v>
      </c>
      <c r="N906" s="2">
        <v>4.1930237320850831E-7</v>
      </c>
    </row>
    <row r="907" spans="1:14" hidden="1" x14ac:dyDescent="0.25">
      <c r="A907" t="s">
        <v>31</v>
      </c>
      <c r="B907" t="s">
        <v>132</v>
      </c>
      <c r="C907">
        <v>7744487</v>
      </c>
      <c r="D907">
        <v>9549232</v>
      </c>
      <c r="E907">
        <v>10542149</v>
      </c>
      <c r="F907">
        <v>3519116</v>
      </c>
      <c r="G907">
        <v>1757851</v>
      </c>
      <c r="H907">
        <v>1622477</v>
      </c>
      <c r="I907">
        <v>1700000</v>
      </c>
      <c r="J907">
        <v>1800000</v>
      </c>
      <c r="K907">
        <v>1800000</v>
      </c>
      <c r="L907">
        <v>1700000</v>
      </c>
      <c r="M907">
        <v>8622477</v>
      </c>
      <c r="N907" s="2">
        <v>5.5647607650235163E-4</v>
      </c>
    </row>
    <row r="908" spans="1:14" hidden="1" x14ac:dyDescent="0.25">
      <c r="A908" t="s">
        <v>31</v>
      </c>
      <c r="B908" t="s">
        <v>106</v>
      </c>
      <c r="C908">
        <v>384893</v>
      </c>
      <c r="D908">
        <v>408604</v>
      </c>
      <c r="E908">
        <v>197074</v>
      </c>
      <c r="F908">
        <v>328915</v>
      </c>
      <c r="G908">
        <v>432156</v>
      </c>
      <c r="H908">
        <v>501664</v>
      </c>
      <c r="I908">
        <v>677206</v>
      </c>
      <c r="J908">
        <v>627464</v>
      </c>
      <c r="K908">
        <v>573691</v>
      </c>
      <c r="L908">
        <v>805696</v>
      </c>
      <c r="M908">
        <v>3185721</v>
      </c>
      <c r="N908" s="2">
        <v>2.0559956528862279E-4</v>
      </c>
    </row>
    <row r="909" spans="1:14" hidden="1" x14ac:dyDescent="0.25">
      <c r="A909" t="s">
        <v>31</v>
      </c>
      <c r="B909" t="s">
        <v>146</v>
      </c>
      <c r="C909">
        <v>8221983</v>
      </c>
      <c r="D909">
        <v>6680659</v>
      </c>
      <c r="E909">
        <v>7192592</v>
      </c>
      <c r="F909">
        <v>7320807</v>
      </c>
      <c r="G909">
        <v>7663124</v>
      </c>
      <c r="H909">
        <v>8806452</v>
      </c>
      <c r="I909">
        <v>9533871</v>
      </c>
      <c r="J909">
        <v>10120007</v>
      </c>
      <c r="K909">
        <v>8893972</v>
      </c>
      <c r="L909">
        <v>12149274</v>
      </c>
      <c r="M909">
        <v>49503576</v>
      </c>
      <c r="N909" s="2">
        <v>3.1948540709724111E-3</v>
      </c>
    </row>
    <row r="910" spans="1:14" hidden="1" x14ac:dyDescent="0.25">
      <c r="A910" t="s">
        <v>31</v>
      </c>
      <c r="B910" t="s">
        <v>156</v>
      </c>
      <c r="C910">
        <v>216176</v>
      </c>
      <c r="D910">
        <v>826745</v>
      </c>
      <c r="E910">
        <v>153775</v>
      </c>
      <c r="F910">
        <v>107119</v>
      </c>
      <c r="G910">
        <v>17088</v>
      </c>
      <c r="H910">
        <v>0</v>
      </c>
      <c r="I910">
        <v>0</v>
      </c>
      <c r="J910">
        <v>0</v>
      </c>
      <c r="K910">
        <v>42795</v>
      </c>
      <c r="L910">
        <v>77536</v>
      </c>
      <c r="M910">
        <v>120331</v>
      </c>
      <c r="N910" s="2">
        <v>7.7659033200789611E-6</v>
      </c>
    </row>
    <row r="911" spans="1:14" hidden="1" x14ac:dyDescent="0.25">
      <c r="A911" t="s">
        <v>31</v>
      </c>
      <c r="B911" t="s">
        <v>107</v>
      </c>
      <c r="C911">
        <v>104000000</v>
      </c>
      <c r="D911">
        <v>102100000</v>
      </c>
      <c r="E911">
        <v>102100000</v>
      </c>
      <c r="F911">
        <v>101000000</v>
      </c>
      <c r="G911">
        <v>101000000</v>
      </c>
      <c r="H911">
        <v>95000000</v>
      </c>
      <c r="I911">
        <v>96100000</v>
      </c>
      <c r="J911">
        <v>97500000</v>
      </c>
      <c r="K911">
        <v>100200000</v>
      </c>
      <c r="L911">
        <v>100600000</v>
      </c>
      <c r="M911">
        <v>489400000</v>
      </c>
      <c r="N911" s="2">
        <v>3.1584820909380321E-2</v>
      </c>
    </row>
    <row r="912" spans="1:14" hidden="1" x14ac:dyDescent="0.25">
      <c r="A912" t="s">
        <v>31</v>
      </c>
      <c r="B912" t="s">
        <v>109</v>
      </c>
      <c r="C912">
        <v>5203490</v>
      </c>
      <c r="D912">
        <v>11894580</v>
      </c>
      <c r="E912">
        <v>17497553</v>
      </c>
      <c r="F912">
        <v>5247688</v>
      </c>
      <c r="G912">
        <v>6576576</v>
      </c>
      <c r="H912">
        <v>6531460</v>
      </c>
      <c r="I912">
        <v>968585</v>
      </c>
      <c r="J912">
        <v>728300</v>
      </c>
      <c r="K912">
        <v>0</v>
      </c>
      <c r="L912">
        <v>1584115</v>
      </c>
      <c r="M912">
        <v>9812460</v>
      </c>
      <c r="N912" s="2">
        <v>6.3327501385463422E-4</v>
      </c>
    </row>
    <row r="913" spans="1:14" hidden="1" x14ac:dyDescent="0.25">
      <c r="A913" t="s">
        <v>31</v>
      </c>
      <c r="B913" t="s">
        <v>137</v>
      </c>
      <c r="C913">
        <v>67100474</v>
      </c>
      <c r="D913">
        <v>71543088</v>
      </c>
      <c r="E913">
        <v>80759334</v>
      </c>
      <c r="F913">
        <v>73220891</v>
      </c>
      <c r="G913">
        <v>66455868</v>
      </c>
      <c r="H913">
        <v>74643475</v>
      </c>
      <c r="I913">
        <v>74263738</v>
      </c>
      <c r="J913">
        <v>72430288</v>
      </c>
      <c r="K913">
        <v>55635421</v>
      </c>
      <c r="L913">
        <v>73090918</v>
      </c>
      <c r="M913">
        <v>350063840</v>
      </c>
      <c r="N913" s="2">
        <v>2.2592365535860168E-2</v>
      </c>
    </row>
    <row r="914" spans="1:14" hidden="1" x14ac:dyDescent="0.25">
      <c r="A914" t="s">
        <v>31</v>
      </c>
      <c r="B914" t="s">
        <v>121</v>
      </c>
      <c r="H914">
        <v>0</v>
      </c>
      <c r="I914">
        <v>0</v>
      </c>
      <c r="J914">
        <v>0</v>
      </c>
      <c r="K914">
        <v>20000</v>
      </c>
      <c r="L914">
        <v>50000</v>
      </c>
      <c r="M914">
        <v>70000</v>
      </c>
      <c r="N914" s="2">
        <v>4.5176490879783862E-6</v>
      </c>
    </row>
    <row r="915" spans="1:14" hidden="1" x14ac:dyDescent="0.25">
      <c r="A915" t="s">
        <v>31</v>
      </c>
      <c r="B915" t="s">
        <v>138</v>
      </c>
      <c r="C915">
        <v>32198000</v>
      </c>
      <c r="D915">
        <v>37411000</v>
      </c>
      <c r="E915">
        <v>35759000</v>
      </c>
      <c r="F915">
        <v>29861000</v>
      </c>
      <c r="G915">
        <v>31843000</v>
      </c>
      <c r="H915">
        <v>31763000</v>
      </c>
      <c r="I915">
        <v>35774000</v>
      </c>
      <c r="J915">
        <v>38913000</v>
      </c>
      <c r="K915">
        <v>39228000</v>
      </c>
      <c r="L915">
        <v>41313000</v>
      </c>
      <c r="M915">
        <v>186991000</v>
      </c>
      <c r="N915" s="2">
        <v>1.206799600871666E-2</v>
      </c>
    </row>
    <row r="916" spans="1:14" hidden="1" x14ac:dyDescent="0.25">
      <c r="A916" t="s">
        <v>31</v>
      </c>
      <c r="B916" t="s">
        <v>215</v>
      </c>
      <c r="C916">
        <v>303233</v>
      </c>
      <c r="D916">
        <v>389620</v>
      </c>
      <c r="E916">
        <v>347918</v>
      </c>
      <c r="F916">
        <v>16483</v>
      </c>
      <c r="G916">
        <v>0</v>
      </c>
      <c r="H916">
        <v>135</v>
      </c>
      <c r="I916">
        <v>0</v>
      </c>
      <c r="J916">
        <v>17660</v>
      </c>
      <c r="K916">
        <v>113239</v>
      </c>
      <c r="L916">
        <v>324914</v>
      </c>
      <c r="M916">
        <v>455948</v>
      </c>
      <c r="N916" s="2">
        <v>2.9425900948079559E-5</v>
      </c>
    </row>
    <row r="917" spans="1:14" hidden="1" x14ac:dyDescent="0.25">
      <c r="A917" t="s">
        <v>31</v>
      </c>
      <c r="B917" t="s">
        <v>216</v>
      </c>
      <c r="C917">
        <v>215382</v>
      </c>
      <c r="D917">
        <v>244643</v>
      </c>
      <c r="E917">
        <v>331869</v>
      </c>
      <c r="F917">
        <v>284600</v>
      </c>
      <c r="G917">
        <v>210697</v>
      </c>
      <c r="H917">
        <v>197965</v>
      </c>
      <c r="I917">
        <v>175853</v>
      </c>
      <c r="J917">
        <v>186519</v>
      </c>
      <c r="K917">
        <v>172919</v>
      </c>
      <c r="L917">
        <v>266400</v>
      </c>
      <c r="M917">
        <v>999656</v>
      </c>
      <c r="N917" s="2">
        <v>6.4515643095601743E-5</v>
      </c>
    </row>
    <row r="918" spans="1:14" hidden="1" x14ac:dyDescent="0.25">
      <c r="A918" t="s">
        <v>31</v>
      </c>
      <c r="B918" t="s">
        <v>112</v>
      </c>
      <c r="C918">
        <v>4969901</v>
      </c>
      <c r="D918">
        <v>8589362</v>
      </c>
      <c r="E918">
        <v>11887154</v>
      </c>
      <c r="F918">
        <v>7760957</v>
      </c>
      <c r="G918">
        <v>7137233</v>
      </c>
      <c r="H918">
        <v>9992455</v>
      </c>
      <c r="I918">
        <v>15650305</v>
      </c>
      <c r="J918">
        <v>14473363</v>
      </c>
      <c r="K918">
        <v>21454649</v>
      </c>
      <c r="L918">
        <v>16051308</v>
      </c>
      <c r="M918">
        <v>77622080</v>
      </c>
      <c r="N918" s="2">
        <v>5.0095616988426479E-3</v>
      </c>
    </row>
    <row r="919" spans="1:14" hidden="1" x14ac:dyDescent="0.25">
      <c r="A919" t="s">
        <v>31</v>
      </c>
      <c r="B919" t="s">
        <v>113</v>
      </c>
      <c r="C919">
        <v>54000000</v>
      </c>
      <c r="D919">
        <v>52800000</v>
      </c>
      <c r="E919">
        <v>56100000</v>
      </c>
      <c r="F919">
        <v>46100000</v>
      </c>
      <c r="G919">
        <v>41800000</v>
      </c>
      <c r="H919">
        <v>47900000</v>
      </c>
      <c r="I919">
        <v>49500000</v>
      </c>
      <c r="J919">
        <v>46900000</v>
      </c>
      <c r="K919">
        <v>38100000</v>
      </c>
      <c r="L919">
        <v>48700000</v>
      </c>
      <c r="M919">
        <v>231100000</v>
      </c>
      <c r="N919" s="2">
        <v>1.4914695774740069E-2</v>
      </c>
    </row>
    <row r="920" spans="1:14" hidden="1" x14ac:dyDescent="0.25">
      <c r="A920" t="s">
        <v>31</v>
      </c>
      <c r="B920" t="s">
        <v>142</v>
      </c>
      <c r="C920">
        <v>4431</v>
      </c>
      <c r="D920">
        <v>2283</v>
      </c>
      <c r="E920">
        <v>41959</v>
      </c>
      <c r="F920">
        <v>9000</v>
      </c>
      <c r="G920">
        <v>2163</v>
      </c>
      <c r="H920">
        <v>2320</v>
      </c>
      <c r="I920">
        <v>4500</v>
      </c>
      <c r="J920">
        <v>0</v>
      </c>
      <c r="K920">
        <v>0</v>
      </c>
      <c r="L920">
        <v>0</v>
      </c>
      <c r="M920">
        <v>6820</v>
      </c>
      <c r="N920" s="2">
        <v>4.4014809685732282E-7</v>
      </c>
    </row>
    <row r="921" spans="1:14" hidden="1" x14ac:dyDescent="0.25">
      <c r="A921" t="s">
        <v>31</v>
      </c>
      <c r="B921" t="s">
        <v>122</v>
      </c>
      <c r="C921">
        <v>67149000</v>
      </c>
      <c r="D921">
        <v>70389000</v>
      </c>
      <c r="E921">
        <v>68337000</v>
      </c>
      <c r="F921">
        <v>66902000</v>
      </c>
      <c r="G921">
        <v>62876000</v>
      </c>
      <c r="H921">
        <v>60574000</v>
      </c>
      <c r="I921">
        <v>60549000</v>
      </c>
      <c r="J921">
        <v>76134000</v>
      </c>
      <c r="K921">
        <v>78837700</v>
      </c>
      <c r="L921">
        <v>79000000</v>
      </c>
      <c r="M921">
        <v>355094700</v>
      </c>
      <c r="N921" s="2">
        <v>2.2917046394299409E-2</v>
      </c>
    </row>
    <row r="922" spans="1:14" hidden="1" x14ac:dyDescent="0.25">
      <c r="A922" t="s">
        <v>31</v>
      </c>
      <c r="B922" t="s">
        <v>114</v>
      </c>
      <c r="C922">
        <v>15403095</v>
      </c>
      <c r="D922">
        <v>11198077</v>
      </c>
      <c r="E922">
        <v>11258577</v>
      </c>
      <c r="F922">
        <v>11715475</v>
      </c>
      <c r="G922">
        <v>7306000</v>
      </c>
      <c r="H922">
        <v>4601000</v>
      </c>
      <c r="I922">
        <v>3058697</v>
      </c>
      <c r="J922">
        <v>2600000</v>
      </c>
      <c r="K922">
        <v>1500000</v>
      </c>
      <c r="L922">
        <v>1000000</v>
      </c>
      <c r="M922">
        <v>12759697</v>
      </c>
      <c r="N922" s="2">
        <v>8.2348333592757934E-4</v>
      </c>
    </row>
    <row r="923" spans="1:14" hidden="1" x14ac:dyDescent="0.25">
      <c r="A923" t="s">
        <v>31</v>
      </c>
      <c r="B923" t="s">
        <v>115</v>
      </c>
      <c r="C923">
        <v>1506200</v>
      </c>
      <c r="D923">
        <v>2495300</v>
      </c>
      <c r="E923">
        <v>2719000</v>
      </c>
      <c r="F923">
        <v>2691000</v>
      </c>
      <c r="G923">
        <v>3056000</v>
      </c>
      <c r="H923">
        <v>5515000</v>
      </c>
      <c r="I923">
        <v>5588496</v>
      </c>
      <c r="J923">
        <v>6106000</v>
      </c>
      <c r="K923">
        <v>5239000</v>
      </c>
      <c r="L923">
        <v>3651430</v>
      </c>
      <c r="M923">
        <v>26099926</v>
      </c>
      <c r="N923" s="2">
        <v>1.6844329555743341E-3</v>
      </c>
    </row>
    <row r="924" spans="1:14" hidden="1" x14ac:dyDescent="0.25">
      <c r="A924" t="s">
        <v>30</v>
      </c>
      <c r="B924" t="s">
        <v>163</v>
      </c>
      <c r="C924">
        <v>30</v>
      </c>
      <c r="D924">
        <v>30</v>
      </c>
      <c r="E924">
        <v>25</v>
      </c>
      <c r="F924">
        <v>25</v>
      </c>
      <c r="G924">
        <v>20</v>
      </c>
      <c r="H924">
        <v>20</v>
      </c>
      <c r="I924">
        <v>22</v>
      </c>
      <c r="J924">
        <v>20</v>
      </c>
      <c r="K924">
        <v>20</v>
      </c>
      <c r="L924">
        <v>20</v>
      </c>
      <c r="M924">
        <v>102</v>
      </c>
      <c r="N924" s="2">
        <v>2.5086079685194291E-2</v>
      </c>
    </row>
    <row r="925" spans="1:14" hidden="1" x14ac:dyDescent="0.25">
      <c r="A925" t="s">
        <v>30</v>
      </c>
      <c r="B925" t="s">
        <v>85</v>
      </c>
      <c r="C925">
        <v>5</v>
      </c>
      <c r="D925">
        <v>5</v>
      </c>
      <c r="E925">
        <v>5</v>
      </c>
      <c r="F925">
        <v>5</v>
      </c>
      <c r="G925">
        <v>5</v>
      </c>
      <c r="H925">
        <v>5</v>
      </c>
      <c r="I925">
        <v>5</v>
      </c>
      <c r="J925">
        <v>5</v>
      </c>
      <c r="K925">
        <v>5</v>
      </c>
      <c r="L925">
        <v>5</v>
      </c>
      <c r="M925">
        <v>25</v>
      </c>
      <c r="N925" s="2">
        <v>6.1485489424495821E-3</v>
      </c>
    </row>
    <row r="926" spans="1:14" hidden="1" x14ac:dyDescent="0.25">
      <c r="A926" t="s">
        <v>30</v>
      </c>
      <c r="B926" t="s">
        <v>116</v>
      </c>
      <c r="C926">
        <v>65</v>
      </c>
      <c r="D926">
        <v>70</v>
      </c>
      <c r="E926">
        <v>67</v>
      </c>
      <c r="F926">
        <v>70</v>
      </c>
      <c r="G926">
        <v>71</v>
      </c>
      <c r="H926">
        <v>67</v>
      </c>
      <c r="I926">
        <v>58</v>
      </c>
      <c r="J926">
        <v>61</v>
      </c>
      <c r="K926">
        <v>61</v>
      </c>
      <c r="L926">
        <v>44</v>
      </c>
      <c r="M926">
        <v>291</v>
      </c>
      <c r="N926" s="2">
        <v>7.1569109690113139E-2</v>
      </c>
    </row>
    <row r="927" spans="1:14" hidden="1" x14ac:dyDescent="0.25">
      <c r="A927" t="s">
        <v>30</v>
      </c>
      <c r="B927" t="s">
        <v>86</v>
      </c>
      <c r="C927">
        <v>405</v>
      </c>
      <c r="D927">
        <v>415</v>
      </c>
      <c r="E927">
        <v>460</v>
      </c>
      <c r="F927">
        <v>520</v>
      </c>
      <c r="G927">
        <v>510</v>
      </c>
      <c r="H927">
        <v>478</v>
      </c>
      <c r="I927">
        <v>483</v>
      </c>
      <c r="J927">
        <v>534</v>
      </c>
      <c r="K927">
        <v>500</v>
      </c>
      <c r="L927">
        <v>500</v>
      </c>
      <c r="M927">
        <v>2495</v>
      </c>
      <c r="N927" s="2">
        <v>0.6136251844564683</v>
      </c>
    </row>
    <row r="928" spans="1:14" hidden="1" x14ac:dyDescent="0.25">
      <c r="A928" t="s">
        <v>30</v>
      </c>
      <c r="B928" t="s">
        <v>91</v>
      </c>
      <c r="C928">
        <v>13</v>
      </c>
      <c r="D928">
        <v>33</v>
      </c>
      <c r="E928">
        <v>43</v>
      </c>
      <c r="F928">
        <v>41</v>
      </c>
      <c r="G928">
        <v>0</v>
      </c>
      <c r="H928">
        <v>30</v>
      </c>
      <c r="I928">
        <v>43</v>
      </c>
      <c r="J928">
        <v>40</v>
      </c>
      <c r="K928">
        <v>38</v>
      </c>
      <c r="L928">
        <v>35</v>
      </c>
      <c r="M928">
        <v>186</v>
      </c>
      <c r="N928" s="2">
        <v>4.5745204131824889E-2</v>
      </c>
    </row>
    <row r="929" spans="1:14" hidden="1" x14ac:dyDescent="0.25">
      <c r="A929" t="s">
        <v>30</v>
      </c>
      <c r="B929" t="s">
        <v>182</v>
      </c>
      <c r="C929">
        <v>5</v>
      </c>
      <c r="D929">
        <v>5</v>
      </c>
      <c r="E929">
        <v>5</v>
      </c>
      <c r="F929">
        <v>5</v>
      </c>
      <c r="G929">
        <v>5</v>
      </c>
      <c r="H929">
        <v>5</v>
      </c>
      <c r="I929">
        <v>5</v>
      </c>
      <c r="J929">
        <v>5</v>
      </c>
      <c r="K929">
        <v>5</v>
      </c>
      <c r="L929">
        <v>5</v>
      </c>
      <c r="M929">
        <v>25</v>
      </c>
      <c r="N929" s="2">
        <v>6.1485489424495821E-3</v>
      </c>
    </row>
    <row r="930" spans="1:14" hidden="1" x14ac:dyDescent="0.25">
      <c r="A930" t="s">
        <v>30</v>
      </c>
      <c r="B930" t="s">
        <v>119</v>
      </c>
      <c r="C930">
        <v>70</v>
      </c>
      <c r="D930">
        <v>70</v>
      </c>
      <c r="E930">
        <v>70</v>
      </c>
      <c r="F930">
        <v>70</v>
      </c>
      <c r="G930">
        <v>70</v>
      </c>
      <c r="H930">
        <v>70</v>
      </c>
      <c r="I930">
        <v>70</v>
      </c>
      <c r="J930">
        <v>70</v>
      </c>
      <c r="K930">
        <v>70</v>
      </c>
      <c r="L930">
        <v>70</v>
      </c>
      <c r="M930">
        <v>350</v>
      </c>
      <c r="N930" s="2">
        <v>8.6079685194294153E-2</v>
      </c>
    </row>
    <row r="931" spans="1:14" hidden="1" x14ac:dyDescent="0.25">
      <c r="A931" t="s">
        <v>30</v>
      </c>
      <c r="B931" t="s">
        <v>148</v>
      </c>
      <c r="C931">
        <v>100</v>
      </c>
      <c r="D931">
        <v>100</v>
      </c>
      <c r="E931">
        <v>100</v>
      </c>
      <c r="F931">
        <v>100</v>
      </c>
      <c r="G931">
        <v>100</v>
      </c>
      <c r="H931">
        <v>100</v>
      </c>
      <c r="I931">
        <v>100</v>
      </c>
      <c r="J931">
        <v>100</v>
      </c>
      <c r="K931">
        <v>100</v>
      </c>
      <c r="L931">
        <v>100</v>
      </c>
      <c r="M931">
        <v>500</v>
      </c>
      <c r="N931" s="2">
        <v>0.12297097884899159</v>
      </c>
    </row>
    <row r="932" spans="1:14" hidden="1" x14ac:dyDescent="0.25">
      <c r="A932" t="s">
        <v>30</v>
      </c>
      <c r="B932" t="s">
        <v>146</v>
      </c>
      <c r="C932">
        <v>11</v>
      </c>
      <c r="D932">
        <v>11</v>
      </c>
      <c r="E932">
        <v>14</v>
      </c>
      <c r="F932">
        <v>9</v>
      </c>
      <c r="G932">
        <v>10</v>
      </c>
      <c r="H932">
        <v>10</v>
      </c>
      <c r="I932">
        <v>11</v>
      </c>
      <c r="J932">
        <v>12</v>
      </c>
      <c r="K932">
        <v>12</v>
      </c>
      <c r="L932">
        <v>12</v>
      </c>
      <c r="M932">
        <v>57</v>
      </c>
      <c r="N932" s="2">
        <v>1.401869158878505E-2</v>
      </c>
    </row>
    <row r="933" spans="1:14" hidden="1" x14ac:dyDescent="0.25">
      <c r="A933" t="s">
        <v>30</v>
      </c>
      <c r="B933" t="s">
        <v>107</v>
      </c>
      <c r="C933">
        <v>7</v>
      </c>
      <c r="D933">
        <v>7</v>
      </c>
      <c r="E933">
        <v>7</v>
      </c>
      <c r="F933">
        <v>7</v>
      </c>
      <c r="G933">
        <v>7</v>
      </c>
      <c r="H933">
        <v>7</v>
      </c>
      <c r="I933">
        <v>7</v>
      </c>
      <c r="J933">
        <v>7</v>
      </c>
      <c r="K933">
        <v>7</v>
      </c>
      <c r="L933">
        <v>7</v>
      </c>
      <c r="M933">
        <v>35</v>
      </c>
      <c r="N933" s="2">
        <v>8.607968519429415E-3</v>
      </c>
    </row>
    <row r="934" spans="1:14" hidden="1" x14ac:dyDescent="0.25">
      <c r="A934" t="s">
        <v>74</v>
      </c>
      <c r="B934" t="s">
        <v>83</v>
      </c>
      <c r="C934">
        <v>1331400</v>
      </c>
      <c r="D934">
        <v>1313800</v>
      </c>
      <c r="E934">
        <v>1138000</v>
      </c>
      <c r="F934">
        <v>1146935</v>
      </c>
      <c r="G934">
        <v>765399</v>
      </c>
      <c r="H934">
        <v>693763</v>
      </c>
      <c r="I934">
        <v>569472</v>
      </c>
      <c r="J934">
        <v>596288</v>
      </c>
      <c r="K934">
        <v>634165</v>
      </c>
      <c r="L934">
        <v>503781</v>
      </c>
      <c r="M934">
        <v>2997469</v>
      </c>
      <c r="N934" s="2">
        <v>4.8439228291361637E-2</v>
      </c>
    </row>
    <row r="935" spans="1:14" hidden="1" x14ac:dyDescent="0.25">
      <c r="A935" t="s">
        <v>74</v>
      </c>
      <c r="B935" t="s">
        <v>85</v>
      </c>
      <c r="C935">
        <v>69071</v>
      </c>
      <c r="D935">
        <v>78264</v>
      </c>
      <c r="E935">
        <v>81278</v>
      </c>
      <c r="F935">
        <v>80975</v>
      </c>
      <c r="G935">
        <v>66500</v>
      </c>
      <c r="H935">
        <v>50000</v>
      </c>
      <c r="I935">
        <v>66000</v>
      </c>
      <c r="J935">
        <v>70000</v>
      </c>
      <c r="K935">
        <v>70000</v>
      </c>
      <c r="L935">
        <v>70000</v>
      </c>
      <c r="M935">
        <v>326000</v>
      </c>
      <c r="N935" s="2">
        <v>5.2681740571741999E-3</v>
      </c>
    </row>
    <row r="936" spans="1:14" hidden="1" x14ac:dyDescent="0.25">
      <c r="A936" t="s">
        <v>74</v>
      </c>
      <c r="B936" t="s">
        <v>116</v>
      </c>
      <c r="C936">
        <v>2700000</v>
      </c>
      <c r="D936">
        <v>2800000</v>
      </c>
      <c r="E936">
        <v>2500000</v>
      </c>
      <c r="F936">
        <v>1900000</v>
      </c>
      <c r="G936">
        <v>1800000</v>
      </c>
      <c r="H936">
        <v>2300000</v>
      </c>
      <c r="I936">
        <v>2000000</v>
      </c>
      <c r="J936">
        <v>2100000</v>
      </c>
      <c r="K936">
        <v>1900000</v>
      </c>
      <c r="L936">
        <v>1700000</v>
      </c>
      <c r="M936">
        <v>10000000</v>
      </c>
      <c r="N936" s="2">
        <v>0.16160043120166259</v>
      </c>
    </row>
    <row r="937" spans="1:14" hidden="1" x14ac:dyDescent="0.25">
      <c r="A937" t="s">
        <v>74</v>
      </c>
      <c r="B937" t="s">
        <v>86</v>
      </c>
      <c r="C937">
        <v>1340000</v>
      </c>
      <c r="D937">
        <v>1420000</v>
      </c>
      <c r="E937">
        <v>4240000</v>
      </c>
      <c r="F937">
        <v>3910000</v>
      </c>
      <c r="G937">
        <v>3800000</v>
      </c>
      <c r="H937">
        <v>3830000</v>
      </c>
      <c r="I937">
        <v>4200000</v>
      </c>
      <c r="J937">
        <v>4200000</v>
      </c>
      <c r="K937">
        <v>4200000</v>
      </c>
      <c r="L937">
        <v>4200000</v>
      </c>
      <c r="M937">
        <v>20630000</v>
      </c>
      <c r="N937" s="2">
        <v>0.33338168956902992</v>
      </c>
    </row>
    <row r="938" spans="1:14" hidden="1" x14ac:dyDescent="0.25">
      <c r="A938" t="s">
        <v>74</v>
      </c>
      <c r="B938" t="s">
        <v>236</v>
      </c>
      <c r="H938">
        <v>3975</v>
      </c>
      <c r="I938">
        <v>1077</v>
      </c>
      <c r="J938">
        <v>9325</v>
      </c>
      <c r="K938">
        <v>6454</v>
      </c>
      <c r="L938">
        <v>14126</v>
      </c>
      <c r="M938">
        <v>34957</v>
      </c>
      <c r="N938" s="2">
        <v>5.6490662735165186E-4</v>
      </c>
    </row>
    <row r="939" spans="1:14" hidden="1" x14ac:dyDescent="0.25">
      <c r="A939" t="s">
        <v>74</v>
      </c>
      <c r="B939" t="s">
        <v>97</v>
      </c>
      <c r="C939">
        <v>738524</v>
      </c>
      <c r="D939">
        <v>721959</v>
      </c>
      <c r="E939">
        <v>643128</v>
      </c>
      <c r="F939">
        <v>626135</v>
      </c>
      <c r="G939">
        <v>594978</v>
      </c>
      <c r="H939">
        <v>284667</v>
      </c>
      <c r="I939">
        <v>265931</v>
      </c>
      <c r="J939">
        <v>265000</v>
      </c>
      <c r="K939">
        <v>265000</v>
      </c>
      <c r="L939">
        <v>265000</v>
      </c>
      <c r="M939">
        <v>1345598</v>
      </c>
      <c r="N939" s="2">
        <v>2.1744921702409482E-2</v>
      </c>
    </row>
    <row r="940" spans="1:14" hidden="1" x14ac:dyDescent="0.25">
      <c r="A940" t="s">
        <v>74</v>
      </c>
      <c r="B940" t="s">
        <v>198</v>
      </c>
      <c r="C940">
        <v>0</v>
      </c>
      <c r="D940">
        <v>0</v>
      </c>
      <c r="E940">
        <v>281543</v>
      </c>
      <c r="F940">
        <v>444999</v>
      </c>
      <c r="G940">
        <v>359885</v>
      </c>
      <c r="H940">
        <v>491000</v>
      </c>
      <c r="I940">
        <v>463000</v>
      </c>
      <c r="J940">
        <v>352000</v>
      </c>
      <c r="K940">
        <v>334900</v>
      </c>
      <c r="L940">
        <v>345000</v>
      </c>
      <c r="M940">
        <v>1985900</v>
      </c>
      <c r="N940" s="2">
        <v>3.2092229632338168E-2</v>
      </c>
    </row>
    <row r="941" spans="1:14" hidden="1" x14ac:dyDescent="0.25">
      <c r="A941" t="s">
        <v>74</v>
      </c>
      <c r="B941" t="s">
        <v>148</v>
      </c>
      <c r="C941">
        <v>201976</v>
      </c>
      <c r="D941">
        <v>229723</v>
      </c>
      <c r="E941">
        <v>240892</v>
      </c>
      <c r="F941">
        <v>204082</v>
      </c>
      <c r="G941">
        <v>166900</v>
      </c>
      <c r="H941">
        <v>223039</v>
      </c>
      <c r="I941">
        <v>213184</v>
      </c>
      <c r="J941">
        <v>295987</v>
      </c>
      <c r="K941">
        <v>287895</v>
      </c>
      <c r="L941">
        <v>322581</v>
      </c>
      <c r="M941">
        <v>1342686</v>
      </c>
      <c r="N941" s="2">
        <v>2.169786365684355E-2</v>
      </c>
    </row>
    <row r="942" spans="1:14" hidden="1" x14ac:dyDescent="0.25">
      <c r="A942" t="s">
        <v>74</v>
      </c>
      <c r="B942" t="s">
        <v>141</v>
      </c>
      <c r="C942">
        <v>562000</v>
      </c>
      <c r="D942">
        <v>562000</v>
      </c>
      <c r="E942">
        <v>333736</v>
      </c>
      <c r="F942">
        <v>166290</v>
      </c>
      <c r="G942">
        <v>267962</v>
      </c>
      <c r="H942">
        <v>430479</v>
      </c>
      <c r="I942">
        <v>381924</v>
      </c>
      <c r="J942">
        <v>448185</v>
      </c>
      <c r="K942">
        <v>499768</v>
      </c>
      <c r="L942">
        <v>690000</v>
      </c>
      <c r="M942">
        <v>2450356</v>
      </c>
      <c r="N942" s="2">
        <v>3.9597858619758113E-2</v>
      </c>
    </row>
    <row r="943" spans="1:14" hidden="1" x14ac:dyDescent="0.25">
      <c r="A943" t="s">
        <v>74</v>
      </c>
      <c r="B943" t="s">
        <v>103</v>
      </c>
      <c r="C943">
        <v>22275</v>
      </c>
      <c r="D943">
        <v>16043</v>
      </c>
      <c r="E943">
        <v>8159</v>
      </c>
      <c r="F943">
        <v>5814</v>
      </c>
      <c r="G943">
        <v>4316</v>
      </c>
      <c r="H943">
        <v>6363</v>
      </c>
      <c r="I943">
        <v>14158</v>
      </c>
      <c r="J943">
        <v>2334</v>
      </c>
      <c r="K943">
        <v>2548</v>
      </c>
      <c r="L943">
        <v>4598</v>
      </c>
      <c r="M943">
        <v>30001</v>
      </c>
      <c r="N943" s="2">
        <v>4.8481745364810792E-4</v>
      </c>
    </row>
    <row r="944" spans="1:14" hidden="1" x14ac:dyDescent="0.25">
      <c r="A944" t="s">
        <v>74</v>
      </c>
      <c r="B944" t="s">
        <v>105</v>
      </c>
      <c r="C944">
        <v>574500</v>
      </c>
      <c r="D944">
        <v>720100</v>
      </c>
      <c r="E944">
        <v>854600</v>
      </c>
      <c r="F944">
        <v>763500</v>
      </c>
      <c r="G944">
        <v>903300</v>
      </c>
      <c r="H944">
        <v>998200</v>
      </c>
      <c r="I944">
        <v>958500</v>
      </c>
      <c r="J944">
        <v>892900</v>
      </c>
      <c r="K944">
        <v>756000</v>
      </c>
      <c r="L944">
        <v>1119400</v>
      </c>
      <c r="M944">
        <v>4725000</v>
      </c>
      <c r="N944" s="2">
        <v>7.6356203742785567E-2</v>
      </c>
    </row>
    <row r="945" spans="1:14" hidden="1" x14ac:dyDescent="0.25">
      <c r="A945" t="s">
        <v>74</v>
      </c>
      <c r="B945" t="s">
        <v>132</v>
      </c>
      <c r="C945">
        <v>830614</v>
      </c>
      <c r="D945">
        <v>826126</v>
      </c>
      <c r="E945">
        <v>863660</v>
      </c>
      <c r="F945">
        <v>630323</v>
      </c>
      <c r="G945">
        <v>630000</v>
      </c>
      <c r="H945">
        <v>630000</v>
      </c>
      <c r="I945">
        <v>630000</v>
      </c>
      <c r="J945">
        <v>630000</v>
      </c>
      <c r="K945">
        <v>522221</v>
      </c>
      <c r="L945">
        <v>671833</v>
      </c>
      <c r="M945">
        <v>3084054</v>
      </c>
      <c r="N945" s="2">
        <v>4.9838445624921228E-2</v>
      </c>
    </row>
    <row r="946" spans="1:14" hidden="1" x14ac:dyDescent="0.25">
      <c r="A946" t="s">
        <v>74</v>
      </c>
      <c r="B946" t="s">
        <v>205</v>
      </c>
      <c r="C946">
        <v>0</v>
      </c>
      <c r="D946">
        <v>0</v>
      </c>
      <c r="E946">
        <v>100590</v>
      </c>
      <c r="F946">
        <v>427690</v>
      </c>
      <c r="G946">
        <v>416249</v>
      </c>
      <c r="H946">
        <v>492441</v>
      </c>
      <c r="I946">
        <v>506938</v>
      </c>
      <c r="J946">
        <v>491602</v>
      </c>
      <c r="K946">
        <v>505000</v>
      </c>
      <c r="L946">
        <v>723600</v>
      </c>
      <c r="M946">
        <v>2719581</v>
      </c>
      <c r="N946" s="2">
        <v>4.3948546228784871E-2</v>
      </c>
    </row>
    <row r="947" spans="1:14" hidden="1" x14ac:dyDescent="0.25">
      <c r="A947" t="s">
        <v>74</v>
      </c>
      <c r="B947" t="s">
        <v>109</v>
      </c>
      <c r="C947">
        <v>21400</v>
      </c>
      <c r="D947">
        <v>32350</v>
      </c>
      <c r="E947">
        <v>35839</v>
      </c>
      <c r="F947">
        <v>48420</v>
      </c>
      <c r="G947">
        <v>28102</v>
      </c>
      <c r="H947">
        <v>57040</v>
      </c>
      <c r="I947">
        <v>49510</v>
      </c>
      <c r="J947">
        <v>63350</v>
      </c>
      <c r="K947">
        <v>50963</v>
      </c>
      <c r="L947">
        <v>53802</v>
      </c>
      <c r="M947">
        <v>274665</v>
      </c>
      <c r="N947" s="2">
        <v>4.4385982436004664E-3</v>
      </c>
    </row>
    <row r="948" spans="1:14" hidden="1" x14ac:dyDescent="0.25">
      <c r="A948" t="s">
        <v>74</v>
      </c>
      <c r="B948" t="s">
        <v>137</v>
      </c>
      <c r="C948">
        <v>1203000</v>
      </c>
      <c r="D948">
        <v>1070000</v>
      </c>
      <c r="E948">
        <v>1105000</v>
      </c>
      <c r="F948">
        <v>1280000</v>
      </c>
      <c r="G948">
        <v>1020000</v>
      </c>
      <c r="H948">
        <v>550000</v>
      </c>
      <c r="I948">
        <v>765000</v>
      </c>
      <c r="J948">
        <v>1100000</v>
      </c>
      <c r="K948">
        <v>1020000</v>
      </c>
      <c r="L948">
        <v>1000000</v>
      </c>
      <c r="M948">
        <v>4435000</v>
      </c>
      <c r="N948" s="2">
        <v>7.1669791237937361E-2</v>
      </c>
    </row>
    <row r="949" spans="1:14" hidden="1" x14ac:dyDescent="0.25">
      <c r="A949" t="s">
        <v>74</v>
      </c>
      <c r="B949" t="s">
        <v>211</v>
      </c>
      <c r="C949">
        <v>44707</v>
      </c>
      <c r="D949">
        <v>42685</v>
      </c>
      <c r="E949">
        <v>32972</v>
      </c>
      <c r="F949">
        <v>39439</v>
      </c>
      <c r="G949">
        <v>26159</v>
      </c>
      <c r="H949">
        <v>53734</v>
      </c>
      <c r="I949">
        <v>60847</v>
      </c>
      <c r="J949">
        <v>43789</v>
      </c>
      <c r="K949">
        <v>18016</v>
      </c>
      <c r="L949">
        <v>49068</v>
      </c>
      <c r="M949">
        <v>225454</v>
      </c>
      <c r="N949" s="2">
        <v>3.643346361613964E-3</v>
      </c>
    </row>
    <row r="950" spans="1:14" hidden="1" x14ac:dyDescent="0.25">
      <c r="A950" t="s">
        <v>74</v>
      </c>
      <c r="B950" t="s">
        <v>215</v>
      </c>
      <c r="F950">
        <v>0</v>
      </c>
      <c r="G950">
        <v>0</v>
      </c>
      <c r="H950">
        <v>8</v>
      </c>
      <c r="I950">
        <v>41</v>
      </c>
      <c r="J950">
        <v>5095</v>
      </c>
      <c r="K950">
        <v>153</v>
      </c>
      <c r="L950">
        <v>66</v>
      </c>
      <c r="M950">
        <v>5363</v>
      </c>
      <c r="N950" s="2">
        <v>8.6666311253451642E-5</v>
      </c>
    </row>
    <row r="951" spans="1:14" hidden="1" x14ac:dyDescent="0.25">
      <c r="A951" t="s">
        <v>74</v>
      </c>
      <c r="B951" t="s">
        <v>113</v>
      </c>
      <c r="C951">
        <v>200000</v>
      </c>
      <c r="D951">
        <v>200000</v>
      </c>
      <c r="E951">
        <v>100000</v>
      </c>
      <c r="F951">
        <v>300000</v>
      </c>
      <c r="G951">
        <v>100000</v>
      </c>
      <c r="H951">
        <v>100000</v>
      </c>
      <c r="I951">
        <v>100000</v>
      </c>
      <c r="J951">
        <v>100000</v>
      </c>
      <c r="K951">
        <v>100000</v>
      </c>
      <c r="L951">
        <v>100000</v>
      </c>
      <c r="M951">
        <v>500000</v>
      </c>
      <c r="N951" s="2">
        <v>8.0800215600831289E-3</v>
      </c>
    </row>
    <row r="952" spans="1:14" hidden="1" x14ac:dyDescent="0.25">
      <c r="A952" t="s">
        <v>74</v>
      </c>
      <c r="B952" t="s">
        <v>122</v>
      </c>
      <c r="C952">
        <v>246800</v>
      </c>
      <c r="D952">
        <v>670000</v>
      </c>
      <c r="E952">
        <v>450000</v>
      </c>
      <c r="F952">
        <v>500000</v>
      </c>
      <c r="G952">
        <v>500000</v>
      </c>
      <c r="H952">
        <v>500000</v>
      </c>
      <c r="I952">
        <v>745417</v>
      </c>
      <c r="J952">
        <v>818543</v>
      </c>
      <c r="K952">
        <v>773093</v>
      </c>
      <c r="L952">
        <v>780000</v>
      </c>
      <c r="M952">
        <v>3617053</v>
      </c>
      <c r="N952" s="2">
        <v>5.8451732447926723E-2</v>
      </c>
    </row>
    <row r="953" spans="1:14" hidden="1" x14ac:dyDescent="0.25">
      <c r="A953" t="s">
        <v>74</v>
      </c>
      <c r="B953" t="s">
        <v>115</v>
      </c>
      <c r="C953">
        <v>978300</v>
      </c>
      <c r="D953">
        <v>1025800</v>
      </c>
      <c r="E953">
        <v>558000</v>
      </c>
      <c r="F953">
        <v>237700</v>
      </c>
      <c r="G953">
        <v>210800</v>
      </c>
      <c r="H953">
        <v>225300</v>
      </c>
      <c r="I953">
        <v>235126</v>
      </c>
      <c r="J953">
        <v>216700</v>
      </c>
      <c r="K953">
        <v>230400</v>
      </c>
      <c r="L953">
        <v>244360</v>
      </c>
      <c r="M953">
        <v>1151886</v>
      </c>
      <c r="N953" s="2">
        <v>1.8614527429515831E-2</v>
      </c>
    </row>
    <row r="954" spans="1:14" hidden="1" x14ac:dyDescent="0.25">
      <c r="A954" t="s">
        <v>77</v>
      </c>
      <c r="B954" t="s">
        <v>102</v>
      </c>
      <c r="C954">
        <v>8500</v>
      </c>
      <c r="D954">
        <v>8500</v>
      </c>
      <c r="E954">
        <v>8500</v>
      </c>
      <c r="F954">
        <v>8500</v>
      </c>
      <c r="G954">
        <v>8500</v>
      </c>
      <c r="H954">
        <v>4700</v>
      </c>
      <c r="I954">
        <v>5000</v>
      </c>
      <c r="J954">
        <v>5000</v>
      </c>
      <c r="K954">
        <v>4000</v>
      </c>
      <c r="L954">
        <v>5000</v>
      </c>
      <c r="M954">
        <v>23700</v>
      </c>
      <c r="N954" s="2">
        <v>1</v>
      </c>
    </row>
    <row r="955" spans="1:14" hidden="1" x14ac:dyDescent="0.25">
      <c r="A955" t="s">
        <v>29</v>
      </c>
      <c r="B955" t="s">
        <v>181</v>
      </c>
      <c r="C955">
        <v>18840</v>
      </c>
      <c r="D955">
        <v>17190</v>
      </c>
      <c r="E955">
        <v>23240</v>
      </c>
      <c r="F955">
        <v>21840</v>
      </c>
      <c r="G955">
        <v>23200</v>
      </c>
      <c r="H955">
        <v>24400</v>
      </c>
      <c r="I955">
        <v>25000</v>
      </c>
      <c r="J955">
        <v>20000</v>
      </c>
      <c r="K955">
        <v>16500</v>
      </c>
      <c r="L955">
        <v>17000</v>
      </c>
      <c r="M955">
        <v>102900</v>
      </c>
      <c r="N955" s="2">
        <v>1.828702309123199E-2</v>
      </c>
    </row>
    <row r="956" spans="1:14" hidden="1" x14ac:dyDescent="0.25">
      <c r="A956" t="s">
        <v>29</v>
      </c>
      <c r="B956" t="s">
        <v>85</v>
      </c>
      <c r="C956">
        <v>88110</v>
      </c>
      <c r="D956">
        <v>91908</v>
      </c>
      <c r="E956">
        <v>87026</v>
      </c>
      <c r="F956">
        <v>75100</v>
      </c>
      <c r="G956">
        <v>61687</v>
      </c>
      <c r="H956">
        <v>90000</v>
      </c>
      <c r="I956">
        <v>95000</v>
      </c>
      <c r="J956">
        <v>96000</v>
      </c>
      <c r="K956">
        <v>95000</v>
      </c>
      <c r="L956">
        <v>95000</v>
      </c>
      <c r="M956">
        <v>471000</v>
      </c>
      <c r="N956" s="2">
        <v>8.3704449717884016E-2</v>
      </c>
    </row>
    <row r="957" spans="1:14" hidden="1" x14ac:dyDescent="0.25">
      <c r="A957" t="s">
        <v>29</v>
      </c>
      <c r="B957" t="s">
        <v>116</v>
      </c>
      <c r="C957">
        <v>20000</v>
      </c>
      <c r="D957">
        <v>20000</v>
      </c>
      <c r="E957">
        <v>20000</v>
      </c>
      <c r="F957">
        <v>18000</v>
      </c>
      <c r="G957">
        <v>16000</v>
      </c>
      <c r="H957">
        <v>14000</v>
      </c>
      <c r="I957">
        <v>11000</v>
      </c>
      <c r="J957">
        <v>11000</v>
      </c>
      <c r="K957">
        <v>8841</v>
      </c>
      <c r="L957">
        <v>7706</v>
      </c>
      <c r="M957">
        <v>52547</v>
      </c>
      <c r="N957" s="2">
        <v>9.3384664953835485E-3</v>
      </c>
    </row>
    <row r="958" spans="1:14" hidden="1" x14ac:dyDescent="0.25">
      <c r="A958" t="s">
        <v>29</v>
      </c>
      <c r="B958" t="s">
        <v>86</v>
      </c>
      <c r="C958">
        <v>800000</v>
      </c>
      <c r="D958">
        <v>840000</v>
      </c>
      <c r="E958">
        <v>900000</v>
      </c>
      <c r="F958">
        <v>725000</v>
      </c>
      <c r="G958">
        <v>625000</v>
      </c>
      <c r="H958">
        <v>625000</v>
      </c>
      <c r="I958">
        <v>693000</v>
      </c>
      <c r="J958">
        <v>700000</v>
      </c>
      <c r="K958">
        <v>762000</v>
      </c>
      <c r="L958">
        <v>820000</v>
      </c>
      <c r="M958">
        <v>3600000</v>
      </c>
      <c r="N958" s="2">
        <v>0.63977923351248933</v>
      </c>
    </row>
    <row r="959" spans="1:14" hidden="1" x14ac:dyDescent="0.25">
      <c r="A959" t="s">
        <v>29</v>
      </c>
      <c r="B959" t="s">
        <v>117</v>
      </c>
      <c r="C959">
        <v>109</v>
      </c>
      <c r="D959">
        <v>269</v>
      </c>
      <c r="E959">
        <v>517</v>
      </c>
      <c r="F959">
        <v>398</v>
      </c>
      <c r="G959">
        <v>502</v>
      </c>
      <c r="H959">
        <v>422</v>
      </c>
      <c r="I959">
        <v>222</v>
      </c>
      <c r="J959">
        <v>207</v>
      </c>
      <c r="K959">
        <v>108</v>
      </c>
      <c r="L959">
        <v>181</v>
      </c>
      <c r="M959">
        <v>1140</v>
      </c>
      <c r="N959" s="2">
        <v>2.0259675727895491E-4</v>
      </c>
    </row>
    <row r="960" spans="1:14" hidden="1" x14ac:dyDescent="0.25">
      <c r="A960" t="s">
        <v>29</v>
      </c>
      <c r="B960" t="s">
        <v>97</v>
      </c>
      <c r="C960">
        <v>134735</v>
      </c>
      <c r="D960">
        <v>146390</v>
      </c>
      <c r="E960">
        <v>116712</v>
      </c>
      <c r="F960">
        <v>135528</v>
      </c>
      <c r="G960">
        <v>122438</v>
      </c>
      <c r="H960">
        <v>33649</v>
      </c>
      <c r="I960">
        <v>39030</v>
      </c>
      <c r="J960">
        <v>31991</v>
      </c>
      <c r="K960">
        <v>30168</v>
      </c>
      <c r="L960">
        <v>27900</v>
      </c>
      <c r="M960">
        <v>162738</v>
      </c>
      <c r="N960" s="2">
        <v>2.8921220250932082E-2</v>
      </c>
    </row>
    <row r="961" spans="1:14" hidden="1" x14ac:dyDescent="0.25">
      <c r="A961" t="s">
        <v>29</v>
      </c>
      <c r="B961" t="s">
        <v>149</v>
      </c>
      <c r="C961">
        <v>30000</v>
      </c>
      <c r="D961">
        <v>30000</v>
      </c>
      <c r="E961">
        <v>60000</v>
      </c>
      <c r="F961">
        <v>80000</v>
      </c>
      <c r="G961">
        <v>50000</v>
      </c>
      <c r="H961">
        <v>140000</v>
      </c>
      <c r="I961">
        <v>40000</v>
      </c>
      <c r="J961">
        <v>40000</v>
      </c>
      <c r="K961">
        <v>30000</v>
      </c>
      <c r="L961">
        <v>40000</v>
      </c>
      <c r="M961">
        <v>290000</v>
      </c>
      <c r="N961" s="2">
        <v>5.153777158850608E-2</v>
      </c>
    </row>
    <row r="962" spans="1:14" hidden="1" x14ac:dyDescent="0.25">
      <c r="A962" t="s">
        <v>29</v>
      </c>
      <c r="B962" t="s">
        <v>141</v>
      </c>
      <c r="C962">
        <v>3629</v>
      </c>
      <c r="D962">
        <v>3833</v>
      </c>
      <c r="E962">
        <v>699</v>
      </c>
      <c r="F962">
        <v>3607</v>
      </c>
      <c r="G962">
        <v>5419</v>
      </c>
      <c r="H962">
        <v>12852</v>
      </c>
      <c r="I962">
        <v>54587</v>
      </c>
      <c r="J962">
        <v>45106</v>
      </c>
      <c r="K962">
        <v>61405</v>
      </c>
      <c r="L962">
        <v>98000</v>
      </c>
      <c r="M962">
        <v>271950</v>
      </c>
      <c r="N962" s="2">
        <v>4.8329989598255962E-2</v>
      </c>
    </row>
    <row r="963" spans="1:14" hidden="1" x14ac:dyDescent="0.25">
      <c r="A963" t="s">
        <v>29</v>
      </c>
      <c r="B963" t="s">
        <v>150</v>
      </c>
      <c r="C963">
        <v>7520</v>
      </c>
      <c r="D963">
        <v>7024</v>
      </c>
      <c r="E963">
        <v>9160</v>
      </c>
      <c r="F963">
        <v>6524</v>
      </c>
      <c r="G963">
        <v>14200</v>
      </c>
      <c r="H963">
        <v>10310</v>
      </c>
      <c r="I963">
        <v>4130</v>
      </c>
      <c r="J963">
        <v>2342</v>
      </c>
      <c r="K963">
        <v>2033</v>
      </c>
      <c r="L963">
        <v>1778</v>
      </c>
      <c r="M963">
        <v>20593</v>
      </c>
      <c r="N963" s="2">
        <v>3.6597149321451919E-3</v>
      </c>
    </row>
    <row r="964" spans="1:14" hidden="1" x14ac:dyDescent="0.25">
      <c r="A964" t="s">
        <v>29</v>
      </c>
      <c r="B964" t="s">
        <v>105</v>
      </c>
      <c r="D964">
        <v>0</v>
      </c>
      <c r="E964">
        <v>0</v>
      </c>
      <c r="F964">
        <v>580</v>
      </c>
      <c r="G964">
        <v>580</v>
      </c>
      <c r="H964">
        <v>802</v>
      </c>
      <c r="I964">
        <v>106773</v>
      </c>
      <c r="J964">
        <v>113803</v>
      </c>
      <c r="K964">
        <v>18159</v>
      </c>
      <c r="L964">
        <v>77116</v>
      </c>
      <c r="M964">
        <v>316653</v>
      </c>
      <c r="N964" s="2">
        <v>5.6274448230397303E-2</v>
      </c>
    </row>
    <row r="965" spans="1:14" hidden="1" x14ac:dyDescent="0.25">
      <c r="A965" t="s">
        <v>29</v>
      </c>
      <c r="B965" t="s">
        <v>175</v>
      </c>
      <c r="D965">
        <v>0</v>
      </c>
      <c r="E965">
        <v>0</v>
      </c>
      <c r="F965">
        <v>0</v>
      </c>
      <c r="G965">
        <v>0</v>
      </c>
      <c r="H965">
        <v>2216</v>
      </c>
      <c r="I965">
        <v>3456</v>
      </c>
      <c r="J965">
        <v>0</v>
      </c>
      <c r="K965">
        <v>0</v>
      </c>
      <c r="L965">
        <v>0</v>
      </c>
      <c r="M965">
        <v>5672</v>
      </c>
      <c r="N965" s="2">
        <v>1.0080077256896781E-3</v>
      </c>
    </row>
    <row r="966" spans="1:14" hidden="1" x14ac:dyDescent="0.25">
      <c r="A966" t="s">
        <v>29</v>
      </c>
      <c r="B966" t="s">
        <v>132</v>
      </c>
      <c r="C966">
        <v>6992</v>
      </c>
      <c r="D966">
        <v>6207</v>
      </c>
      <c r="E966">
        <v>8266</v>
      </c>
      <c r="F966">
        <v>9185</v>
      </c>
      <c r="G966">
        <v>9600</v>
      </c>
      <c r="H966">
        <v>9600</v>
      </c>
      <c r="I966">
        <v>9600</v>
      </c>
      <c r="J966">
        <v>9600</v>
      </c>
      <c r="K966">
        <v>9000</v>
      </c>
      <c r="L966">
        <v>9000</v>
      </c>
      <c r="M966">
        <v>46800</v>
      </c>
      <c r="N966" s="2">
        <v>8.3171300356623609E-3</v>
      </c>
    </row>
    <row r="967" spans="1:14" hidden="1" x14ac:dyDescent="0.25">
      <c r="A967" t="s">
        <v>29</v>
      </c>
      <c r="B967" t="s">
        <v>106</v>
      </c>
      <c r="C967">
        <v>912</v>
      </c>
      <c r="D967">
        <v>6188</v>
      </c>
      <c r="E967">
        <v>14279</v>
      </c>
      <c r="F967">
        <v>2864</v>
      </c>
      <c r="G967">
        <v>360</v>
      </c>
      <c r="H967">
        <v>0</v>
      </c>
      <c r="I967">
        <v>1840</v>
      </c>
      <c r="J967">
        <v>0</v>
      </c>
      <c r="K967">
        <v>0</v>
      </c>
      <c r="L967">
        <v>0</v>
      </c>
      <c r="M967">
        <v>1840</v>
      </c>
      <c r="N967" s="2">
        <v>3.2699827490638341E-4</v>
      </c>
    </row>
    <row r="968" spans="1:14" hidden="1" x14ac:dyDescent="0.25">
      <c r="A968" t="s">
        <v>29</v>
      </c>
      <c r="B968" t="s">
        <v>107</v>
      </c>
      <c r="C968">
        <v>14000</v>
      </c>
      <c r="D968">
        <v>14000</v>
      </c>
      <c r="E968">
        <v>14000</v>
      </c>
      <c r="F968">
        <v>15900</v>
      </c>
      <c r="G968">
        <v>19400</v>
      </c>
      <c r="H968">
        <v>25200</v>
      </c>
      <c r="I968">
        <v>17800</v>
      </c>
      <c r="J968">
        <v>18000</v>
      </c>
      <c r="K968">
        <v>25000</v>
      </c>
      <c r="L968">
        <v>27000</v>
      </c>
      <c r="M968">
        <v>113000</v>
      </c>
      <c r="N968" s="2">
        <v>2.0081959274142022E-2</v>
      </c>
    </row>
    <row r="969" spans="1:14" hidden="1" x14ac:dyDescent="0.25">
      <c r="A969" t="s">
        <v>29</v>
      </c>
      <c r="B969" t="s">
        <v>211</v>
      </c>
      <c r="C969">
        <v>4173</v>
      </c>
      <c r="D969">
        <v>3143</v>
      </c>
      <c r="E969">
        <v>3361</v>
      </c>
      <c r="F969">
        <v>3479</v>
      </c>
      <c r="G969">
        <v>3908</v>
      </c>
      <c r="H969">
        <v>3769</v>
      </c>
      <c r="I969">
        <v>3800</v>
      </c>
      <c r="J969">
        <v>4000</v>
      </c>
      <c r="K969">
        <v>4000</v>
      </c>
      <c r="L969">
        <v>4000</v>
      </c>
      <c r="M969">
        <v>19569</v>
      </c>
      <c r="N969" s="2">
        <v>3.4777332835016399E-3</v>
      </c>
    </row>
    <row r="970" spans="1:14" hidden="1" x14ac:dyDescent="0.25">
      <c r="A970" t="s">
        <v>29</v>
      </c>
      <c r="B970" t="s">
        <v>112</v>
      </c>
      <c r="C970">
        <v>31500</v>
      </c>
      <c r="D970">
        <v>28740</v>
      </c>
      <c r="E970">
        <v>3850</v>
      </c>
      <c r="F970">
        <v>0</v>
      </c>
      <c r="G970">
        <v>0</v>
      </c>
      <c r="H970">
        <v>0</v>
      </c>
      <c r="I970">
        <v>16752</v>
      </c>
      <c r="J970">
        <v>9990</v>
      </c>
      <c r="K970">
        <v>15205</v>
      </c>
      <c r="L970">
        <v>28336</v>
      </c>
      <c r="M970">
        <v>70283</v>
      </c>
      <c r="N970" s="2">
        <v>1.2490445519155079E-2</v>
      </c>
    </row>
    <row r="971" spans="1:14" hidden="1" x14ac:dyDescent="0.25">
      <c r="A971" t="s">
        <v>29</v>
      </c>
      <c r="B971" t="s">
        <v>122</v>
      </c>
      <c r="C971">
        <v>4600</v>
      </c>
      <c r="D971">
        <v>6900</v>
      </c>
      <c r="E971">
        <v>13800</v>
      </c>
      <c r="F971">
        <v>14500</v>
      </c>
      <c r="G971">
        <v>14630</v>
      </c>
      <c r="H971">
        <v>14855</v>
      </c>
      <c r="I971">
        <v>15000</v>
      </c>
      <c r="J971">
        <v>15000</v>
      </c>
      <c r="K971">
        <v>16000</v>
      </c>
      <c r="L971">
        <v>17000</v>
      </c>
      <c r="M971">
        <v>77855</v>
      </c>
      <c r="N971" s="2">
        <v>1.383611450697635E-2</v>
      </c>
    </row>
    <row r="972" spans="1:14" hidden="1" x14ac:dyDescent="0.25">
      <c r="A972" t="s">
        <v>29</v>
      </c>
      <c r="B972" t="s">
        <v>158</v>
      </c>
      <c r="C972">
        <v>7022</v>
      </c>
      <c r="D972">
        <v>6934</v>
      </c>
      <c r="E972">
        <v>6853</v>
      </c>
      <c r="F972">
        <v>6362</v>
      </c>
      <c r="G972">
        <v>5622</v>
      </c>
      <c r="H972">
        <v>1577</v>
      </c>
      <c r="I972">
        <v>174</v>
      </c>
      <c r="J972">
        <v>150</v>
      </c>
      <c r="K972">
        <v>300</v>
      </c>
      <c r="L972">
        <v>200</v>
      </c>
      <c r="M972">
        <v>2401</v>
      </c>
      <c r="N972" s="2">
        <v>4.2669720546207972E-4</v>
      </c>
    </row>
    <row r="973" spans="1:14" hidden="1" x14ac:dyDescent="0.25">
      <c r="A973" t="s">
        <v>28</v>
      </c>
      <c r="B973" t="s">
        <v>183</v>
      </c>
      <c r="C973">
        <v>264</v>
      </c>
      <c r="D973">
        <v>140</v>
      </c>
      <c r="E973">
        <v>85</v>
      </c>
      <c r="F973">
        <v>106</v>
      </c>
      <c r="G973">
        <v>102</v>
      </c>
      <c r="H973">
        <v>137</v>
      </c>
      <c r="I973">
        <v>286</v>
      </c>
      <c r="J973">
        <v>70</v>
      </c>
      <c r="K973">
        <v>58</v>
      </c>
      <c r="L973">
        <v>71</v>
      </c>
      <c r="M973">
        <v>622</v>
      </c>
      <c r="N973" s="4">
        <v>3.7512926731404008E-5</v>
      </c>
    </row>
    <row r="974" spans="1:14" hidden="1" x14ac:dyDescent="0.25">
      <c r="A974" t="s">
        <v>28</v>
      </c>
      <c r="B974" t="s">
        <v>184</v>
      </c>
      <c r="H974">
        <v>0</v>
      </c>
      <c r="I974">
        <v>0</v>
      </c>
      <c r="J974">
        <v>23</v>
      </c>
      <c r="K974">
        <v>59</v>
      </c>
      <c r="L974">
        <v>35</v>
      </c>
      <c r="M974">
        <v>117</v>
      </c>
      <c r="N974" s="4">
        <v>7.0562900764859628E-6</v>
      </c>
    </row>
    <row r="975" spans="1:14" hidden="1" x14ac:dyDescent="0.25">
      <c r="A975" t="s">
        <v>28</v>
      </c>
      <c r="B975" t="s">
        <v>124</v>
      </c>
      <c r="C975">
        <v>54651</v>
      </c>
      <c r="D975">
        <v>52486</v>
      </c>
      <c r="E975">
        <v>60170</v>
      </c>
      <c r="F975">
        <v>60960</v>
      </c>
      <c r="G975">
        <v>56648</v>
      </c>
      <c r="H975">
        <v>60956</v>
      </c>
      <c r="I975">
        <v>58397</v>
      </c>
      <c r="J975">
        <v>53092</v>
      </c>
      <c r="K975">
        <v>34936</v>
      </c>
      <c r="L975">
        <v>36487</v>
      </c>
      <c r="M975">
        <v>243868</v>
      </c>
      <c r="N975" s="4">
        <v>1.4707720926260499E-2</v>
      </c>
    </row>
    <row r="976" spans="1:14" hidden="1" x14ac:dyDescent="0.25">
      <c r="A976" t="s">
        <v>28</v>
      </c>
      <c r="B976" t="s">
        <v>164</v>
      </c>
      <c r="C976">
        <v>1941</v>
      </c>
      <c r="D976">
        <v>2324</v>
      </c>
      <c r="E976">
        <v>2814</v>
      </c>
      <c r="F976">
        <v>2805</v>
      </c>
      <c r="G976">
        <v>3730</v>
      </c>
      <c r="H976">
        <v>4270</v>
      </c>
      <c r="I976">
        <v>4908</v>
      </c>
      <c r="J976">
        <v>5825</v>
      </c>
      <c r="K976">
        <v>5900</v>
      </c>
      <c r="L976">
        <v>3400</v>
      </c>
      <c r="M976">
        <v>24303</v>
      </c>
      <c r="N976" s="4">
        <v>1.4657181002464821E-3</v>
      </c>
    </row>
    <row r="977" spans="1:14" hidden="1" x14ac:dyDescent="0.25">
      <c r="A977" t="s">
        <v>28</v>
      </c>
      <c r="B977" t="s">
        <v>83</v>
      </c>
      <c r="C977">
        <v>250441</v>
      </c>
      <c r="D977">
        <v>267062</v>
      </c>
      <c r="E977">
        <v>271856</v>
      </c>
      <c r="F977">
        <v>277372</v>
      </c>
      <c r="G977">
        <v>290767</v>
      </c>
      <c r="H977">
        <v>292022</v>
      </c>
      <c r="I977">
        <v>313028</v>
      </c>
      <c r="J977">
        <v>326304</v>
      </c>
      <c r="K977">
        <v>327952</v>
      </c>
      <c r="L977">
        <v>307170</v>
      </c>
      <c r="M977">
        <v>1566476</v>
      </c>
      <c r="N977" s="4">
        <v>9.4474436357721583E-2</v>
      </c>
    </row>
    <row r="978" spans="1:14" hidden="1" x14ac:dyDescent="0.25">
      <c r="A978" t="s">
        <v>28</v>
      </c>
      <c r="B978" t="s">
        <v>125</v>
      </c>
      <c r="C978">
        <v>1562</v>
      </c>
      <c r="D978">
        <v>1621</v>
      </c>
      <c r="E978">
        <v>1872</v>
      </c>
      <c r="F978">
        <v>2229</v>
      </c>
      <c r="G978">
        <v>1895</v>
      </c>
      <c r="H978">
        <v>3667</v>
      </c>
      <c r="I978">
        <v>3476</v>
      </c>
      <c r="J978">
        <v>3712</v>
      </c>
      <c r="K978">
        <v>3571</v>
      </c>
      <c r="L978">
        <v>3427</v>
      </c>
      <c r="M978">
        <v>17853</v>
      </c>
      <c r="N978" s="4">
        <v>1.076717493465845E-3</v>
      </c>
    </row>
    <row r="979" spans="1:14" hidden="1" x14ac:dyDescent="0.25">
      <c r="A979" t="s">
        <v>28</v>
      </c>
      <c r="B979" t="s">
        <v>185</v>
      </c>
      <c r="D979">
        <v>30</v>
      </c>
      <c r="E979">
        <v>30</v>
      </c>
      <c r="F979">
        <v>6</v>
      </c>
      <c r="G979">
        <v>7</v>
      </c>
      <c r="H979">
        <v>5</v>
      </c>
      <c r="I979">
        <v>5</v>
      </c>
      <c r="J979">
        <v>5</v>
      </c>
      <c r="K979">
        <v>5</v>
      </c>
      <c r="L979">
        <v>5</v>
      </c>
      <c r="M979">
        <v>25</v>
      </c>
      <c r="N979" s="4">
        <v>1.507754289847428E-6</v>
      </c>
    </row>
    <row r="980" spans="1:14" hidden="1" x14ac:dyDescent="0.25">
      <c r="A980" t="s">
        <v>28</v>
      </c>
      <c r="B980" t="s">
        <v>144</v>
      </c>
      <c r="C980">
        <v>12000</v>
      </c>
      <c r="D980">
        <v>13459</v>
      </c>
      <c r="E980">
        <v>34830</v>
      </c>
      <c r="F980">
        <v>22208</v>
      </c>
      <c r="G980">
        <v>21876</v>
      </c>
      <c r="H980">
        <v>28726</v>
      </c>
      <c r="I980">
        <v>31599</v>
      </c>
      <c r="J980">
        <v>42040</v>
      </c>
      <c r="K980">
        <v>23207</v>
      </c>
      <c r="L980">
        <v>45662</v>
      </c>
      <c r="M980">
        <v>171234</v>
      </c>
      <c r="N980" s="4">
        <v>1.0327151922709381E-2</v>
      </c>
    </row>
    <row r="981" spans="1:14" hidden="1" x14ac:dyDescent="0.25">
      <c r="A981" t="s">
        <v>28</v>
      </c>
      <c r="B981" t="s">
        <v>165</v>
      </c>
      <c r="C981">
        <v>1522</v>
      </c>
      <c r="D981">
        <v>1206</v>
      </c>
      <c r="E981">
        <v>958</v>
      </c>
      <c r="F981">
        <v>757</v>
      </c>
      <c r="G981">
        <v>833</v>
      </c>
      <c r="H981">
        <v>913</v>
      </c>
      <c r="I981">
        <v>1105</v>
      </c>
      <c r="J981">
        <v>942</v>
      </c>
      <c r="K981">
        <v>851</v>
      </c>
      <c r="L981">
        <v>650</v>
      </c>
      <c r="M981">
        <v>4461</v>
      </c>
      <c r="N981" s="4">
        <v>2.6904367548037498E-4</v>
      </c>
    </row>
    <row r="982" spans="1:14" hidden="1" x14ac:dyDescent="0.25">
      <c r="A982" t="s">
        <v>28</v>
      </c>
      <c r="B982" t="s">
        <v>85</v>
      </c>
      <c r="C982">
        <v>66773</v>
      </c>
      <c r="D982">
        <v>79563</v>
      </c>
      <c r="E982">
        <v>81038</v>
      </c>
      <c r="F982">
        <v>83124</v>
      </c>
      <c r="G982">
        <v>93921</v>
      </c>
      <c r="H982">
        <v>80000</v>
      </c>
      <c r="I982">
        <v>85000</v>
      </c>
      <c r="J982">
        <v>75000</v>
      </c>
      <c r="K982">
        <v>82000</v>
      </c>
      <c r="L982">
        <v>90000</v>
      </c>
      <c r="M982">
        <v>412000</v>
      </c>
      <c r="N982" s="4">
        <v>2.484779069668561E-2</v>
      </c>
    </row>
    <row r="983" spans="1:14" hidden="1" x14ac:dyDescent="0.25">
      <c r="A983" t="s">
        <v>28</v>
      </c>
      <c r="B983" t="s">
        <v>147</v>
      </c>
      <c r="C983">
        <v>7058</v>
      </c>
      <c r="D983">
        <v>7385</v>
      </c>
      <c r="E983">
        <v>7899</v>
      </c>
      <c r="F983">
        <v>7914</v>
      </c>
      <c r="G983">
        <v>7918</v>
      </c>
      <c r="H983">
        <v>8682</v>
      </c>
      <c r="I983">
        <v>6465</v>
      </c>
      <c r="J983">
        <v>7413</v>
      </c>
      <c r="K983">
        <v>9590</v>
      </c>
      <c r="L983">
        <v>9966</v>
      </c>
      <c r="M983">
        <v>42116</v>
      </c>
      <c r="N983" s="4">
        <v>2.5400231868485711E-3</v>
      </c>
    </row>
    <row r="984" spans="1:14" hidden="1" x14ac:dyDescent="0.25">
      <c r="A984" t="s">
        <v>28</v>
      </c>
      <c r="B984" t="s">
        <v>186</v>
      </c>
      <c r="C984">
        <v>29877</v>
      </c>
      <c r="D984">
        <v>32994</v>
      </c>
      <c r="E984">
        <v>36320</v>
      </c>
      <c r="F984">
        <v>36540</v>
      </c>
      <c r="G984">
        <v>38520</v>
      </c>
      <c r="H984">
        <v>46436</v>
      </c>
      <c r="I984">
        <v>52898</v>
      </c>
      <c r="J984">
        <v>51500</v>
      </c>
      <c r="K984">
        <v>62470</v>
      </c>
      <c r="L984">
        <v>66000</v>
      </c>
      <c r="M984">
        <v>279304</v>
      </c>
      <c r="N984" s="4">
        <v>1.6844872166861841E-2</v>
      </c>
    </row>
    <row r="985" spans="1:14" hidden="1" x14ac:dyDescent="0.25">
      <c r="A985" t="s">
        <v>28</v>
      </c>
      <c r="B985" t="s">
        <v>187</v>
      </c>
      <c r="C985">
        <v>2147</v>
      </c>
      <c r="D985">
        <v>2823</v>
      </c>
      <c r="E985">
        <v>650</v>
      </c>
      <c r="F985">
        <v>549</v>
      </c>
      <c r="G985">
        <v>396</v>
      </c>
      <c r="H985">
        <v>1742</v>
      </c>
      <c r="I985">
        <v>1898</v>
      </c>
      <c r="J985">
        <v>1599</v>
      </c>
      <c r="K985">
        <v>863</v>
      </c>
      <c r="L985">
        <v>847</v>
      </c>
      <c r="M985">
        <v>6949</v>
      </c>
      <c r="N985" s="4">
        <v>4.1909538240599112E-4</v>
      </c>
    </row>
    <row r="986" spans="1:14" hidden="1" x14ac:dyDescent="0.25">
      <c r="A986" t="s">
        <v>28</v>
      </c>
      <c r="B986" t="s">
        <v>127</v>
      </c>
      <c r="C986">
        <v>1000</v>
      </c>
      <c r="D986">
        <v>1000</v>
      </c>
      <c r="E986">
        <v>1000</v>
      </c>
      <c r="F986">
        <v>795</v>
      </c>
      <c r="G986">
        <v>542</v>
      </c>
      <c r="H986">
        <v>713</v>
      </c>
      <c r="I986">
        <v>478</v>
      </c>
      <c r="J986">
        <v>341</v>
      </c>
      <c r="K986">
        <v>450</v>
      </c>
      <c r="L986">
        <v>450</v>
      </c>
      <c r="M986">
        <v>2432</v>
      </c>
      <c r="N986" s="4">
        <v>1.466743373163578E-4</v>
      </c>
    </row>
    <row r="987" spans="1:14" hidden="1" x14ac:dyDescent="0.25">
      <c r="A987" t="s">
        <v>28</v>
      </c>
      <c r="B987" t="s">
        <v>116</v>
      </c>
      <c r="C987">
        <v>107486</v>
      </c>
      <c r="D987">
        <v>133636</v>
      </c>
      <c r="E987">
        <v>152460</v>
      </c>
      <c r="F987">
        <v>162504</v>
      </c>
      <c r="G987">
        <v>163888</v>
      </c>
      <c r="H987">
        <v>171111</v>
      </c>
      <c r="I987">
        <v>194155</v>
      </c>
      <c r="J987">
        <v>182783</v>
      </c>
      <c r="K987">
        <v>182352</v>
      </c>
      <c r="L987">
        <v>222524</v>
      </c>
      <c r="M987">
        <v>952925</v>
      </c>
      <c r="N987" s="4">
        <v>5.7471070266114407E-2</v>
      </c>
    </row>
    <row r="988" spans="1:14" hidden="1" x14ac:dyDescent="0.25">
      <c r="A988" t="s">
        <v>28</v>
      </c>
      <c r="B988" t="s">
        <v>188</v>
      </c>
      <c r="D988">
        <v>55</v>
      </c>
      <c r="E988">
        <v>7</v>
      </c>
      <c r="F988">
        <v>15</v>
      </c>
      <c r="G988">
        <v>33</v>
      </c>
      <c r="H988">
        <v>118</v>
      </c>
      <c r="I988">
        <v>142</v>
      </c>
      <c r="J988">
        <v>359</v>
      </c>
      <c r="K988">
        <v>401</v>
      </c>
      <c r="L988">
        <v>858</v>
      </c>
      <c r="M988">
        <v>1878</v>
      </c>
      <c r="N988" s="4">
        <v>1.132625022533388E-4</v>
      </c>
    </row>
    <row r="989" spans="1:14" hidden="1" x14ac:dyDescent="0.25">
      <c r="A989" t="s">
        <v>28</v>
      </c>
      <c r="B989" t="s">
        <v>145</v>
      </c>
      <c r="C989">
        <v>49936</v>
      </c>
      <c r="D989">
        <v>51309</v>
      </c>
      <c r="E989">
        <v>46031</v>
      </c>
      <c r="F989">
        <v>42501</v>
      </c>
      <c r="G989">
        <v>46333</v>
      </c>
      <c r="H989">
        <v>37911</v>
      </c>
      <c r="I989">
        <v>37066</v>
      </c>
      <c r="J989">
        <v>38455</v>
      </c>
      <c r="K989">
        <v>33895</v>
      </c>
      <c r="L989">
        <v>34248</v>
      </c>
      <c r="M989">
        <v>181575</v>
      </c>
      <c r="N989" s="4">
        <v>1.0950819407161871E-2</v>
      </c>
    </row>
    <row r="990" spans="1:14" hidden="1" x14ac:dyDescent="0.25">
      <c r="A990" t="s">
        <v>28</v>
      </c>
      <c r="B990" t="s">
        <v>86</v>
      </c>
      <c r="C990">
        <v>403050</v>
      </c>
      <c r="D990">
        <v>428163</v>
      </c>
      <c r="E990">
        <v>451799</v>
      </c>
      <c r="F990">
        <v>450053</v>
      </c>
      <c r="G990">
        <v>453490</v>
      </c>
      <c r="H990">
        <v>426142</v>
      </c>
      <c r="I990">
        <v>401119</v>
      </c>
      <c r="J990">
        <v>380230</v>
      </c>
      <c r="K990">
        <v>365340</v>
      </c>
      <c r="L990">
        <v>329000</v>
      </c>
      <c r="M990">
        <v>1901831</v>
      </c>
      <c r="N990" s="4">
        <v>0.11469975395259301</v>
      </c>
    </row>
    <row r="991" spans="1:14" hidden="1" x14ac:dyDescent="0.25">
      <c r="A991" t="s">
        <v>28</v>
      </c>
      <c r="B991" t="s">
        <v>87</v>
      </c>
      <c r="C991">
        <v>66222</v>
      </c>
      <c r="D991">
        <v>55968</v>
      </c>
      <c r="E991">
        <v>57896</v>
      </c>
      <c r="F991">
        <v>59638</v>
      </c>
      <c r="G991">
        <v>63157</v>
      </c>
      <c r="H991">
        <v>43158</v>
      </c>
      <c r="I991">
        <v>35965</v>
      </c>
      <c r="J991">
        <v>38006</v>
      </c>
      <c r="K991">
        <v>48561</v>
      </c>
      <c r="L991">
        <v>55534</v>
      </c>
      <c r="M991">
        <v>221224</v>
      </c>
      <c r="N991" s="4">
        <v>1.3342057400688299E-2</v>
      </c>
    </row>
    <row r="992" spans="1:14" hidden="1" x14ac:dyDescent="0.25">
      <c r="A992" t="s">
        <v>28</v>
      </c>
      <c r="B992" t="s">
        <v>189</v>
      </c>
      <c r="C992">
        <v>150</v>
      </c>
      <c r="D992">
        <v>150</v>
      </c>
      <c r="E992">
        <v>150</v>
      </c>
      <c r="F992">
        <v>150</v>
      </c>
      <c r="G992">
        <v>150</v>
      </c>
      <c r="H992">
        <v>150</v>
      </c>
      <c r="I992">
        <v>150</v>
      </c>
      <c r="J992">
        <v>150</v>
      </c>
      <c r="K992">
        <v>150</v>
      </c>
      <c r="L992">
        <v>150</v>
      </c>
      <c r="M992">
        <v>750</v>
      </c>
      <c r="N992" s="4">
        <v>4.523262869542284E-5</v>
      </c>
    </row>
    <row r="993" spans="1:14" hidden="1" x14ac:dyDescent="0.25">
      <c r="A993" t="s">
        <v>28</v>
      </c>
      <c r="B993" t="s">
        <v>159</v>
      </c>
      <c r="C993">
        <v>17000</v>
      </c>
      <c r="D993">
        <v>17000</v>
      </c>
      <c r="E993">
        <v>36600</v>
      </c>
      <c r="F993">
        <v>38000</v>
      </c>
      <c r="G993">
        <v>37100</v>
      </c>
      <c r="H993">
        <v>37100</v>
      </c>
      <c r="I993">
        <v>43800</v>
      </c>
      <c r="J993">
        <v>43000</v>
      </c>
      <c r="K993">
        <v>40000</v>
      </c>
      <c r="L993">
        <v>42000</v>
      </c>
      <c r="M993">
        <v>205900</v>
      </c>
      <c r="N993" s="4">
        <v>1.241786433118342E-2</v>
      </c>
    </row>
    <row r="994" spans="1:14" hidden="1" x14ac:dyDescent="0.25">
      <c r="A994" t="s">
        <v>28</v>
      </c>
      <c r="B994" t="s">
        <v>190</v>
      </c>
      <c r="C994">
        <v>0</v>
      </c>
      <c r="D994">
        <v>1500</v>
      </c>
      <c r="E994">
        <v>1350</v>
      </c>
      <c r="F994">
        <v>950</v>
      </c>
      <c r="G994">
        <v>750</v>
      </c>
      <c r="H994">
        <v>4255</v>
      </c>
      <c r="I994">
        <v>3699</v>
      </c>
      <c r="J994">
        <v>4500</v>
      </c>
      <c r="K994">
        <v>599</v>
      </c>
      <c r="L994">
        <v>600</v>
      </c>
      <c r="M994">
        <v>13653</v>
      </c>
      <c r="N994" s="4">
        <v>8.234147727714773E-4</v>
      </c>
    </row>
    <row r="995" spans="1:14" hidden="1" x14ac:dyDescent="0.25">
      <c r="A995" t="s">
        <v>28</v>
      </c>
      <c r="B995" t="s">
        <v>166</v>
      </c>
      <c r="D995">
        <v>0</v>
      </c>
      <c r="E995">
        <v>0</v>
      </c>
      <c r="F995">
        <v>0</v>
      </c>
      <c r="G995">
        <v>0</v>
      </c>
      <c r="H995">
        <v>48</v>
      </c>
      <c r="I995">
        <v>47</v>
      </c>
      <c r="J995">
        <v>33</v>
      </c>
      <c r="K995">
        <v>61</v>
      </c>
      <c r="L995">
        <v>0</v>
      </c>
      <c r="M995">
        <v>189</v>
      </c>
      <c r="N995" s="4">
        <v>1.139862243124656E-5</v>
      </c>
    </row>
    <row r="996" spans="1:14" hidden="1" x14ac:dyDescent="0.25">
      <c r="A996" t="s">
        <v>28</v>
      </c>
      <c r="B996" t="s">
        <v>89</v>
      </c>
      <c r="C996">
        <v>4106</v>
      </c>
      <c r="D996">
        <v>26084</v>
      </c>
      <c r="E996">
        <v>36085</v>
      </c>
      <c r="F996">
        <v>31134</v>
      </c>
      <c r="G996">
        <v>37932</v>
      </c>
      <c r="H996">
        <v>35242</v>
      </c>
      <c r="I996">
        <v>31633</v>
      </c>
      <c r="J996">
        <v>31801</v>
      </c>
      <c r="K996">
        <v>28117</v>
      </c>
      <c r="L996">
        <v>25287</v>
      </c>
      <c r="M996">
        <v>152080</v>
      </c>
      <c r="N996" s="4">
        <v>9.171970895999873E-3</v>
      </c>
    </row>
    <row r="997" spans="1:14" hidden="1" x14ac:dyDescent="0.25">
      <c r="A997" t="s">
        <v>28</v>
      </c>
      <c r="B997" t="s">
        <v>167</v>
      </c>
      <c r="C997">
        <v>5139</v>
      </c>
      <c r="D997">
        <v>8676</v>
      </c>
      <c r="E997">
        <v>7322</v>
      </c>
      <c r="F997">
        <v>7723</v>
      </c>
      <c r="G997">
        <v>6761</v>
      </c>
      <c r="H997">
        <v>6368</v>
      </c>
      <c r="I997">
        <v>8212</v>
      </c>
      <c r="J997">
        <v>6293</v>
      </c>
      <c r="K997">
        <v>9086</v>
      </c>
      <c r="L997">
        <v>12614</v>
      </c>
      <c r="M997">
        <v>42573</v>
      </c>
      <c r="N997" s="4">
        <v>2.5675849352669818E-3</v>
      </c>
    </row>
    <row r="998" spans="1:14" hidden="1" x14ac:dyDescent="0.25">
      <c r="A998" t="s">
        <v>28</v>
      </c>
      <c r="B998" t="s">
        <v>128</v>
      </c>
      <c r="C998">
        <v>8175</v>
      </c>
      <c r="D998">
        <v>11102</v>
      </c>
      <c r="E998">
        <v>11734</v>
      </c>
      <c r="F998">
        <v>13657</v>
      </c>
      <c r="G998">
        <v>17139</v>
      </c>
      <c r="H998">
        <v>16941</v>
      </c>
      <c r="I998">
        <v>14694</v>
      </c>
      <c r="J998">
        <v>14946</v>
      </c>
      <c r="K998">
        <v>14069</v>
      </c>
      <c r="L998">
        <v>12919</v>
      </c>
      <c r="M998">
        <v>73569</v>
      </c>
      <c r="N998" s="4">
        <v>4.4369590139914173E-3</v>
      </c>
    </row>
    <row r="999" spans="1:14" hidden="1" x14ac:dyDescent="0.25">
      <c r="A999" t="s">
        <v>28</v>
      </c>
      <c r="B999" t="s">
        <v>191</v>
      </c>
      <c r="C999">
        <v>200</v>
      </c>
      <c r="D999">
        <v>200</v>
      </c>
      <c r="E999">
        <v>200</v>
      </c>
      <c r="F999">
        <v>200</v>
      </c>
      <c r="G999">
        <v>200</v>
      </c>
      <c r="H999">
        <v>200</v>
      </c>
      <c r="I999">
        <v>200</v>
      </c>
      <c r="J999">
        <v>200</v>
      </c>
      <c r="K999">
        <v>200</v>
      </c>
      <c r="L999">
        <v>200</v>
      </c>
      <c r="M999">
        <v>1000</v>
      </c>
      <c r="N999" s="4">
        <v>6.0310171593897122E-5</v>
      </c>
    </row>
    <row r="1000" spans="1:14" hidden="1" x14ac:dyDescent="0.25">
      <c r="A1000" t="s">
        <v>28</v>
      </c>
      <c r="B1000" t="s">
        <v>168</v>
      </c>
      <c r="C1000">
        <v>9735</v>
      </c>
      <c r="D1000">
        <v>2862</v>
      </c>
      <c r="E1000">
        <v>840</v>
      </c>
      <c r="F1000">
        <v>753</v>
      </c>
      <c r="G1000">
        <v>1400</v>
      </c>
      <c r="H1000">
        <v>2700</v>
      </c>
      <c r="I1000">
        <v>3700</v>
      </c>
      <c r="J1000">
        <v>3700</v>
      </c>
      <c r="K1000">
        <v>3800</v>
      </c>
      <c r="L1000">
        <v>4600</v>
      </c>
      <c r="M1000">
        <v>18500</v>
      </c>
      <c r="N1000" s="4">
        <v>1.1157381744870971E-3</v>
      </c>
    </row>
    <row r="1001" spans="1:14" hidden="1" x14ac:dyDescent="0.25">
      <c r="A1001" t="s">
        <v>28</v>
      </c>
      <c r="B1001" t="s">
        <v>192</v>
      </c>
      <c r="E1001">
        <v>0</v>
      </c>
      <c r="F1001">
        <v>0</v>
      </c>
      <c r="G1001">
        <v>0</v>
      </c>
      <c r="H1001">
        <v>0</v>
      </c>
      <c r="I1001">
        <v>12</v>
      </c>
      <c r="J1001">
        <v>6</v>
      </c>
      <c r="K1001">
        <v>1</v>
      </c>
      <c r="L1001">
        <v>0</v>
      </c>
      <c r="M1001">
        <v>19</v>
      </c>
      <c r="N1001" s="4">
        <v>1.1458932602840449E-6</v>
      </c>
    </row>
    <row r="1002" spans="1:14" hidden="1" x14ac:dyDescent="0.25">
      <c r="A1002" t="s">
        <v>28</v>
      </c>
      <c r="B1002" t="s">
        <v>193</v>
      </c>
      <c r="C1002">
        <v>12581</v>
      </c>
      <c r="D1002">
        <v>13050</v>
      </c>
      <c r="E1002">
        <v>10340</v>
      </c>
      <c r="F1002">
        <v>9370</v>
      </c>
      <c r="G1002">
        <v>8573</v>
      </c>
      <c r="H1002">
        <v>4704</v>
      </c>
      <c r="I1002">
        <v>2570</v>
      </c>
      <c r="J1002">
        <v>3180</v>
      </c>
      <c r="K1002">
        <v>3320</v>
      </c>
      <c r="L1002">
        <v>9560</v>
      </c>
      <c r="M1002">
        <v>23334</v>
      </c>
      <c r="N1002" s="4">
        <v>1.407277543971995E-3</v>
      </c>
    </row>
    <row r="1003" spans="1:14" hidden="1" x14ac:dyDescent="0.25">
      <c r="A1003" t="s">
        <v>28</v>
      </c>
      <c r="B1003" t="s">
        <v>90</v>
      </c>
      <c r="C1003">
        <v>1439</v>
      </c>
      <c r="D1003">
        <v>1218</v>
      </c>
      <c r="E1003">
        <v>1188</v>
      </c>
      <c r="F1003">
        <v>1368</v>
      </c>
      <c r="G1003">
        <v>1500</v>
      </c>
      <c r="H1003">
        <v>1425</v>
      </c>
      <c r="I1003">
        <v>1281</v>
      </c>
      <c r="J1003">
        <v>1106</v>
      </c>
      <c r="K1003">
        <v>1090</v>
      </c>
      <c r="L1003">
        <v>1107</v>
      </c>
      <c r="M1003">
        <v>6009</v>
      </c>
      <c r="N1003" s="4">
        <v>3.6240382110772778E-4</v>
      </c>
    </row>
    <row r="1004" spans="1:14" hidden="1" x14ac:dyDescent="0.25">
      <c r="A1004" t="s">
        <v>28</v>
      </c>
      <c r="B1004" t="s">
        <v>154</v>
      </c>
      <c r="C1004">
        <v>9100</v>
      </c>
      <c r="D1004">
        <v>8660</v>
      </c>
      <c r="E1004">
        <v>8085</v>
      </c>
      <c r="F1004">
        <v>8342</v>
      </c>
      <c r="G1004">
        <v>8865</v>
      </c>
      <c r="H1004">
        <v>9102</v>
      </c>
      <c r="I1004">
        <v>8732</v>
      </c>
      <c r="J1004">
        <v>7927</v>
      </c>
      <c r="K1004">
        <v>8668</v>
      </c>
      <c r="L1004">
        <v>9082</v>
      </c>
      <c r="M1004">
        <v>43511</v>
      </c>
      <c r="N1004" s="4">
        <v>2.624155876222058E-3</v>
      </c>
    </row>
    <row r="1005" spans="1:14" hidden="1" x14ac:dyDescent="0.25">
      <c r="A1005" t="s">
        <v>28</v>
      </c>
      <c r="B1005" t="s">
        <v>194</v>
      </c>
      <c r="C1005">
        <v>1147</v>
      </c>
      <c r="D1005">
        <v>6220</v>
      </c>
      <c r="E1005">
        <v>6830</v>
      </c>
      <c r="F1005">
        <v>6460</v>
      </c>
      <c r="G1005">
        <v>6100</v>
      </c>
      <c r="H1005">
        <v>8000</v>
      </c>
      <c r="I1005">
        <v>10000</v>
      </c>
      <c r="J1005">
        <v>10000</v>
      </c>
      <c r="K1005">
        <v>10000</v>
      </c>
      <c r="L1005">
        <v>11000</v>
      </c>
      <c r="M1005">
        <v>49000</v>
      </c>
      <c r="N1005" s="4">
        <v>2.9551984081009589E-3</v>
      </c>
    </row>
    <row r="1006" spans="1:14" hidden="1" x14ac:dyDescent="0.25">
      <c r="A1006" t="s">
        <v>28</v>
      </c>
      <c r="B1006" t="s">
        <v>195</v>
      </c>
      <c r="C1006">
        <v>684</v>
      </c>
      <c r="D1006">
        <v>1201</v>
      </c>
      <c r="E1006">
        <v>1078</v>
      </c>
      <c r="F1006">
        <v>1356</v>
      </c>
      <c r="G1006">
        <v>1070</v>
      </c>
      <c r="H1006">
        <v>600</v>
      </c>
      <c r="I1006">
        <v>83</v>
      </c>
      <c r="J1006">
        <v>107</v>
      </c>
      <c r="K1006">
        <v>110</v>
      </c>
      <c r="L1006">
        <v>100</v>
      </c>
      <c r="M1006">
        <v>1000</v>
      </c>
      <c r="N1006" s="4">
        <v>6.0310171593897122E-5</v>
      </c>
    </row>
    <row r="1007" spans="1:14" hidden="1" x14ac:dyDescent="0.25">
      <c r="A1007" t="s">
        <v>28</v>
      </c>
      <c r="B1007" t="s">
        <v>169</v>
      </c>
      <c r="C1007">
        <v>3100</v>
      </c>
      <c r="D1007">
        <v>4300</v>
      </c>
      <c r="E1007">
        <v>2300</v>
      </c>
      <c r="F1007">
        <v>3100</v>
      </c>
      <c r="G1007">
        <v>3600</v>
      </c>
      <c r="H1007">
        <v>3032</v>
      </c>
      <c r="I1007">
        <v>4299</v>
      </c>
      <c r="J1007">
        <v>4052</v>
      </c>
      <c r="K1007">
        <v>5401</v>
      </c>
      <c r="L1007">
        <v>3513</v>
      </c>
      <c r="M1007">
        <v>20297</v>
      </c>
      <c r="N1007" s="4">
        <v>1.22411555284133E-3</v>
      </c>
    </row>
    <row r="1008" spans="1:14" hidden="1" x14ac:dyDescent="0.25">
      <c r="A1008" t="s">
        <v>28</v>
      </c>
      <c r="B1008" t="s">
        <v>117</v>
      </c>
      <c r="F1008">
        <v>0</v>
      </c>
      <c r="G1008">
        <v>0</v>
      </c>
      <c r="H1008">
        <v>0</v>
      </c>
      <c r="I1008">
        <v>0</v>
      </c>
      <c r="J1008">
        <v>10</v>
      </c>
      <c r="K1008">
        <v>10</v>
      </c>
      <c r="L1008">
        <v>12</v>
      </c>
      <c r="M1008">
        <v>32</v>
      </c>
      <c r="N1008" s="4">
        <v>1.929925491004708E-6</v>
      </c>
    </row>
    <row r="1009" spans="1:14" hidden="1" x14ac:dyDescent="0.25">
      <c r="A1009" t="s">
        <v>28</v>
      </c>
      <c r="B1009" t="s">
        <v>92</v>
      </c>
      <c r="C1009">
        <v>128600</v>
      </c>
      <c r="D1009">
        <v>137820</v>
      </c>
      <c r="E1009">
        <v>137861</v>
      </c>
      <c r="F1009">
        <v>112402</v>
      </c>
      <c r="G1009">
        <v>114488</v>
      </c>
      <c r="H1009">
        <v>133303</v>
      </c>
      <c r="I1009">
        <v>149216</v>
      </c>
      <c r="J1009">
        <v>146780</v>
      </c>
      <c r="K1009">
        <v>125874</v>
      </c>
      <c r="L1009">
        <v>87677</v>
      </c>
      <c r="M1009">
        <v>642850</v>
      </c>
      <c r="N1009" s="4">
        <v>3.8770393809136758E-2</v>
      </c>
    </row>
    <row r="1010" spans="1:14" hidden="1" x14ac:dyDescent="0.25">
      <c r="A1010" t="s">
        <v>28</v>
      </c>
      <c r="B1010" t="s">
        <v>93</v>
      </c>
      <c r="C1010">
        <v>26</v>
      </c>
      <c r="D1010">
        <v>822</v>
      </c>
      <c r="E1010">
        <v>552</v>
      </c>
      <c r="F1010">
        <v>510</v>
      </c>
      <c r="G1010">
        <v>86</v>
      </c>
      <c r="H1010">
        <v>1571</v>
      </c>
      <c r="I1010">
        <v>2839</v>
      </c>
      <c r="J1010">
        <v>2333</v>
      </c>
      <c r="K1010">
        <v>3440</v>
      </c>
      <c r="L1010">
        <v>3313</v>
      </c>
      <c r="M1010">
        <v>13496</v>
      </c>
      <c r="N1010" s="4">
        <v>8.1394607583123546E-4</v>
      </c>
    </row>
    <row r="1011" spans="1:14" hidden="1" x14ac:dyDescent="0.25">
      <c r="A1011" t="s">
        <v>28</v>
      </c>
      <c r="B1011" t="s">
        <v>196</v>
      </c>
      <c r="C1011">
        <v>6473</v>
      </c>
      <c r="D1011">
        <v>6386</v>
      </c>
      <c r="E1011">
        <v>6142</v>
      </c>
      <c r="F1011">
        <v>5610</v>
      </c>
      <c r="G1011">
        <v>3910</v>
      </c>
      <c r="H1011">
        <v>1647</v>
      </c>
      <c r="I1011">
        <v>0</v>
      </c>
      <c r="J1011">
        <v>0</v>
      </c>
      <c r="K1011">
        <v>0</v>
      </c>
      <c r="L1011">
        <v>0</v>
      </c>
      <c r="M1011">
        <v>1647</v>
      </c>
      <c r="N1011" s="4">
        <v>9.9330852615148554E-5</v>
      </c>
    </row>
    <row r="1012" spans="1:14" hidden="1" x14ac:dyDescent="0.25">
      <c r="A1012" t="s">
        <v>28</v>
      </c>
      <c r="B1012" t="s">
        <v>94</v>
      </c>
      <c r="C1012">
        <v>16154</v>
      </c>
      <c r="D1012">
        <v>18322</v>
      </c>
      <c r="E1012">
        <v>23465</v>
      </c>
      <c r="F1012">
        <v>21464</v>
      </c>
      <c r="G1012">
        <v>29192</v>
      </c>
      <c r="H1012">
        <v>46847</v>
      </c>
      <c r="I1012">
        <v>25823</v>
      </c>
      <c r="J1012">
        <v>27708</v>
      </c>
      <c r="K1012">
        <v>91800</v>
      </c>
      <c r="L1012">
        <v>99371</v>
      </c>
      <c r="M1012">
        <v>291549</v>
      </c>
      <c r="N1012" s="4">
        <v>1.758337021802911E-2</v>
      </c>
    </row>
    <row r="1013" spans="1:14" hidden="1" x14ac:dyDescent="0.25">
      <c r="A1013" t="s">
        <v>28</v>
      </c>
      <c r="B1013" t="s">
        <v>95</v>
      </c>
      <c r="C1013">
        <v>13643</v>
      </c>
      <c r="D1013">
        <v>14963</v>
      </c>
      <c r="E1013">
        <v>12053</v>
      </c>
      <c r="F1013">
        <v>14029</v>
      </c>
      <c r="G1013">
        <v>22167</v>
      </c>
      <c r="H1013">
        <v>20334</v>
      </c>
      <c r="I1013">
        <v>19069</v>
      </c>
      <c r="J1013">
        <v>19963</v>
      </c>
      <c r="K1013">
        <v>18209</v>
      </c>
      <c r="L1013">
        <v>15522</v>
      </c>
      <c r="M1013">
        <v>93097</v>
      </c>
      <c r="N1013" s="4">
        <v>5.6146960448770402E-3</v>
      </c>
    </row>
    <row r="1014" spans="1:14" hidden="1" x14ac:dyDescent="0.25">
      <c r="A1014" t="s">
        <v>28</v>
      </c>
      <c r="B1014" t="s">
        <v>197</v>
      </c>
      <c r="C1014">
        <v>1859</v>
      </c>
      <c r="D1014">
        <v>1985</v>
      </c>
      <c r="E1014">
        <v>2839</v>
      </c>
      <c r="F1014">
        <v>2736</v>
      </c>
      <c r="G1014">
        <v>2607</v>
      </c>
      <c r="H1014">
        <v>2596</v>
      </c>
      <c r="I1014">
        <v>2148</v>
      </c>
      <c r="J1014">
        <v>1760</v>
      </c>
      <c r="K1014">
        <v>1790</v>
      </c>
      <c r="L1014">
        <v>2574</v>
      </c>
      <c r="M1014">
        <v>10868</v>
      </c>
      <c r="N1014" s="4">
        <v>6.5545094488247383E-4</v>
      </c>
    </row>
    <row r="1015" spans="1:14" hidden="1" x14ac:dyDescent="0.25">
      <c r="A1015" t="s">
        <v>28</v>
      </c>
      <c r="B1015" t="s">
        <v>97</v>
      </c>
      <c r="C1015">
        <v>1588</v>
      </c>
      <c r="D1015">
        <v>1564</v>
      </c>
      <c r="E1015">
        <v>1441</v>
      </c>
      <c r="F1015">
        <v>1323</v>
      </c>
      <c r="G1015">
        <v>1595</v>
      </c>
      <c r="H1015">
        <v>1651</v>
      </c>
      <c r="I1015">
        <v>1664</v>
      </c>
      <c r="J1015">
        <v>1724</v>
      </c>
      <c r="K1015">
        <v>1127</v>
      </c>
      <c r="L1015">
        <v>1060</v>
      </c>
      <c r="M1015">
        <v>7226</v>
      </c>
      <c r="N1015" s="4">
        <v>4.3580129993750049E-4</v>
      </c>
    </row>
    <row r="1016" spans="1:14" hidden="1" x14ac:dyDescent="0.25">
      <c r="A1016" t="s">
        <v>28</v>
      </c>
      <c r="B1016" t="s">
        <v>98</v>
      </c>
      <c r="C1016">
        <v>69291</v>
      </c>
      <c r="D1016">
        <v>59804</v>
      </c>
      <c r="E1016">
        <v>69023</v>
      </c>
      <c r="F1016">
        <v>92171</v>
      </c>
      <c r="G1016">
        <v>80868</v>
      </c>
      <c r="H1016">
        <v>99030</v>
      </c>
      <c r="I1016">
        <v>111858</v>
      </c>
      <c r="J1016">
        <v>108690</v>
      </c>
      <c r="K1016">
        <v>65890</v>
      </c>
      <c r="L1016">
        <v>102611</v>
      </c>
      <c r="M1016">
        <v>488079</v>
      </c>
      <c r="N1016" s="4">
        <v>2.9436128241377708E-2</v>
      </c>
    </row>
    <row r="1017" spans="1:14" hidden="1" x14ac:dyDescent="0.25">
      <c r="A1017" t="s">
        <v>28</v>
      </c>
      <c r="B1017" t="s">
        <v>99</v>
      </c>
      <c r="C1017">
        <v>1179</v>
      </c>
      <c r="D1017">
        <v>1656</v>
      </c>
      <c r="E1017">
        <v>1760</v>
      </c>
      <c r="F1017">
        <v>2358</v>
      </c>
      <c r="G1017">
        <v>4537</v>
      </c>
      <c r="H1017">
        <v>7100</v>
      </c>
      <c r="I1017">
        <v>7600</v>
      </c>
      <c r="J1017">
        <v>8140</v>
      </c>
      <c r="K1017">
        <v>6919</v>
      </c>
      <c r="L1017">
        <v>7000</v>
      </c>
      <c r="M1017">
        <v>36759</v>
      </c>
      <c r="N1017" s="4">
        <v>2.2169415976200642E-3</v>
      </c>
    </row>
    <row r="1018" spans="1:14" hidden="1" x14ac:dyDescent="0.25">
      <c r="A1018" t="s">
        <v>28</v>
      </c>
      <c r="B1018" t="s">
        <v>100</v>
      </c>
      <c r="C1018">
        <v>13000</v>
      </c>
      <c r="D1018">
        <v>14700</v>
      </c>
      <c r="E1018">
        <v>19000</v>
      </c>
      <c r="F1018">
        <v>23200</v>
      </c>
      <c r="G1018">
        <v>25100</v>
      </c>
      <c r="H1018">
        <v>25395</v>
      </c>
      <c r="I1018">
        <v>24488</v>
      </c>
      <c r="J1018">
        <v>32568</v>
      </c>
      <c r="K1018">
        <v>38523</v>
      </c>
      <c r="L1018">
        <v>41800</v>
      </c>
      <c r="M1018">
        <v>162774</v>
      </c>
      <c r="N1018" s="4">
        <v>9.8169278710250087E-3</v>
      </c>
    </row>
    <row r="1019" spans="1:14" hidden="1" x14ac:dyDescent="0.25">
      <c r="A1019" t="s">
        <v>28</v>
      </c>
      <c r="B1019" t="s">
        <v>119</v>
      </c>
      <c r="C1019">
        <v>7232</v>
      </c>
      <c r="D1019">
        <v>7411</v>
      </c>
      <c r="E1019">
        <v>7114</v>
      </c>
      <c r="F1019">
        <v>7699</v>
      </c>
      <c r="G1019">
        <v>6455</v>
      </c>
      <c r="H1019">
        <v>6369</v>
      </c>
      <c r="I1019">
        <v>6453</v>
      </c>
      <c r="J1019">
        <v>6312</v>
      </c>
      <c r="K1019">
        <v>7590</v>
      </c>
      <c r="L1019">
        <v>6225</v>
      </c>
      <c r="M1019">
        <v>32949</v>
      </c>
      <c r="N1019" s="4">
        <v>1.9871598438473159E-3</v>
      </c>
    </row>
    <row r="1020" spans="1:14" hidden="1" x14ac:dyDescent="0.25">
      <c r="A1020" t="s">
        <v>28</v>
      </c>
      <c r="B1020" t="s">
        <v>102</v>
      </c>
      <c r="C1020">
        <v>40006</v>
      </c>
      <c r="D1020">
        <v>42552</v>
      </c>
      <c r="E1020">
        <v>50339</v>
      </c>
      <c r="F1020">
        <v>63614</v>
      </c>
      <c r="G1020">
        <v>74737</v>
      </c>
      <c r="H1020">
        <v>85339</v>
      </c>
      <c r="I1020">
        <v>100299</v>
      </c>
      <c r="J1020">
        <v>106559</v>
      </c>
      <c r="K1020">
        <v>116964</v>
      </c>
      <c r="L1020">
        <v>114843</v>
      </c>
      <c r="M1020">
        <v>524004</v>
      </c>
      <c r="N1020" s="4">
        <v>3.1602771155888457E-2</v>
      </c>
    </row>
    <row r="1021" spans="1:14" hidden="1" x14ac:dyDescent="0.25">
      <c r="A1021" t="s">
        <v>28</v>
      </c>
      <c r="B1021" t="s">
        <v>198</v>
      </c>
      <c r="C1021">
        <v>3600</v>
      </c>
      <c r="D1021">
        <v>2100</v>
      </c>
      <c r="E1021">
        <v>200</v>
      </c>
      <c r="F1021">
        <v>300</v>
      </c>
      <c r="G1021">
        <v>200</v>
      </c>
      <c r="H1021">
        <v>503</v>
      </c>
      <c r="I1021">
        <v>472</v>
      </c>
      <c r="J1021">
        <v>395</v>
      </c>
      <c r="K1021">
        <v>150</v>
      </c>
      <c r="L1021">
        <v>292</v>
      </c>
      <c r="M1021">
        <v>1812</v>
      </c>
      <c r="N1021" s="4">
        <v>1.092820309281416E-4</v>
      </c>
    </row>
    <row r="1022" spans="1:14" hidden="1" x14ac:dyDescent="0.25">
      <c r="A1022" t="s">
        <v>28</v>
      </c>
      <c r="B1022" t="s">
        <v>148</v>
      </c>
      <c r="C1022">
        <v>336</v>
      </c>
      <c r="D1022">
        <v>413</v>
      </c>
      <c r="E1022">
        <v>284</v>
      </c>
      <c r="F1022">
        <v>258</v>
      </c>
      <c r="G1022">
        <v>205</v>
      </c>
      <c r="H1022">
        <v>283</v>
      </c>
      <c r="I1022">
        <v>239</v>
      </c>
      <c r="J1022">
        <v>181</v>
      </c>
      <c r="K1022">
        <v>189</v>
      </c>
      <c r="L1022">
        <v>162</v>
      </c>
      <c r="M1022">
        <v>1054</v>
      </c>
      <c r="N1022" s="4">
        <v>6.3566920859967565E-5</v>
      </c>
    </row>
    <row r="1023" spans="1:14" hidden="1" x14ac:dyDescent="0.25">
      <c r="A1023" t="s">
        <v>28</v>
      </c>
      <c r="B1023" t="s">
        <v>149</v>
      </c>
      <c r="E1023">
        <v>10000</v>
      </c>
      <c r="F1023">
        <v>10000</v>
      </c>
      <c r="G1023">
        <v>10000</v>
      </c>
      <c r="H1023">
        <v>10000</v>
      </c>
      <c r="I1023">
        <v>10000</v>
      </c>
      <c r="J1023">
        <v>10000</v>
      </c>
      <c r="K1023">
        <v>10000</v>
      </c>
      <c r="L1023">
        <v>10000</v>
      </c>
      <c r="M1023">
        <v>50000</v>
      </c>
      <c r="N1023" s="4">
        <v>3.015508579694856E-3</v>
      </c>
    </row>
    <row r="1024" spans="1:14" hidden="1" x14ac:dyDescent="0.25">
      <c r="A1024" t="s">
        <v>28</v>
      </c>
      <c r="B1024" t="s">
        <v>170</v>
      </c>
      <c r="C1024">
        <v>10600</v>
      </c>
      <c r="D1024">
        <v>19400</v>
      </c>
      <c r="E1024">
        <v>18000</v>
      </c>
      <c r="F1024">
        <v>17600</v>
      </c>
      <c r="G1024">
        <v>19700</v>
      </c>
      <c r="H1024">
        <v>20500</v>
      </c>
      <c r="I1024">
        <v>19000</v>
      </c>
      <c r="J1024">
        <v>21200</v>
      </c>
      <c r="K1024">
        <v>19300</v>
      </c>
      <c r="L1024">
        <v>20200</v>
      </c>
      <c r="M1024">
        <v>100200</v>
      </c>
      <c r="N1024" s="4">
        <v>6.0430791937084909E-3</v>
      </c>
    </row>
    <row r="1025" spans="1:14" hidden="1" x14ac:dyDescent="0.25">
      <c r="A1025" t="s">
        <v>28</v>
      </c>
      <c r="B1025" t="s">
        <v>171</v>
      </c>
      <c r="C1025">
        <v>6415</v>
      </c>
      <c r="D1025">
        <v>6838</v>
      </c>
      <c r="E1025">
        <v>5265</v>
      </c>
      <c r="F1025">
        <v>6893</v>
      </c>
      <c r="G1025">
        <v>6729</v>
      </c>
      <c r="H1025">
        <v>5988</v>
      </c>
      <c r="I1025">
        <v>5579</v>
      </c>
      <c r="J1025">
        <v>5207</v>
      </c>
      <c r="K1025">
        <v>3484</v>
      </c>
      <c r="L1025">
        <v>3500</v>
      </c>
      <c r="M1025">
        <v>23758</v>
      </c>
      <c r="N1025" s="4">
        <v>1.4328490567278079E-3</v>
      </c>
    </row>
    <row r="1026" spans="1:14" hidden="1" x14ac:dyDescent="0.25">
      <c r="A1026" t="s">
        <v>28</v>
      </c>
      <c r="B1026" t="s">
        <v>199</v>
      </c>
      <c r="C1026">
        <v>641</v>
      </c>
      <c r="D1026">
        <v>587</v>
      </c>
      <c r="E1026">
        <v>620</v>
      </c>
      <c r="F1026">
        <v>828</v>
      </c>
      <c r="G1026">
        <v>4704</v>
      </c>
      <c r="H1026">
        <v>6071</v>
      </c>
      <c r="I1026">
        <v>7289</v>
      </c>
      <c r="J1026">
        <v>5068</v>
      </c>
      <c r="K1026">
        <v>4396</v>
      </c>
      <c r="L1026">
        <v>7860</v>
      </c>
      <c r="M1026">
        <v>30684</v>
      </c>
      <c r="N1026" s="4">
        <v>1.8505573051871391E-3</v>
      </c>
    </row>
    <row r="1027" spans="1:14" hidden="1" x14ac:dyDescent="0.25">
      <c r="A1027" t="s">
        <v>28</v>
      </c>
      <c r="B1027" t="s">
        <v>141</v>
      </c>
      <c r="C1027">
        <v>157</v>
      </c>
      <c r="D1027">
        <v>100</v>
      </c>
      <c r="E1027">
        <v>100</v>
      </c>
      <c r="F1027">
        <v>300</v>
      </c>
      <c r="G1027">
        <v>586</v>
      </c>
      <c r="H1027">
        <v>2833</v>
      </c>
      <c r="I1027">
        <v>3000</v>
      </c>
      <c r="J1027">
        <v>2100</v>
      </c>
      <c r="K1027">
        <v>1500</v>
      </c>
      <c r="L1027">
        <v>0</v>
      </c>
      <c r="M1027">
        <v>9433</v>
      </c>
      <c r="N1027" s="4">
        <v>5.6890584864523154E-4</v>
      </c>
    </row>
    <row r="1028" spans="1:14" hidden="1" x14ac:dyDescent="0.25">
      <c r="A1028" t="s">
        <v>28</v>
      </c>
      <c r="B1028" t="s">
        <v>103</v>
      </c>
      <c r="C1028">
        <v>4625</v>
      </c>
      <c r="D1028">
        <v>3823</v>
      </c>
      <c r="E1028">
        <v>4308</v>
      </c>
      <c r="F1028">
        <v>4732</v>
      </c>
      <c r="G1028">
        <v>2249</v>
      </c>
      <c r="H1028">
        <v>2124</v>
      </c>
      <c r="I1028">
        <v>2978</v>
      </c>
      <c r="J1028">
        <v>3151</v>
      </c>
      <c r="K1028">
        <v>1716</v>
      </c>
      <c r="L1028">
        <v>1781</v>
      </c>
      <c r="M1028">
        <v>11750</v>
      </c>
      <c r="N1028" s="4">
        <v>7.0864451622829115E-4</v>
      </c>
    </row>
    <row r="1029" spans="1:14" hidden="1" x14ac:dyDescent="0.25">
      <c r="A1029" t="s">
        <v>28</v>
      </c>
      <c r="B1029" t="s">
        <v>200</v>
      </c>
      <c r="C1029">
        <v>46900</v>
      </c>
      <c r="D1029">
        <v>46000</v>
      </c>
      <c r="E1029">
        <v>45400</v>
      </c>
      <c r="F1029">
        <v>46500</v>
      </c>
      <c r="G1029">
        <v>48200</v>
      </c>
      <c r="H1029">
        <v>51500</v>
      </c>
      <c r="I1029">
        <v>61000</v>
      </c>
      <c r="J1029">
        <v>63000</v>
      </c>
      <c r="K1029">
        <v>65000</v>
      </c>
      <c r="L1029">
        <v>69400</v>
      </c>
      <c r="M1029">
        <v>309900</v>
      </c>
      <c r="N1029" s="4">
        <v>1.869012217694872E-2</v>
      </c>
    </row>
    <row r="1030" spans="1:14" hidden="1" x14ac:dyDescent="0.25">
      <c r="A1030" t="s">
        <v>28</v>
      </c>
      <c r="B1030" t="s">
        <v>172</v>
      </c>
      <c r="C1030">
        <v>7647</v>
      </c>
      <c r="D1030">
        <v>9518</v>
      </c>
      <c r="E1030">
        <v>9625</v>
      </c>
      <c r="F1030">
        <v>8802</v>
      </c>
      <c r="G1030">
        <v>7126</v>
      </c>
      <c r="H1030">
        <v>9096</v>
      </c>
      <c r="I1030">
        <v>9235</v>
      </c>
      <c r="J1030">
        <v>13554</v>
      </c>
      <c r="K1030">
        <v>14125</v>
      </c>
      <c r="L1030">
        <v>6302</v>
      </c>
      <c r="M1030">
        <v>52312</v>
      </c>
      <c r="N1030" s="4">
        <v>3.1549456964199462E-3</v>
      </c>
    </row>
    <row r="1031" spans="1:14" hidden="1" x14ac:dyDescent="0.25">
      <c r="A1031" t="s">
        <v>28</v>
      </c>
      <c r="B1031" t="s">
        <v>150</v>
      </c>
      <c r="C1031">
        <v>102802</v>
      </c>
      <c r="D1031">
        <v>119774</v>
      </c>
      <c r="E1031">
        <v>117771</v>
      </c>
      <c r="F1031">
        <v>134759</v>
      </c>
      <c r="G1031">
        <v>132413</v>
      </c>
      <c r="H1031">
        <v>126820</v>
      </c>
      <c r="I1031">
        <v>141143</v>
      </c>
      <c r="J1031">
        <v>133893</v>
      </c>
      <c r="K1031">
        <v>142787</v>
      </c>
      <c r="L1031">
        <v>124776</v>
      </c>
      <c r="M1031">
        <v>669419</v>
      </c>
      <c r="N1031" s="4">
        <v>4.0372774758215012E-2</v>
      </c>
    </row>
    <row r="1032" spans="1:14" hidden="1" x14ac:dyDescent="0.25">
      <c r="A1032" t="s">
        <v>28</v>
      </c>
      <c r="B1032" t="s">
        <v>173</v>
      </c>
      <c r="C1032">
        <v>5995</v>
      </c>
      <c r="D1032">
        <v>8904</v>
      </c>
      <c r="E1032">
        <v>19959</v>
      </c>
      <c r="F1032">
        <v>20828</v>
      </c>
      <c r="G1032">
        <v>9331</v>
      </c>
      <c r="H1032">
        <v>19849</v>
      </c>
      <c r="I1032">
        <v>20655</v>
      </c>
      <c r="J1032">
        <v>16251</v>
      </c>
      <c r="K1032">
        <v>20226</v>
      </c>
      <c r="L1032">
        <v>19100</v>
      </c>
      <c r="M1032">
        <v>96081</v>
      </c>
      <c r="N1032" s="4">
        <v>5.7946615969132293E-3</v>
      </c>
    </row>
    <row r="1033" spans="1:14" hidden="1" x14ac:dyDescent="0.25">
      <c r="A1033" t="s">
        <v>28</v>
      </c>
      <c r="B1033" t="s">
        <v>161</v>
      </c>
      <c r="C1033">
        <v>532</v>
      </c>
      <c r="D1033">
        <v>463</v>
      </c>
      <c r="E1033">
        <v>377</v>
      </c>
      <c r="F1033">
        <v>448</v>
      </c>
      <c r="G1033">
        <v>352</v>
      </c>
      <c r="H1033">
        <v>220</v>
      </c>
      <c r="I1033">
        <v>386</v>
      </c>
      <c r="J1033">
        <v>221</v>
      </c>
      <c r="K1033">
        <v>143</v>
      </c>
      <c r="L1033">
        <v>147</v>
      </c>
      <c r="M1033">
        <v>1117</v>
      </c>
      <c r="N1033" s="4">
        <v>6.736646167038308E-5</v>
      </c>
    </row>
    <row r="1034" spans="1:14" hidden="1" x14ac:dyDescent="0.25">
      <c r="A1034" t="s">
        <v>28</v>
      </c>
      <c r="B1034" t="s">
        <v>105</v>
      </c>
      <c r="C1034">
        <v>178</v>
      </c>
      <c r="D1034">
        <v>91</v>
      </c>
      <c r="E1034">
        <v>197</v>
      </c>
      <c r="F1034">
        <v>242</v>
      </c>
      <c r="G1034">
        <v>201</v>
      </c>
      <c r="H1034">
        <v>166</v>
      </c>
      <c r="I1034">
        <v>507</v>
      </c>
      <c r="J1034">
        <v>430</v>
      </c>
      <c r="K1034">
        <v>488</v>
      </c>
      <c r="L1034">
        <v>764</v>
      </c>
      <c r="M1034">
        <v>2355</v>
      </c>
      <c r="N1034" s="4">
        <v>1.4203045410362769E-4</v>
      </c>
    </row>
    <row r="1035" spans="1:14" hidden="1" x14ac:dyDescent="0.25">
      <c r="A1035" t="s">
        <v>28</v>
      </c>
      <c r="B1035" t="s">
        <v>174</v>
      </c>
      <c r="C1035">
        <v>787</v>
      </c>
      <c r="D1035">
        <v>893</v>
      </c>
      <c r="E1035">
        <v>1312</v>
      </c>
      <c r="F1035">
        <v>1692</v>
      </c>
      <c r="G1035">
        <v>1446</v>
      </c>
      <c r="H1035">
        <v>1446</v>
      </c>
      <c r="I1035">
        <v>1620</v>
      </c>
      <c r="J1035">
        <v>229</v>
      </c>
      <c r="K1035">
        <v>716</v>
      </c>
      <c r="L1035">
        <v>846</v>
      </c>
      <c r="M1035">
        <v>4857</v>
      </c>
      <c r="N1035" s="4">
        <v>2.9292650343155832E-4</v>
      </c>
    </row>
    <row r="1036" spans="1:14" hidden="1" x14ac:dyDescent="0.25">
      <c r="A1036" t="s">
        <v>28</v>
      </c>
      <c r="B1036" t="s">
        <v>175</v>
      </c>
      <c r="C1036">
        <v>2329</v>
      </c>
      <c r="D1036">
        <v>2038</v>
      </c>
      <c r="E1036">
        <v>4553</v>
      </c>
      <c r="F1036">
        <v>6285</v>
      </c>
      <c r="G1036">
        <v>6756</v>
      </c>
      <c r="H1036">
        <v>7469</v>
      </c>
      <c r="I1036">
        <v>6632</v>
      </c>
      <c r="J1036">
        <v>6526</v>
      </c>
      <c r="K1036">
        <v>6254</v>
      </c>
      <c r="L1036">
        <v>7103</v>
      </c>
      <c r="M1036">
        <v>33984</v>
      </c>
      <c r="N1036" s="4">
        <v>2.0495808714470001E-3</v>
      </c>
    </row>
    <row r="1037" spans="1:14" hidden="1" x14ac:dyDescent="0.25">
      <c r="A1037" t="s">
        <v>28</v>
      </c>
      <c r="B1037" t="s">
        <v>131</v>
      </c>
      <c r="C1037">
        <v>10049</v>
      </c>
      <c r="D1037">
        <v>12468</v>
      </c>
      <c r="E1037">
        <v>11989</v>
      </c>
      <c r="F1037">
        <v>12687</v>
      </c>
      <c r="G1037">
        <v>9866</v>
      </c>
      <c r="H1037">
        <v>10288</v>
      </c>
      <c r="I1037">
        <v>10045</v>
      </c>
      <c r="J1037">
        <v>8217</v>
      </c>
      <c r="K1037">
        <v>5860</v>
      </c>
      <c r="L1037">
        <v>5815</v>
      </c>
      <c r="M1037">
        <v>40225</v>
      </c>
      <c r="N1037" s="4">
        <v>2.4259766523645121E-3</v>
      </c>
    </row>
    <row r="1038" spans="1:14" hidden="1" x14ac:dyDescent="0.25">
      <c r="A1038" t="s">
        <v>28</v>
      </c>
      <c r="B1038" t="s">
        <v>201</v>
      </c>
      <c r="C1038">
        <v>6981</v>
      </c>
      <c r="D1038">
        <v>8611</v>
      </c>
      <c r="E1038">
        <v>8237</v>
      </c>
      <c r="F1038">
        <v>7612</v>
      </c>
      <c r="G1038">
        <v>8391</v>
      </c>
      <c r="H1038">
        <v>7367</v>
      </c>
      <c r="I1038">
        <v>7703</v>
      </c>
      <c r="J1038">
        <v>9190</v>
      </c>
      <c r="K1038">
        <v>7935</v>
      </c>
      <c r="L1038">
        <v>10840</v>
      </c>
      <c r="M1038">
        <v>43035</v>
      </c>
      <c r="N1038" s="4">
        <v>2.5954482345433619E-3</v>
      </c>
    </row>
    <row r="1039" spans="1:14" hidden="1" x14ac:dyDescent="0.25">
      <c r="A1039" t="s">
        <v>28</v>
      </c>
      <c r="B1039" t="s">
        <v>202</v>
      </c>
      <c r="C1039">
        <v>1677</v>
      </c>
      <c r="D1039">
        <v>1041</v>
      </c>
      <c r="E1039">
        <v>732</v>
      </c>
      <c r="F1039">
        <v>1220</v>
      </c>
      <c r="G1039">
        <v>999</v>
      </c>
      <c r="H1039">
        <v>914</v>
      </c>
      <c r="I1039">
        <v>6207</v>
      </c>
      <c r="J1039">
        <v>5224</v>
      </c>
      <c r="K1039">
        <v>2361</v>
      </c>
      <c r="L1039">
        <v>4010</v>
      </c>
      <c r="M1039">
        <v>18716</v>
      </c>
      <c r="N1039" s="4">
        <v>1.128765171551378E-3</v>
      </c>
    </row>
    <row r="1040" spans="1:14" hidden="1" x14ac:dyDescent="0.25">
      <c r="A1040" t="s">
        <v>28</v>
      </c>
      <c r="B1040" t="s">
        <v>203</v>
      </c>
      <c r="C1040">
        <v>4303</v>
      </c>
      <c r="D1040">
        <v>6261</v>
      </c>
      <c r="E1040">
        <v>6300</v>
      </c>
      <c r="F1040">
        <v>15000</v>
      </c>
      <c r="G1040">
        <v>21000</v>
      </c>
      <c r="H1040">
        <v>19000</v>
      </c>
      <c r="I1040">
        <v>18000</v>
      </c>
      <c r="J1040">
        <v>9000</v>
      </c>
      <c r="K1040">
        <v>5000</v>
      </c>
      <c r="L1040">
        <v>3000</v>
      </c>
      <c r="M1040">
        <v>54000</v>
      </c>
      <c r="N1040" s="4">
        <v>3.2567492660704449E-3</v>
      </c>
    </row>
    <row r="1041" spans="1:14" hidden="1" x14ac:dyDescent="0.25">
      <c r="A1041" t="s">
        <v>28</v>
      </c>
      <c r="B1041" t="s">
        <v>176</v>
      </c>
      <c r="C1041">
        <v>0</v>
      </c>
      <c r="D1041">
        <v>490</v>
      </c>
      <c r="E1041">
        <v>480</v>
      </c>
      <c r="F1041">
        <v>494</v>
      </c>
      <c r="G1041">
        <v>664</v>
      </c>
      <c r="H1041">
        <v>972</v>
      </c>
      <c r="I1041">
        <v>767</v>
      </c>
      <c r="J1041">
        <v>593</v>
      </c>
      <c r="K1041">
        <v>448</v>
      </c>
      <c r="L1041">
        <v>500</v>
      </c>
      <c r="M1041">
        <v>3280</v>
      </c>
      <c r="N1041" s="4">
        <v>1.9781736282798251E-4</v>
      </c>
    </row>
    <row r="1042" spans="1:14" hidden="1" x14ac:dyDescent="0.25">
      <c r="A1042" t="s">
        <v>28</v>
      </c>
      <c r="B1042" t="s">
        <v>133</v>
      </c>
      <c r="H1042">
        <v>3</v>
      </c>
      <c r="I1042">
        <v>0</v>
      </c>
      <c r="J1042">
        <v>0</v>
      </c>
      <c r="K1042">
        <v>0</v>
      </c>
      <c r="L1042">
        <v>0</v>
      </c>
      <c r="M1042">
        <v>3</v>
      </c>
      <c r="N1042" s="4">
        <v>1.809305147816913E-7</v>
      </c>
    </row>
    <row r="1043" spans="1:14" hidden="1" x14ac:dyDescent="0.25">
      <c r="A1043" t="s">
        <v>28</v>
      </c>
      <c r="B1043" t="s">
        <v>177</v>
      </c>
      <c r="C1043">
        <v>2208</v>
      </c>
      <c r="D1043">
        <v>1120</v>
      </c>
      <c r="E1043">
        <v>100</v>
      </c>
      <c r="F1043">
        <v>100</v>
      </c>
      <c r="G1043">
        <v>100</v>
      </c>
      <c r="H1043">
        <v>100</v>
      </c>
      <c r="I1043">
        <v>100</v>
      </c>
      <c r="J1043">
        <v>1969</v>
      </c>
      <c r="K1043">
        <v>2733</v>
      </c>
      <c r="L1043">
        <v>4505</v>
      </c>
      <c r="M1043">
        <v>9407</v>
      </c>
      <c r="N1043" s="4">
        <v>5.6733778418379018E-4</v>
      </c>
    </row>
    <row r="1044" spans="1:14" hidden="1" x14ac:dyDescent="0.25">
      <c r="A1044" t="s">
        <v>28</v>
      </c>
      <c r="B1044" t="s">
        <v>155</v>
      </c>
      <c r="C1044">
        <v>57021</v>
      </c>
      <c r="D1044">
        <v>61878</v>
      </c>
      <c r="E1044">
        <v>56148</v>
      </c>
      <c r="F1044">
        <v>57640</v>
      </c>
      <c r="G1044">
        <v>61952</v>
      </c>
      <c r="H1044">
        <v>65246</v>
      </c>
      <c r="I1044">
        <v>67562</v>
      </c>
      <c r="J1044">
        <v>74386</v>
      </c>
      <c r="K1044">
        <v>52500</v>
      </c>
      <c r="L1044">
        <v>39500</v>
      </c>
      <c r="M1044">
        <v>299194</v>
      </c>
      <c r="N1044" s="4">
        <v>1.8044441479864459E-2</v>
      </c>
    </row>
    <row r="1045" spans="1:14" hidden="1" x14ac:dyDescent="0.25">
      <c r="A1045" t="s">
        <v>28</v>
      </c>
      <c r="B1045" t="s">
        <v>146</v>
      </c>
      <c r="C1045">
        <v>161545</v>
      </c>
      <c r="D1045">
        <v>151486</v>
      </c>
      <c r="E1045">
        <v>140090</v>
      </c>
      <c r="F1045">
        <v>146823</v>
      </c>
      <c r="G1045">
        <v>153006</v>
      </c>
      <c r="H1045">
        <v>151964</v>
      </c>
      <c r="I1045">
        <v>140211</v>
      </c>
      <c r="J1045">
        <v>128413</v>
      </c>
      <c r="K1045">
        <v>88053</v>
      </c>
      <c r="L1045">
        <v>96586</v>
      </c>
      <c r="M1045">
        <v>605227</v>
      </c>
      <c r="N1045" s="4">
        <v>3.6501344223259569E-2</v>
      </c>
    </row>
    <row r="1046" spans="1:14" hidden="1" x14ac:dyDescent="0.25">
      <c r="A1046" t="s">
        <v>28</v>
      </c>
      <c r="B1046" t="s">
        <v>156</v>
      </c>
      <c r="C1046">
        <v>15762</v>
      </c>
      <c r="D1046">
        <v>17248</v>
      </c>
      <c r="E1046">
        <v>18423</v>
      </c>
      <c r="F1046">
        <v>21314</v>
      </c>
      <c r="G1046">
        <v>23053</v>
      </c>
      <c r="H1046">
        <v>22749</v>
      </c>
      <c r="I1046">
        <v>20765</v>
      </c>
      <c r="J1046">
        <v>20646</v>
      </c>
      <c r="K1046">
        <v>17564</v>
      </c>
      <c r="L1046">
        <v>25333</v>
      </c>
      <c r="M1046">
        <v>107057</v>
      </c>
      <c r="N1046" s="4">
        <v>6.4566260403278444E-3</v>
      </c>
    </row>
    <row r="1047" spans="1:14" hidden="1" x14ac:dyDescent="0.25">
      <c r="A1047" t="s">
        <v>28</v>
      </c>
      <c r="B1047" t="s">
        <v>151</v>
      </c>
      <c r="C1047">
        <v>469</v>
      </c>
      <c r="D1047">
        <v>431</v>
      </c>
      <c r="E1047">
        <v>226</v>
      </c>
      <c r="F1047">
        <v>431</v>
      </c>
      <c r="G1047">
        <v>402</v>
      </c>
      <c r="H1047">
        <v>572</v>
      </c>
      <c r="I1047">
        <v>523</v>
      </c>
      <c r="J1047">
        <v>674</v>
      </c>
      <c r="K1047">
        <v>878</v>
      </c>
      <c r="L1047">
        <v>768</v>
      </c>
      <c r="M1047">
        <v>3415</v>
      </c>
      <c r="N1047" s="4">
        <v>2.0595923599315869E-4</v>
      </c>
    </row>
    <row r="1048" spans="1:14" hidden="1" x14ac:dyDescent="0.25">
      <c r="A1048" t="s">
        <v>28</v>
      </c>
      <c r="B1048" t="s">
        <v>120</v>
      </c>
      <c r="C1048">
        <v>500</v>
      </c>
      <c r="D1048">
        <v>500</v>
      </c>
      <c r="E1048">
        <v>500</v>
      </c>
      <c r="F1048">
        <v>500</v>
      </c>
      <c r="G1048">
        <v>500</v>
      </c>
      <c r="H1048">
        <v>961</v>
      </c>
      <c r="I1048">
        <v>500</v>
      </c>
      <c r="J1048">
        <v>500</v>
      </c>
      <c r="K1048">
        <v>500</v>
      </c>
      <c r="L1048">
        <v>500</v>
      </c>
      <c r="M1048">
        <v>2961</v>
      </c>
      <c r="N1048" s="4">
        <v>1.785784180895294E-4</v>
      </c>
    </row>
    <row r="1049" spans="1:14" hidden="1" x14ac:dyDescent="0.25">
      <c r="A1049" t="s">
        <v>28</v>
      </c>
      <c r="B1049" t="s">
        <v>107</v>
      </c>
      <c r="C1049">
        <v>200345</v>
      </c>
      <c r="D1049">
        <v>214700</v>
      </c>
      <c r="E1049">
        <v>249100</v>
      </c>
      <c r="F1049">
        <v>256500</v>
      </c>
      <c r="G1049">
        <v>253200</v>
      </c>
      <c r="H1049">
        <v>270300</v>
      </c>
      <c r="I1049">
        <v>279900</v>
      </c>
      <c r="J1049">
        <v>305100</v>
      </c>
      <c r="K1049">
        <v>308600</v>
      </c>
      <c r="L1049">
        <v>313830</v>
      </c>
      <c r="M1049">
        <v>1477730</v>
      </c>
      <c r="N1049" s="4">
        <v>8.9122149869449593E-2</v>
      </c>
    </row>
    <row r="1050" spans="1:14" hidden="1" x14ac:dyDescent="0.25">
      <c r="A1050" t="s">
        <v>28</v>
      </c>
      <c r="B1050" t="s">
        <v>204</v>
      </c>
      <c r="C1050">
        <v>0</v>
      </c>
      <c r="D1050">
        <v>0</v>
      </c>
      <c r="E1050">
        <v>319</v>
      </c>
      <c r="F1050">
        <v>2000</v>
      </c>
      <c r="G1050">
        <v>4900</v>
      </c>
      <c r="H1050">
        <v>8800</v>
      </c>
      <c r="I1050">
        <v>18100</v>
      </c>
      <c r="J1050">
        <v>11400</v>
      </c>
      <c r="K1050">
        <v>11532</v>
      </c>
      <c r="L1050">
        <v>6500</v>
      </c>
      <c r="M1050">
        <v>56332</v>
      </c>
      <c r="N1050" s="4">
        <v>3.397392586227412E-3</v>
      </c>
    </row>
    <row r="1051" spans="1:14" hidden="1" x14ac:dyDescent="0.25">
      <c r="A1051" t="s">
        <v>28</v>
      </c>
      <c r="B1051" t="s">
        <v>108</v>
      </c>
      <c r="C1051">
        <v>4285</v>
      </c>
      <c r="D1051">
        <v>4158</v>
      </c>
      <c r="E1051">
        <v>4789</v>
      </c>
      <c r="F1051">
        <v>5089</v>
      </c>
      <c r="G1051">
        <v>7010</v>
      </c>
      <c r="H1051">
        <v>10333</v>
      </c>
      <c r="I1051">
        <v>11831</v>
      </c>
      <c r="J1051">
        <v>12258</v>
      </c>
      <c r="K1051">
        <v>12715</v>
      </c>
      <c r="L1051">
        <v>9639</v>
      </c>
      <c r="M1051">
        <v>56776</v>
      </c>
      <c r="N1051" s="4">
        <v>3.4241703024151032E-3</v>
      </c>
    </row>
    <row r="1052" spans="1:14" hidden="1" x14ac:dyDescent="0.25">
      <c r="A1052" t="s">
        <v>28</v>
      </c>
      <c r="B1052" t="s">
        <v>205</v>
      </c>
      <c r="C1052">
        <v>6666</v>
      </c>
      <c r="D1052">
        <v>6445</v>
      </c>
      <c r="E1052">
        <v>6588</v>
      </c>
      <c r="F1052">
        <v>7800</v>
      </c>
      <c r="G1052">
        <v>9700</v>
      </c>
      <c r="H1052">
        <v>11700</v>
      </c>
      <c r="I1052">
        <v>14900</v>
      </c>
      <c r="J1052">
        <v>16100</v>
      </c>
      <c r="K1052">
        <v>14600</v>
      </c>
      <c r="L1052">
        <v>18800</v>
      </c>
      <c r="M1052">
        <v>76100</v>
      </c>
      <c r="N1052" s="4">
        <v>4.5896040582955704E-3</v>
      </c>
    </row>
    <row r="1053" spans="1:14" hidden="1" x14ac:dyDescent="0.25">
      <c r="A1053" t="s">
        <v>28</v>
      </c>
      <c r="B1053" t="s">
        <v>179</v>
      </c>
      <c r="C1053">
        <v>900</v>
      </c>
      <c r="D1053">
        <v>1154</v>
      </c>
      <c r="E1053">
        <v>1310</v>
      </c>
      <c r="F1053">
        <v>1186</v>
      </c>
      <c r="G1053">
        <v>805</v>
      </c>
      <c r="H1053">
        <v>1199</v>
      </c>
      <c r="I1053">
        <v>839</v>
      </c>
      <c r="J1053">
        <v>1452</v>
      </c>
      <c r="K1053">
        <v>1550</v>
      </c>
      <c r="L1053">
        <v>4796</v>
      </c>
      <c r="M1053">
        <v>9836</v>
      </c>
      <c r="N1053" s="4">
        <v>5.9321084779757199E-4</v>
      </c>
    </row>
    <row r="1054" spans="1:14" hidden="1" x14ac:dyDescent="0.25">
      <c r="A1054" t="s">
        <v>28</v>
      </c>
      <c r="B1054" t="s">
        <v>109</v>
      </c>
      <c r="C1054">
        <v>141</v>
      </c>
      <c r="D1054">
        <v>96</v>
      </c>
      <c r="E1054">
        <v>43</v>
      </c>
      <c r="F1054">
        <v>106</v>
      </c>
      <c r="G1054">
        <v>188</v>
      </c>
      <c r="H1054">
        <v>142</v>
      </c>
      <c r="I1054">
        <v>464</v>
      </c>
      <c r="J1054">
        <v>75</v>
      </c>
      <c r="K1054">
        <v>14</v>
      </c>
      <c r="L1054">
        <v>117</v>
      </c>
      <c r="M1054">
        <v>812</v>
      </c>
      <c r="N1054" s="4">
        <v>4.8971859334244458E-5</v>
      </c>
    </row>
    <row r="1055" spans="1:14" hidden="1" x14ac:dyDescent="0.25">
      <c r="A1055" t="s">
        <v>28</v>
      </c>
      <c r="B1055" t="s">
        <v>135</v>
      </c>
      <c r="C1055">
        <v>546</v>
      </c>
      <c r="D1055">
        <v>533</v>
      </c>
      <c r="E1055">
        <v>582</v>
      </c>
      <c r="F1055">
        <v>603</v>
      </c>
      <c r="G1055">
        <v>466</v>
      </c>
      <c r="H1055">
        <v>447</v>
      </c>
      <c r="I1055">
        <v>515</v>
      </c>
      <c r="J1055">
        <v>346</v>
      </c>
      <c r="K1055">
        <v>336</v>
      </c>
      <c r="L1055">
        <v>392</v>
      </c>
      <c r="M1055">
        <v>2036</v>
      </c>
      <c r="N1055" s="4">
        <v>1.2279150936517449E-4</v>
      </c>
    </row>
    <row r="1056" spans="1:14" hidden="1" x14ac:dyDescent="0.25">
      <c r="A1056" t="s">
        <v>28</v>
      </c>
      <c r="B1056" t="s">
        <v>137</v>
      </c>
      <c r="C1056">
        <v>154180</v>
      </c>
      <c r="D1056">
        <v>159724</v>
      </c>
      <c r="E1056">
        <v>151622</v>
      </c>
      <c r="F1056">
        <v>144515</v>
      </c>
      <c r="G1056">
        <v>142077</v>
      </c>
      <c r="H1056">
        <v>136833</v>
      </c>
      <c r="I1056">
        <v>117150</v>
      </c>
      <c r="J1056">
        <v>105185</v>
      </c>
      <c r="K1056">
        <v>95786</v>
      </c>
      <c r="L1056">
        <v>105019</v>
      </c>
      <c r="M1056">
        <v>559973</v>
      </c>
      <c r="N1056" s="4">
        <v>3.3772067717949349E-2</v>
      </c>
    </row>
    <row r="1057" spans="1:14" hidden="1" x14ac:dyDescent="0.25">
      <c r="A1057" t="s">
        <v>28</v>
      </c>
      <c r="B1057" t="s">
        <v>206</v>
      </c>
      <c r="D1057">
        <v>200</v>
      </c>
      <c r="E1057">
        <v>200</v>
      </c>
      <c r="F1057">
        <v>200</v>
      </c>
      <c r="G1057">
        <v>200</v>
      </c>
      <c r="H1057">
        <v>200</v>
      </c>
      <c r="I1057">
        <v>200</v>
      </c>
      <c r="J1057">
        <v>200</v>
      </c>
      <c r="K1057">
        <v>200</v>
      </c>
      <c r="L1057">
        <v>200</v>
      </c>
      <c r="M1057">
        <v>1000</v>
      </c>
      <c r="N1057" s="4">
        <v>6.0310171593897122E-5</v>
      </c>
    </row>
    <row r="1058" spans="1:14" hidden="1" x14ac:dyDescent="0.25">
      <c r="A1058" t="s">
        <v>28</v>
      </c>
      <c r="B1058" t="s">
        <v>121</v>
      </c>
      <c r="C1058">
        <v>1529</v>
      </c>
      <c r="D1058">
        <v>2052</v>
      </c>
      <c r="E1058">
        <v>1958</v>
      </c>
      <c r="F1058">
        <v>2128</v>
      </c>
      <c r="G1058">
        <v>1291</v>
      </c>
      <c r="H1058">
        <v>1605</v>
      </c>
      <c r="I1058">
        <v>1991</v>
      </c>
      <c r="J1058">
        <v>1913</v>
      </c>
      <c r="K1058">
        <v>1602</v>
      </c>
      <c r="L1058">
        <v>1400</v>
      </c>
      <c r="M1058">
        <v>8511</v>
      </c>
      <c r="N1058" s="4">
        <v>5.1329987043565839E-4</v>
      </c>
    </row>
    <row r="1059" spans="1:14" hidden="1" x14ac:dyDescent="0.25">
      <c r="A1059" t="s">
        <v>28</v>
      </c>
      <c r="B1059" t="s">
        <v>157</v>
      </c>
      <c r="C1059">
        <v>44500</v>
      </c>
      <c r="D1059">
        <v>70000</v>
      </c>
      <c r="E1059">
        <v>73300</v>
      </c>
      <c r="F1059">
        <v>82400</v>
      </c>
      <c r="G1059">
        <v>93400</v>
      </c>
      <c r="H1059">
        <v>107300</v>
      </c>
      <c r="I1059">
        <v>93600</v>
      </c>
      <c r="J1059">
        <v>55400</v>
      </c>
      <c r="K1059">
        <v>35700</v>
      </c>
      <c r="L1059">
        <v>49700</v>
      </c>
      <c r="M1059">
        <v>341700</v>
      </c>
      <c r="N1059" s="4">
        <v>2.060798563363464E-2</v>
      </c>
    </row>
    <row r="1060" spans="1:14" hidden="1" x14ac:dyDescent="0.25">
      <c r="A1060" t="s">
        <v>28</v>
      </c>
      <c r="B1060" t="s">
        <v>207</v>
      </c>
      <c r="C1060">
        <v>12507</v>
      </c>
      <c r="D1060">
        <v>11001</v>
      </c>
      <c r="E1060">
        <v>10641</v>
      </c>
      <c r="F1060">
        <v>9396</v>
      </c>
      <c r="G1060">
        <v>12926</v>
      </c>
      <c r="H1060">
        <v>25844</v>
      </c>
      <c r="I1060">
        <v>26002</v>
      </c>
      <c r="J1060">
        <v>24516</v>
      </c>
      <c r="K1060">
        <v>21959</v>
      </c>
      <c r="L1060">
        <v>19439</v>
      </c>
      <c r="M1060">
        <v>117760</v>
      </c>
      <c r="N1060" s="4">
        <v>7.1021258068973249E-3</v>
      </c>
    </row>
    <row r="1061" spans="1:14" hidden="1" x14ac:dyDescent="0.25">
      <c r="A1061" t="s">
        <v>28</v>
      </c>
      <c r="B1061" t="s">
        <v>138</v>
      </c>
      <c r="C1061">
        <v>6015</v>
      </c>
      <c r="D1061">
        <v>6530</v>
      </c>
      <c r="E1061">
        <v>6849</v>
      </c>
      <c r="F1061">
        <v>6028</v>
      </c>
      <c r="G1061">
        <v>6463</v>
      </c>
      <c r="H1061">
        <v>7858</v>
      </c>
      <c r="I1061">
        <v>7866</v>
      </c>
      <c r="J1061">
        <v>7972</v>
      </c>
      <c r="K1061">
        <v>8249</v>
      </c>
      <c r="L1061">
        <v>8805</v>
      </c>
      <c r="M1061">
        <v>40750</v>
      </c>
      <c r="N1061" s="4">
        <v>2.4576394924513069E-3</v>
      </c>
    </row>
    <row r="1062" spans="1:14" hidden="1" x14ac:dyDescent="0.25">
      <c r="A1062" t="s">
        <v>28</v>
      </c>
      <c r="B1062" t="s">
        <v>208</v>
      </c>
      <c r="D1062">
        <v>4</v>
      </c>
      <c r="E1062">
        <v>5</v>
      </c>
      <c r="F1062">
        <v>2</v>
      </c>
      <c r="G1062">
        <v>0</v>
      </c>
      <c r="H1062">
        <v>4</v>
      </c>
      <c r="I1062">
        <v>4</v>
      </c>
      <c r="J1062">
        <v>6</v>
      </c>
      <c r="K1062">
        <v>3</v>
      </c>
      <c r="L1062">
        <v>1</v>
      </c>
      <c r="M1062">
        <v>18</v>
      </c>
      <c r="N1062" s="4">
        <v>1.0855830886901479E-6</v>
      </c>
    </row>
    <row r="1063" spans="1:14" hidden="1" x14ac:dyDescent="0.25">
      <c r="A1063" t="s">
        <v>28</v>
      </c>
      <c r="B1063" t="s">
        <v>139</v>
      </c>
      <c r="C1063">
        <v>2400</v>
      </c>
      <c r="D1063">
        <v>2670</v>
      </c>
      <c r="E1063">
        <v>3436</v>
      </c>
      <c r="F1063">
        <v>4400</v>
      </c>
      <c r="G1063">
        <v>5000</v>
      </c>
      <c r="H1063">
        <v>5500</v>
      </c>
      <c r="I1063">
        <v>6432</v>
      </c>
      <c r="J1063">
        <v>8100</v>
      </c>
      <c r="K1063">
        <v>8764</v>
      </c>
      <c r="L1063">
        <v>8400</v>
      </c>
      <c r="M1063">
        <v>37196</v>
      </c>
      <c r="N1063" s="4">
        <v>2.2432971426065971E-3</v>
      </c>
    </row>
    <row r="1064" spans="1:14" hidden="1" x14ac:dyDescent="0.25">
      <c r="A1064" t="s">
        <v>28</v>
      </c>
      <c r="B1064" t="s">
        <v>111</v>
      </c>
      <c r="C1064">
        <v>39012</v>
      </c>
      <c r="D1064">
        <v>42534</v>
      </c>
      <c r="E1064">
        <v>40481</v>
      </c>
      <c r="F1064">
        <v>43293</v>
      </c>
      <c r="G1064">
        <v>45155</v>
      </c>
      <c r="H1064">
        <v>43489</v>
      </c>
      <c r="I1064">
        <v>39304</v>
      </c>
      <c r="J1064">
        <v>48408</v>
      </c>
      <c r="K1064">
        <v>55508</v>
      </c>
      <c r="L1064">
        <v>59638</v>
      </c>
      <c r="M1064">
        <v>246347</v>
      </c>
      <c r="N1064" s="4">
        <v>1.485722984164177E-2</v>
      </c>
    </row>
    <row r="1065" spans="1:14" hidden="1" x14ac:dyDescent="0.25">
      <c r="A1065" t="s">
        <v>28</v>
      </c>
      <c r="B1065" t="s">
        <v>209</v>
      </c>
      <c r="C1065">
        <v>18551</v>
      </c>
      <c r="D1065">
        <v>21086</v>
      </c>
      <c r="E1065">
        <v>20583</v>
      </c>
      <c r="F1065">
        <v>15568</v>
      </c>
      <c r="G1065">
        <v>14000</v>
      </c>
      <c r="H1065">
        <v>20000</v>
      </c>
      <c r="I1065">
        <v>10000</v>
      </c>
      <c r="J1065">
        <v>10000</v>
      </c>
      <c r="K1065">
        <v>10000</v>
      </c>
      <c r="L1065">
        <v>10000</v>
      </c>
      <c r="M1065">
        <v>60000</v>
      </c>
      <c r="N1065" s="4">
        <v>3.6186102956338268E-3</v>
      </c>
    </row>
    <row r="1066" spans="1:14" hidden="1" x14ac:dyDescent="0.25">
      <c r="A1066" t="s">
        <v>28</v>
      </c>
      <c r="B1066" t="s">
        <v>112</v>
      </c>
      <c r="C1066">
        <v>29390</v>
      </c>
      <c r="D1066">
        <v>33980</v>
      </c>
      <c r="E1066">
        <v>31260</v>
      </c>
      <c r="F1066">
        <v>27800</v>
      </c>
      <c r="G1066">
        <v>24030</v>
      </c>
      <c r="H1066">
        <v>23090</v>
      </c>
      <c r="I1066">
        <v>28000</v>
      </c>
      <c r="J1066">
        <v>38000</v>
      </c>
      <c r="K1066">
        <v>42100</v>
      </c>
      <c r="L1066">
        <v>39290</v>
      </c>
      <c r="M1066">
        <v>170480</v>
      </c>
      <c r="N1066" s="4">
        <v>1.0281678053327579E-2</v>
      </c>
    </row>
    <row r="1067" spans="1:14" hidden="1" x14ac:dyDescent="0.25">
      <c r="A1067" t="s">
        <v>28</v>
      </c>
      <c r="B1067" t="s">
        <v>113</v>
      </c>
      <c r="C1067">
        <v>234623</v>
      </c>
      <c r="D1067">
        <v>229703</v>
      </c>
      <c r="E1067">
        <v>210077</v>
      </c>
      <c r="F1067">
        <v>213826</v>
      </c>
      <c r="G1067">
        <v>232230</v>
      </c>
      <c r="H1067">
        <v>236986</v>
      </c>
      <c r="I1067">
        <v>225528</v>
      </c>
      <c r="J1067">
        <v>200370</v>
      </c>
      <c r="K1067">
        <v>193000</v>
      </c>
      <c r="L1067">
        <v>187000</v>
      </c>
      <c r="M1067">
        <v>1042884</v>
      </c>
      <c r="N1067" s="4">
        <v>6.2896512992529796E-2</v>
      </c>
    </row>
    <row r="1068" spans="1:14" hidden="1" x14ac:dyDescent="0.25">
      <c r="A1068" t="s">
        <v>28</v>
      </c>
      <c r="B1068" t="s">
        <v>142</v>
      </c>
      <c r="D1068">
        <v>5</v>
      </c>
      <c r="E1068">
        <v>24</v>
      </c>
      <c r="F1068">
        <v>13</v>
      </c>
      <c r="G1068">
        <v>11</v>
      </c>
      <c r="H1068">
        <v>4</v>
      </c>
      <c r="I1068">
        <v>12</v>
      </c>
      <c r="J1068">
        <v>10</v>
      </c>
      <c r="K1068">
        <v>7</v>
      </c>
      <c r="L1068">
        <v>7</v>
      </c>
      <c r="M1068">
        <v>40</v>
      </c>
      <c r="N1068" s="4">
        <v>2.412406863755885E-6</v>
      </c>
    </row>
    <row r="1069" spans="1:14" hidden="1" x14ac:dyDescent="0.25">
      <c r="A1069" t="s">
        <v>28</v>
      </c>
      <c r="B1069" t="s">
        <v>140</v>
      </c>
      <c r="C1069">
        <v>102</v>
      </c>
      <c r="D1069">
        <v>42</v>
      </c>
      <c r="E1069">
        <v>0</v>
      </c>
      <c r="F1069">
        <v>0</v>
      </c>
      <c r="G1069">
        <v>6</v>
      </c>
      <c r="H1069">
        <v>0</v>
      </c>
      <c r="I1069">
        <v>0</v>
      </c>
      <c r="J1069">
        <v>50</v>
      </c>
      <c r="K1069">
        <v>28</v>
      </c>
      <c r="L1069">
        <v>79</v>
      </c>
      <c r="M1069">
        <v>157</v>
      </c>
      <c r="N1069" s="4">
        <v>9.4686969402418474E-6</v>
      </c>
    </row>
    <row r="1070" spans="1:14" hidden="1" x14ac:dyDescent="0.25">
      <c r="A1070" t="s">
        <v>28</v>
      </c>
      <c r="B1070" t="s">
        <v>210</v>
      </c>
      <c r="C1070">
        <v>1881</v>
      </c>
      <c r="D1070">
        <v>2092</v>
      </c>
      <c r="E1070">
        <v>1715</v>
      </c>
      <c r="F1070">
        <v>1480</v>
      </c>
      <c r="G1070">
        <v>993</v>
      </c>
      <c r="H1070">
        <v>1062</v>
      </c>
      <c r="I1070">
        <v>465</v>
      </c>
      <c r="J1070">
        <v>0</v>
      </c>
      <c r="K1070">
        <v>0</v>
      </c>
      <c r="L1070">
        <v>0</v>
      </c>
      <c r="M1070">
        <v>1527</v>
      </c>
      <c r="N1070" s="4">
        <v>9.2093632023880904E-5</v>
      </c>
    </row>
    <row r="1071" spans="1:14" hidden="1" x14ac:dyDescent="0.25">
      <c r="A1071" t="s">
        <v>28</v>
      </c>
      <c r="B1071" t="s">
        <v>180</v>
      </c>
      <c r="C1071">
        <v>90000</v>
      </c>
      <c r="D1071">
        <v>90000</v>
      </c>
      <c r="E1071">
        <v>100000</v>
      </c>
      <c r="F1071">
        <v>88000</v>
      </c>
      <c r="G1071">
        <v>89000</v>
      </c>
      <c r="H1071">
        <v>89900</v>
      </c>
      <c r="I1071">
        <v>92716</v>
      </c>
      <c r="J1071">
        <v>93000</v>
      </c>
      <c r="K1071">
        <v>100000</v>
      </c>
      <c r="L1071">
        <v>105000</v>
      </c>
      <c r="M1071">
        <v>480616</v>
      </c>
      <c r="N1071" s="4">
        <v>2.8986033430772461E-2</v>
      </c>
    </row>
    <row r="1072" spans="1:14" hidden="1" x14ac:dyDescent="0.25">
      <c r="A1072" t="s">
        <v>28</v>
      </c>
      <c r="B1072" t="s">
        <v>114</v>
      </c>
      <c r="C1072">
        <v>1982</v>
      </c>
      <c r="D1072">
        <v>1679</v>
      </c>
      <c r="E1072">
        <v>5000</v>
      </c>
      <c r="F1072">
        <v>5000</v>
      </c>
      <c r="G1072">
        <v>5000</v>
      </c>
      <c r="H1072">
        <v>16770</v>
      </c>
      <c r="I1072">
        <v>10785</v>
      </c>
      <c r="J1072">
        <v>9100</v>
      </c>
      <c r="K1072">
        <v>9000</v>
      </c>
      <c r="L1072">
        <v>9000</v>
      </c>
      <c r="M1072">
        <v>54655</v>
      </c>
      <c r="N1072" s="4">
        <v>3.296252428464447E-3</v>
      </c>
    </row>
    <row r="1073" spans="1:14" hidden="1" x14ac:dyDescent="0.25">
      <c r="A1073" t="s">
        <v>28</v>
      </c>
      <c r="B1073" t="s">
        <v>115</v>
      </c>
      <c r="C1073">
        <v>1508</v>
      </c>
      <c r="D1073">
        <v>1681</v>
      </c>
      <c r="E1073">
        <v>728</v>
      </c>
      <c r="F1073">
        <v>579</v>
      </c>
      <c r="G1073">
        <v>584</v>
      </c>
      <c r="H1073">
        <v>557</v>
      </c>
      <c r="I1073">
        <v>570</v>
      </c>
      <c r="J1073">
        <v>540</v>
      </c>
      <c r="K1073">
        <v>559</v>
      </c>
      <c r="L1073">
        <v>664</v>
      </c>
      <c r="M1073">
        <v>2890</v>
      </c>
      <c r="N1073" s="4">
        <v>1.7429639590636271E-4</v>
      </c>
    </row>
    <row r="1074" spans="1:14" hidden="1" x14ac:dyDescent="0.25">
      <c r="A1074" t="s">
        <v>28</v>
      </c>
      <c r="B1074" t="s">
        <v>143</v>
      </c>
      <c r="C1074">
        <v>4232</v>
      </c>
      <c r="D1074">
        <v>5207</v>
      </c>
      <c r="E1074">
        <v>4803</v>
      </c>
      <c r="F1074">
        <v>4238</v>
      </c>
      <c r="G1074">
        <v>4610</v>
      </c>
      <c r="H1074">
        <v>4373</v>
      </c>
      <c r="I1074">
        <v>4044</v>
      </c>
      <c r="J1074">
        <v>4522</v>
      </c>
      <c r="K1074">
        <v>3994</v>
      </c>
      <c r="L1074">
        <v>3987</v>
      </c>
      <c r="M1074">
        <v>20920</v>
      </c>
      <c r="N1074" s="4">
        <v>1.2616887897443281E-3</v>
      </c>
    </row>
    <row r="1075" spans="1:14" hidden="1" x14ac:dyDescent="0.25">
      <c r="A1075" t="s">
        <v>28</v>
      </c>
      <c r="B1075" t="s">
        <v>158</v>
      </c>
      <c r="C1075">
        <v>14743</v>
      </c>
      <c r="D1075">
        <v>14001</v>
      </c>
      <c r="E1075">
        <v>15386</v>
      </c>
      <c r="F1075">
        <v>20023</v>
      </c>
      <c r="G1075">
        <v>22747</v>
      </c>
      <c r="H1075">
        <v>23929</v>
      </c>
      <c r="I1075">
        <v>35054</v>
      </c>
      <c r="J1075">
        <v>29429</v>
      </c>
      <c r="K1075">
        <v>20873</v>
      </c>
      <c r="L1075">
        <v>31477</v>
      </c>
      <c r="M1075">
        <v>140762</v>
      </c>
      <c r="N1075" s="4">
        <v>8.4893803739001465E-3</v>
      </c>
    </row>
    <row r="1076" spans="1:14" hidden="1" x14ac:dyDescent="0.25">
      <c r="A1076" t="s">
        <v>27</v>
      </c>
      <c r="B1076" t="s">
        <v>86</v>
      </c>
      <c r="C1076">
        <v>100</v>
      </c>
      <c r="D1076">
        <v>110</v>
      </c>
      <c r="E1076">
        <v>110</v>
      </c>
      <c r="F1076">
        <v>94</v>
      </c>
      <c r="G1076">
        <v>82</v>
      </c>
      <c r="H1076">
        <v>79</v>
      </c>
      <c r="I1076">
        <v>95</v>
      </c>
      <c r="J1076">
        <v>86</v>
      </c>
      <c r="K1076">
        <v>95</v>
      </c>
      <c r="L1076">
        <v>95</v>
      </c>
      <c r="M1076">
        <v>450</v>
      </c>
      <c r="N1076" s="2">
        <v>0.91463414634146345</v>
      </c>
    </row>
    <row r="1077" spans="1:14" hidden="1" x14ac:dyDescent="0.25">
      <c r="A1077" t="s">
        <v>27</v>
      </c>
      <c r="B1077" t="s">
        <v>107</v>
      </c>
      <c r="C1077">
        <v>5</v>
      </c>
      <c r="D1077">
        <v>5</v>
      </c>
      <c r="E1077">
        <v>5</v>
      </c>
      <c r="F1077">
        <v>5</v>
      </c>
      <c r="G1077">
        <v>6</v>
      </c>
      <c r="H1077">
        <v>6</v>
      </c>
      <c r="I1077">
        <v>6</v>
      </c>
      <c r="J1077">
        <v>5</v>
      </c>
      <c r="K1077">
        <v>5</v>
      </c>
      <c r="L1077">
        <v>5</v>
      </c>
      <c r="M1077">
        <v>27</v>
      </c>
      <c r="N1077" s="2">
        <v>5.4878048780487812E-2</v>
      </c>
    </row>
    <row r="1078" spans="1:14" hidden="1" x14ac:dyDescent="0.25">
      <c r="A1078" t="s">
        <v>27</v>
      </c>
      <c r="B1078" t="s">
        <v>113</v>
      </c>
      <c r="C1078">
        <v>3</v>
      </c>
      <c r="D1078">
        <v>3</v>
      </c>
      <c r="E1078">
        <v>3</v>
      </c>
      <c r="F1078">
        <v>3</v>
      </c>
      <c r="G1078">
        <v>2</v>
      </c>
      <c r="H1078">
        <v>3</v>
      </c>
      <c r="I1078">
        <v>3</v>
      </c>
      <c r="J1078">
        <v>3</v>
      </c>
      <c r="K1078">
        <v>3</v>
      </c>
      <c r="L1078">
        <v>3</v>
      </c>
      <c r="M1078">
        <v>15</v>
      </c>
      <c r="N1078" s="2">
        <v>3.048780487804878E-2</v>
      </c>
    </row>
    <row r="1079" spans="1:14" hidden="1" x14ac:dyDescent="0.25">
      <c r="A1079" t="s">
        <v>26</v>
      </c>
      <c r="B1079" t="s">
        <v>86</v>
      </c>
      <c r="C1079">
        <v>270</v>
      </c>
      <c r="D1079">
        <v>300</v>
      </c>
      <c r="E1079">
        <v>300</v>
      </c>
      <c r="F1079">
        <v>284</v>
      </c>
      <c r="G1079">
        <v>171</v>
      </c>
      <c r="H1079">
        <v>319</v>
      </c>
      <c r="I1079">
        <v>404</v>
      </c>
      <c r="J1079">
        <v>357</v>
      </c>
      <c r="K1079">
        <v>350</v>
      </c>
      <c r="L1079">
        <v>350</v>
      </c>
      <c r="M1079">
        <v>1780</v>
      </c>
      <c r="N1079" s="2">
        <v>0.93832366895097519</v>
      </c>
    </row>
    <row r="1080" spans="1:14" hidden="1" x14ac:dyDescent="0.25">
      <c r="A1080" t="s">
        <v>26</v>
      </c>
      <c r="B1080" t="s">
        <v>119</v>
      </c>
      <c r="C1080">
        <v>8</v>
      </c>
      <c r="D1080">
        <v>8</v>
      </c>
      <c r="E1080">
        <v>8</v>
      </c>
      <c r="F1080">
        <v>6</v>
      </c>
      <c r="G1080">
        <v>3</v>
      </c>
      <c r="H1080">
        <v>3</v>
      </c>
      <c r="I1080">
        <v>3</v>
      </c>
      <c r="J1080">
        <v>3</v>
      </c>
      <c r="K1080">
        <v>3</v>
      </c>
      <c r="L1080">
        <v>3</v>
      </c>
      <c r="M1080">
        <v>15</v>
      </c>
      <c r="N1080" s="2">
        <v>7.9072219293621505E-3</v>
      </c>
    </row>
    <row r="1081" spans="1:14" hidden="1" x14ac:dyDescent="0.25">
      <c r="A1081" t="s">
        <v>26</v>
      </c>
      <c r="B1081" t="s">
        <v>148</v>
      </c>
      <c r="C1081">
        <v>7</v>
      </c>
      <c r="D1081">
        <v>2</v>
      </c>
      <c r="E1081">
        <v>1</v>
      </c>
      <c r="F1081">
        <v>3</v>
      </c>
      <c r="G1081">
        <v>3</v>
      </c>
      <c r="H1081">
        <v>3</v>
      </c>
      <c r="I1081">
        <v>3</v>
      </c>
      <c r="J1081">
        <v>3</v>
      </c>
      <c r="K1081">
        <v>2</v>
      </c>
      <c r="L1081">
        <v>2</v>
      </c>
      <c r="M1081">
        <v>13</v>
      </c>
      <c r="N1081" s="2">
        <v>6.8529256721138639E-3</v>
      </c>
    </row>
    <row r="1082" spans="1:14" hidden="1" x14ac:dyDescent="0.25">
      <c r="A1082" t="s">
        <v>26</v>
      </c>
      <c r="B1082" t="s">
        <v>107</v>
      </c>
      <c r="C1082">
        <v>13</v>
      </c>
      <c r="D1082">
        <v>13</v>
      </c>
      <c r="E1082">
        <v>13</v>
      </c>
      <c r="F1082">
        <v>13</v>
      </c>
      <c r="G1082">
        <v>13</v>
      </c>
      <c r="H1082">
        <v>13</v>
      </c>
      <c r="I1082">
        <v>13</v>
      </c>
      <c r="J1082">
        <v>13</v>
      </c>
      <c r="K1082">
        <v>13</v>
      </c>
      <c r="L1082">
        <v>13</v>
      </c>
      <c r="M1082">
        <v>65</v>
      </c>
      <c r="N1082" s="2">
        <v>3.4264628360569323E-2</v>
      </c>
    </row>
    <row r="1083" spans="1:14" hidden="1" x14ac:dyDescent="0.25">
      <c r="A1083" t="s">
        <v>26</v>
      </c>
      <c r="B1083" t="s">
        <v>122</v>
      </c>
      <c r="D1083">
        <v>13</v>
      </c>
      <c r="E1083">
        <v>13</v>
      </c>
      <c r="F1083">
        <v>9</v>
      </c>
      <c r="G1083">
        <v>9</v>
      </c>
      <c r="H1083">
        <v>4</v>
      </c>
      <c r="I1083">
        <v>4</v>
      </c>
      <c r="J1083">
        <v>8</v>
      </c>
      <c r="K1083">
        <v>4</v>
      </c>
      <c r="L1083">
        <v>4</v>
      </c>
      <c r="M1083">
        <v>24</v>
      </c>
      <c r="N1083" s="2">
        <v>1.2651555086979439E-2</v>
      </c>
    </row>
    <row r="1084" spans="1:14" hidden="1" x14ac:dyDescent="0.25">
      <c r="A1084" t="s">
        <v>41</v>
      </c>
      <c r="B1084" t="s">
        <v>181</v>
      </c>
      <c r="C1084">
        <v>8000</v>
      </c>
      <c r="D1084">
        <v>8000</v>
      </c>
      <c r="E1084">
        <v>8000</v>
      </c>
      <c r="F1084">
        <v>8000</v>
      </c>
      <c r="G1084">
        <v>7000</v>
      </c>
      <c r="H1084">
        <v>8000</v>
      </c>
      <c r="I1084">
        <v>7000</v>
      </c>
      <c r="J1084">
        <v>7000</v>
      </c>
      <c r="K1084">
        <v>7000</v>
      </c>
      <c r="L1084">
        <v>7000</v>
      </c>
      <c r="M1084">
        <v>36000</v>
      </c>
      <c r="N1084" s="2">
        <v>0.26293109744518622</v>
      </c>
    </row>
    <row r="1085" spans="1:14" hidden="1" x14ac:dyDescent="0.25">
      <c r="A1085" t="s">
        <v>41</v>
      </c>
      <c r="B1085" t="s">
        <v>116</v>
      </c>
      <c r="C1085">
        <v>800</v>
      </c>
      <c r="D1085">
        <v>800</v>
      </c>
      <c r="E1085">
        <v>1300</v>
      </c>
      <c r="F1085">
        <v>1000</v>
      </c>
      <c r="G1085">
        <v>1000</v>
      </c>
      <c r="H1085">
        <v>1000</v>
      </c>
      <c r="I1085">
        <v>1000</v>
      </c>
      <c r="J1085">
        <v>1200</v>
      </c>
      <c r="K1085">
        <v>1300</v>
      </c>
      <c r="L1085">
        <v>1100</v>
      </c>
      <c r="M1085">
        <v>5600</v>
      </c>
      <c r="N1085" s="2">
        <v>4.0900392935917851E-2</v>
      </c>
    </row>
    <row r="1086" spans="1:14" hidden="1" x14ac:dyDescent="0.25">
      <c r="A1086" t="s">
        <v>41</v>
      </c>
      <c r="B1086" t="s">
        <v>217</v>
      </c>
      <c r="C1086">
        <v>5800</v>
      </c>
      <c r="D1086">
        <v>6400</v>
      </c>
      <c r="E1086">
        <v>6100</v>
      </c>
      <c r="F1086">
        <v>6200</v>
      </c>
      <c r="G1086">
        <v>6300</v>
      </c>
      <c r="H1086">
        <v>6600</v>
      </c>
      <c r="I1086">
        <v>6400</v>
      </c>
      <c r="J1086">
        <v>6700</v>
      </c>
      <c r="K1086">
        <v>5600</v>
      </c>
      <c r="L1086">
        <v>6900</v>
      </c>
      <c r="M1086">
        <v>32200</v>
      </c>
      <c r="N1086" s="2">
        <v>0.23517725938152759</v>
      </c>
    </row>
    <row r="1087" spans="1:14" hidden="1" x14ac:dyDescent="0.25">
      <c r="A1087" t="s">
        <v>41</v>
      </c>
      <c r="B1087" t="s">
        <v>97</v>
      </c>
      <c r="C1087">
        <v>796</v>
      </c>
      <c r="D1087">
        <v>906</v>
      </c>
      <c r="E1087">
        <v>1035</v>
      </c>
      <c r="F1087">
        <v>937</v>
      </c>
      <c r="G1087">
        <v>1329</v>
      </c>
      <c r="H1087">
        <v>1331</v>
      </c>
      <c r="I1087">
        <v>1013</v>
      </c>
      <c r="J1087">
        <v>665</v>
      </c>
      <c r="K1087">
        <v>634</v>
      </c>
      <c r="L1087">
        <v>610</v>
      </c>
      <c r="M1087">
        <v>4253</v>
      </c>
      <c r="N1087" s="2">
        <v>3.1062387706510469E-2</v>
      </c>
    </row>
    <row r="1088" spans="1:14" hidden="1" x14ac:dyDescent="0.25">
      <c r="A1088" t="s">
        <v>41</v>
      </c>
      <c r="B1088" t="s">
        <v>107</v>
      </c>
      <c r="C1088">
        <v>14381</v>
      </c>
      <c r="D1088">
        <v>14059</v>
      </c>
      <c r="E1088">
        <v>14076</v>
      </c>
      <c r="F1088">
        <v>12277</v>
      </c>
      <c r="G1088">
        <v>12392</v>
      </c>
      <c r="H1088">
        <v>12588</v>
      </c>
      <c r="I1088">
        <v>11383</v>
      </c>
      <c r="J1088">
        <v>10894</v>
      </c>
      <c r="K1088">
        <v>12000</v>
      </c>
      <c r="L1088">
        <v>12000</v>
      </c>
      <c r="M1088">
        <v>58865</v>
      </c>
      <c r="N1088" s="2">
        <v>0.42992886253085788</v>
      </c>
    </row>
    <row r="1089" spans="1:14" hidden="1" x14ac:dyDescent="0.25">
      <c r="A1089" t="s">
        <v>48</v>
      </c>
      <c r="B1089" t="s">
        <v>97</v>
      </c>
      <c r="C1089">
        <v>630</v>
      </c>
      <c r="D1089">
        <v>821</v>
      </c>
      <c r="E1089">
        <v>545</v>
      </c>
      <c r="F1089">
        <v>198</v>
      </c>
      <c r="G1089">
        <v>291</v>
      </c>
      <c r="H1089">
        <v>281</v>
      </c>
      <c r="I1089">
        <v>118</v>
      </c>
      <c r="J1089">
        <v>121</v>
      </c>
      <c r="K1089">
        <v>249</v>
      </c>
      <c r="L1089">
        <v>210</v>
      </c>
      <c r="M1089">
        <v>979</v>
      </c>
      <c r="N1089" s="2">
        <v>1</v>
      </c>
    </row>
    <row r="1090" spans="1:14" hidden="1" x14ac:dyDescent="0.25">
      <c r="A1090" t="s">
        <v>36</v>
      </c>
      <c r="B1090" t="s">
        <v>124</v>
      </c>
      <c r="C1090">
        <v>11000</v>
      </c>
      <c r="D1090">
        <v>11000</v>
      </c>
      <c r="E1090">
        <v>11000</v>
      </c>
      <c r="F1090">
        <v>11000</v>
      </c>
      <c r="G1090">
        <v>11000</v>
      </c>
      <c r="H1090">
        <v>13000</v>
      </c>
      <c r="I1090">
        <v>13000</v>
      </c>
      <c r="J1090">
        <v>13000</v>
      </c>
      <c r="K1090">
        <v>11200</v>
      </c>
      <c r="L1090">
        <v>13000</v>
      </c>
      <c r="M1090">
        <v>63200</v>
      </c>
      <c r="N1090" s="2">
        <v>5.8711630857681239E-3</v>
      </c>
    </row>
    <row r="1091" spans="1:14" hidden="1" x14ac:dyDescent="0.25">
      <c r="A1091" t="s">
        <v>36</v>
      </c>
      <c r="B1091" t="s">
        <v>212</v>
      </c>
      <c r="C1091">
        <v>82000</v>
      </c>
      <c r="D1091">
        <v>83000</v>
      </c>
      <c r="E1091">
        <v>79500</v>
      </c>
      <c r="F1091">
        <v>104500</v>
      </c>
      <c r="G1091">
        <v>106000</v>
      </c>
      <c r="H1091">
        <v>109000</v>
      </c>
      <c r="I1091">
        <v>120900</v>
      </c>
      <c r="J1091">
        <v>138900</v>
      </c>
      <c r="K1091">
        <v>103500</v>
      </c>
      <c r="L1091">
        <v>130400</v>
      </c>
      <c r="M1091">
        <v>602700</v>
      </c>
      <c r="N1091" s="2">
        <v>5.5989715060007099E-2</v>
      </c>
    </row>
    <row r="1092" spans="1:14" hidden="1" x14ac:dyDescent="0.25">
      <c r="A1092" t="s">
        <v>36</v>
      </c>
      <c r="B1092" t="s">
        <v>85</v>
      </c>
      <c r="C1092">
        <v>203881</v>
      </c>
      <c r="D1092">
        <v>158000</v>
      </c>
      <c r="E1092">
        <v>127000</v>
      </c>
      <c r="F1092">
        <v>100000</v>
      </c>
      <c r="G1092">
        <v>100000</v>
      </c>
      <c r="H1092">
        <v>100000</v>
      </c>
      <c r="I1092">
        <v>100000</v>
      </c>
      <c r="J1092">
        <v>100000</v>
      </c>
      <c r="K1092">
        <v>100000</v>
      </c>
      <c r="L1092">
        <v>100000</v>
      </c>
      <c r="M1092">
        <v>500000</v>
      </c>
      <c r="N1092" s="2">
        <v>4.6449075045633892E-2</v>
      </c>
    </row>
    <row r="1093" spans="1:14" hidden="1" x14ac:dyDescent="0.25">
      <c r="A1093" t="s">
        <v>36</v>
      </c>
      <c r="B1093" t="s">
        <v>116</v>
      </c>
      <c r="C1093">
        <v>31979</v>
      </c>
      <c r="D1093">
        <v>38871</v>
      </c>
      <c r="E1093">
        <v>32000</v>
      </c>
      <c r="F1093">
        <v>38000</v>
      </c>
      <c r="G1093">
        <v>38000</v>
      </c>
      <c r="H1093">
        <v>40000</v>
      </c>
      <c r="I1093">
        <v>36000</v>
      </c>
      <c r="J1093">
        <v>37000</v>
      </c>
      <c r="K1093">
        <v>34000</v>
      </c>
      <c r="L1093">
        <v>30000</v>
      </c>
      <c r="M1093">
        <v>177000</v>
      </c>
      <c r="N1093" s="2">
        <v>1.6442972566154401E-2</v>
      </c>
    </row>
    <row r="1094" spans="1:14" hidden="1" x14ac:dyDescent="0.25">
      <c r="A1094" t="s">
        <v>36</v>
      </c>
      <c r="B1094" t="s">
        <v>128</v>
      </c>
      <c r="C1094">
        <v>54930</v>
      </c>
      <c r="D1094">
        <v>49060</v>
      </c>
      <c r="E1094">
        <v>56794</v>
      </c>
      <c r="F1094">
        <v>54767</v>
      </c>
      <c r="G1094">
        <v>65089</v>
      </c>
      <c r="H1094">
        <v>63719</v>
      </c>
      <c r="I1094">
        <v>60500</v>
      </c>
      <c r="J1094">
        <v>60500</v>
      </c>
      <c r="K1094">
        <v>60000</v>
      </c>
      <c r="L1094">
        <v>60000</v>
      </c>
      <c r="M1094">
        <v>304719</v>
      </c>
      <c r="N1094" s="2">
        <v>2.8307831397661031E-2</v>
      </c>
    </row>
    <row r="1095" spans="1:14" hidden="1" x14ac:dyDescent="0.25">
      <c r="A1095" t="s">
        <v>36</v>
      </c>
      <c r="B1095" t="s">
        <v>91</v>
      </c>
      <c r="C1095">
        <v>63300</v>
      </c>
      <c r="D1095">
        <v>50000</v>
      </c>
      <c r="E1095">
        <v>40000</v>
      </c>
      <c r="F1095">
        <v>45000</v>
      </c>
      <c r="G1095">
        <v>45000</v>
      </c>
      <c r="H1095">
        <v>50000</v>
      </c>
      <c r="I1095">
        <v>50000</v>
      </c>
      <c r="J1095">
        <v>48000</v>
      </c>
      <c r="K1095">
        <v>41000</v>
      </c>
      <c r="L1095">
        <v>41000</v>
      </c>
      <c r="M1095">
        <v>230000</v>
      </c>
      <c r="N1095" s="2">
        <v>2.1366574520991589E-2</v>
      </c>
    </row>
    <row r="1096" spans="1:14" hidden="1" x14ac:dyDescent="0.25">
      <c r="A1096" t="s">
        <v>36</v>
      </c>
      <c r="B1096" t="s">
        <v>129</v>
      </c>
      <c r="C1096">
        <v>131818</v>
      </c>
      <c r="D1096">
        <v>125204</v>
      </c>
      <c r="E1096">
        <v>112657</v>
      </c>
      <c r="F1096">
        <v>121556</v>
      </c>
      <c r="G1096">
        <v>128019</v>
      </c>
      <c r="H1096">
        <v>116811</v>
      </c>
      <c r="I1096">
        <v>116889</v>
      </c>
      <c r="J1096">
        <v>120255</v>
      </c>
      <c r="K1096">
        <v>128187</v>
      </c>
      <c r="L1096">
        <v>123800</v>
      </c>
      <c r="M1096">
        <v>605942</v>
      </c>
      <c r="N1096" s="2">
        <v>5.6290890862602992E-2</v>
      </c>
    </row>
    <row r="1097" spans="1:14" hidden="1" x14ac:dyDescent="0.25">
      <c r="A1097" t="s">
        <v>36</v>
      </c>
      <c r="B1097" t="s">
        <v>97</v>
      </c>
      <c r="C1097">
        <v>90000</v>
      </c>
      <c r="D1097">
        <v>90000</v>
      </c>
      <c r="E1097">
        <v>90000</v>
      </c>
      <c r="F1097">
        <v>90000</v>
      </c>
      <c r="G1097">
        <v>90000</v>
      </c>
      <c r="H1097">
        <v>90000</v>
      </c>
      <c r="I1097">
        <v>90000</v>
      </c>
      <c r="J1097">
        <v>0</v>
      </c>
      <c r="K1097">
        <v>0</v>
      </c>
      <c r="L1097">
        <v>0</v>
      </c>
      <c r="M1097">
        <v>180000</v>
      </c>
      <c r="N1097" s="2">
        <v>1.6721667016428202E-2</v>
      </c>
    </row>
    <row r="1098" spans="1:14" hidden="1" x14ac:dyDescent="0.25">
      <c r="A1098" t="s">
        <v>36</v>
      </c>
      <c r="B1098" t="s">
        <v>99</v>
      </c>
      <c r="C1098">
        <v>50000</v>
      </c>
      <c r="D1098">
        <v>50000</v>
      </c>
      <c r="E1098">
        <v>50000</v>
      </c>
      <c r="F1098">
        <v>50000</v>
      </c>
      <c r="G1098">
        <v>50000</v>
      </c>
      <c r="H1098">
        <v>50000</v>
      </c>
      <c r="I1098">
        <v>70000</v>
      </c>
      <c r="J1098">
        <v>70000</v>
      </c>
      <c r="K1098">
        <v>60000</v>
      </c>
      <c r="L1098">
        <v>60000</v>
      </c>
      <c r="M1098">
        <v>310000</v>
      </c>
      <c r="N1098" s="2">
        <v>2.8798426528293019E-2</v>
      </c>
    </row>
    <row r="1099" spans="1:14" hidden="1" x14ac:dyDescent="0.25">
      <c r="A1099" t="s">
        <v>36</v>
      </c>
      <c r="B1099" t="s">
        <v>102</v>
      </c>
      <c r="C1099">
        <v>464</v>
      </c>
      <c r="D1099">
        <v>470</v>
      </c>
      <c r="E1099">
        <v>395</v>
      </c>
      <c r="F1099">
        <v>86984</v>
      </c>
      <c r="G1099">
        <v>68779</v>
      </c>
      <c r="H1099">
        <v>60001</v>
      </c>
      <c r="I1099">
        <v>65405</v>
      </c>
      <c r="J1099">
        <v>79930</v>
      </c>
      <c r="K1099">
        <v>180645</v>
      </c>
      <c r="L1099">
        <v>180000</v>
      </c>
      <c r="M1099">
        <v>565981</v>
      </c>
      <c r="N1099" s="2">
        <v>5.2578587886805833E-2</v>
      </c>
    </row>
    <row r="1100" spans="1:14" hidden="1" x14ac:dyDescent="0.25">
      <c r="A1100" t="s">
        <v>36</v>
      </c>
      <c r="B1100" t="s">
        <v>176</v>
      </c>
      <c r="C1100">
        <v>42402</v>
      </c>
      <c r="D1100">
        <v>72279</v>
      </c>
      <c r="E1100">
        <v>73014</v>
      </c>
      <c r="F1100">
        <v>46047</v>
      </c>
      <c r="G1100">
        <v>24431</v>
      </c>
      <c r="H1100">
        <v>21</v>
      </c>
      <c r="I1100">
        <v>185</v>
      </c>
      <c r="J1100">
        <v>117</v>
      </c>
      <c r="K1100">
        <v>0</v>
      </c>
      <c r="L1100">
        <v>0</v>
      </c>
      <c r="M1100">
        <v>323</v>
      </c>
      <c r="N1100" s="2">
        <v>3.0006102479479499E-5</v>
      </c>
    </row>
    <row r="1101" spans="1:14" hidden="1" x14ac:dyDescent="0.25">
      <c r="A1101" t="s">
        <v>36</v>
      </c>
      <c r="B1101" t="s">
        <v>132</v>
      </c>
      <c r="C1101">
        <v>203886</v>
      </c>
      <c r="D1101">
        <v>337281</v>
      </c>
      <c r="E1101">
        <v>192389</v>
      </c>
      <c r="F1101">
        <v>243813</v>
      </c>
      <c r="G1101">
        <v>249475</v>
      </c>
      <c r="H1101">
        <v>240813</v>
      </c>
      <c r="I1101">
        <v>265964</v>
      </c>
      <c r="J1101">
        <v>200000</v>
      </c>
      <c r="K1101">
        <v>260000</v>
      </c>
      <c r="L1101">
        <v>250000</v>
      </c>
      <c r="M1101">
        <v>1216777</v>
      </c>
      <c r="N1101" s="2">
        <v>0.1130363323736025</v>
      </c>
    </row>
    <row r="1102" spans="1:14" hidden="1" x14ac:dyDescent="0.25">
      <c r="A1102" t="s">
        <v>36</v>
      </c>
      <c r="B1102" t="s">
        <v>151</v>
      </c>
      <c r="C1102">
        <v>78115</v>
      </c>
      <c r="D1102">
        <v>73589</v>
      </c>
      <c r="E1102">
        <v>62878</v>
      </c>
      <c r="F1102">
        <v>77754</v>
      </c>
      <c r="G1102">
        <v>77682</v>
      </c>
      <c r="H1102">
        <v>65732</v>
      </c>
      <c r="I1102">
        <v>63618</v>
      </c>
      <c r="J1102">
        <v>65523</v>
      </c>
      <c r="K1102">
        <v>61709</v>
      </c>
      <c r="L1102">
        <v>73370</v>
      </c>
      <c r="M1102">
        <v>329952</v>
      </c>
      <c r="N1102" s="2">
        <v>3.0651930418913991E-2</v>
      </c>
    </row>
    <row r="1103" spans="1:14" hidden="1" x14ac:dyDescent="0.25">
      <c r="A1103" t="s">
        <v>36</v>
      </c>
      <c r="B1103" t="s">
        <v>107</v>
      </c>
      <c r="C1103">
        <v>1042000</v>
      </c>
      <c r="D1103">
        <v>1050000</v>
      </c>
      <c r="E1103">
        <v>1050000</v>
      </c>
      <c r="F1103">
        <v>1057909</v>
      </c>
      <c r="G1103">
        <v>935912</v>
      </c>
      <c r="H1103">
        <v>840352</v>
      </c>
      <c r="I1103">
        <v>928797</v>
      </c>
      <c r="J1103">
        <v>846579</v>
      </c>
      <c r="K1103">
        <v>830000</v>
      </c>
      <c r="L1103">
        <v>830000</v>
      </c>
      <c r="M1103">
        <v>4275728</v>
      </c>
      <c r="N1103" s="2">
        <v>0.39720722149343618</v>
      </c>
    </row>
    <row r="1104" spans="1:14" hidden="1" x14ac:dyDescent="0.25">
      <c r="A1104" t="s">
        <v>36</v>
      </c>
      <c r="B1104" t="s">
        <v>135</v>
      </c>
      <c r="C1104">
        <v>32726</v>
      </c>
      <c r="D1104">
        <v>41664</v>
      </c>
      <c r="E1104">
        <v>39300</v>
      </c>
      <c r="F1104">
        <v>38200</v>
      </c>
      <c r="G1104">
        <v>30900</v>
      </c>
      <c r="H1104">
        <v>44600</v>
      </c>
      <c r="I1104">
        <v>44100</v>
      </c>
      <c r="J1104">
        <v>29400</v>
      </c>
      <c r="K1104">
        <v>29600</v>
      </c>
      <c r="L1104">
        <v>34700</v>
      </c>
      <c r="M1104">
        <v>182400</v>
      </c>
      <c r="N1104" s="2">
        <v>1.694462257664724E-2</v>
      </c>
    </row>
    <row r="1105" spans="1:14" hidden="1" x14ac:dyDescent="0.25">
      <c r="A1105" t="s">
        <v>36</v>
      </c>
      <c r="B1105" t="s">
        <v>121</v>
      </c>
      <c r="C1105">
        <v>68600</v>
      </c>
      <c r="D1105">
        <v>80500</v>
      </c>
      <c r="E1105">
        <v>80500</v>
      </c>
      <c r="F1105">
        <v>80000</v>
      </c>
      <c r="G1105">
        <v>80000</v>
      </c>
      <c r="H1105">
        <v>95000</v>
      </c>
      <c r="I1105">
        <v>95000</v>
      </c>
      <c r="J1105">
        <v>90000</v>
      </c>
      <c r="K1105">
        <v>77000</v>
      </c>
      <c r="L1105">
        <v>83000</v>
      </c>
      <c r="M1105">
        <v>440000</v>
      </c>
      <c r="N1105" s="2">
        <v>4.0875186040157829E-2</v>
      </c>
    </row>
    <row r="1106" spans="1:14" hidden="1" x14ac:dyDescent="0.25">
      <c r="A1106" t="s">
        <v>36</v>
      </c>
      <c r="B1106" t="s">
        <v>112</v>
      </c>
      <c r="C1106">
        <v>2000</v>
      </c>
      <c r="D1106">
        <v>2000</v>
      </c>
      <c r="E1106">
        <v>2000</v>
      </c>
      <c r="H1106">
        <v>7500</v>
      </c>
      <c r="I1106">
        <v>7500</v>
      </c>
      <c r="J1106">
        <v>7500</v>
      </c>
      <c r="K1106">
        <v>5000</v>
      </c>
      <c r="L1106">
        <v>5800</v>
      </c>
      <c r="M1106">
        <v>33300</v>
      </c>
      <c r="N1106" s="2">
        <v>3.0935083980392171E-3</v>
      </c>
    </row>
    <row r="1107" spans="1:14" hidden="1" x14ac:dyDescent="0.25">
      <c r="A1107" t="s">
        <v>36</v>
      </c>
      <c r="B1107" t="s">
        <v>122</v>
      </c>
      <c r="C1107">
        <v>150265</v>
      </c>
      <c r="D1107">
        <v>191207</v>
      </c>
      <c r="E1107">
        <v>167977</v>
      </c>
      <c r="F1107">
        <v>114826</v>
      </c>
      <c r="G1107">
        <v>126297</v>
      </c>
      <c r="H1107">
        <v>118371</v>
      </c>
      <c r="I1107">
        <v>97084</v>
      </c>
      <c r="J1107">
        <v>97000</v>
      </c>
      <c r="K1107">
        <v>97000</v>
      </c>
      <c r="L1107">
        <v>97000</v>
      </c>
      <c r="M1107">
        <v>506455</v>
      </c>
      <c r="N1107" s="2">
        <v>4.704873260447303E-2</v>
      </c>
    </row>
    <row r="1108" spans="1:14" hidden="1" x14ac:dyDescent="0.25">
      <c r="A1108" t="s">
        <v>36</v>
      </c>
      <c r="B1108" t="s">
        <v>114</v>
      </c>
      <c r="C1108">
        <v>72300</v>
      </c>
      <c r="D1108">
        <v>74300</v>
      </c>
      <c r="E1108">
        <v>80000</v>
      </c>
      <c r="F1108">
        <v>80000</v>
      </c>
      <c r="G1108">
        <v>80000</v>
      </c>
      <c r="H1108">
        <v>80000</v>
      </c>
      <c r="I1108">
        <v>40000</v>
      </c>
      <c r="J1108">
        <v>40000</v>
      </c>
      <c r="K1108">
        <v>40000</v>
      </c>
      <c r="L1108">
        <v>40000</v>
      </c>
      <c r="M1108">
        <v>240000</v>
      </c>
      <c r="N1108" s="2">
        <v>2.2295556021904271E-2</v>
      </c>
    </row>
    <row r="1109" spans="1:14" hidden="1" x14ac:dyDescent="0.25">
      <c r="A1109" t="s">
        <v>35</v>
      </c>
      <c r="B1109" t="s">
        <v>124</v>
      </c>
      <c r="C1109">
        <v>11000</v>
      </c>
      <c r="D1109">
        <v>11000</v>
      </c>
      <c r="E1109">
        <v>11000</v>
      </c>
      <c r="F1109">
        <v>11000</v>
      </c>
      <c r="G1109">
        <v>10000</v>
      </c>
      <c r="H1109">
        <v>10000</v>
      </c>
      <c r="I1109">
        <v>0</v>
      </c>
      <c r="J1109">
        <v>0</v>
      </c>
      <c r="K1109">
        <v>0</v>
      </c>
      <c r="L1109">
        <v>0</v>
      </c>
      <c r="M1109">
        <v>10000</v>
      </c>
      <c r="N1109" s="2">
        <v>7.5073254605012205E-4</v>
      </c>
    </row>
    <row r="1110" spans="1:14" hidden="1" x14ac:dyDescent="0.25">
      <c r="A1110" t="s">
        <v>35</v>
      </c>
      <c r="B1110" t="s">
        <v>91</v>
      </c>
      <c r="C1110">
        <v>68500</v>
      </c>
      <c r="D1110">
        <v>64900</v>
      </c>
      <c r="E1110">
        <v>108000</v>
      </c>
      <c r="F1110">
        <v>65100</v>
      </c>
      <c r="G1110">
        <v>58223</v>
      </c>
      <c r="H1110">
        <v>58443</v>
      </c>
      <c r="I1110">
        <v>56652</v>
      </c>
      <c r="J1110">
        <v>68000</v>
      </c>
      <c r="K1110">
        <v>62000</v>
      </c>
      <c r="L1110">
        <v>62000</v>
      </c>
      <c r="M1110">
        <v>307095</v>
      </c>
      <c r="N1110" s="2">
        <v>2.3054621122926219E-2</v>
      </c>
    </row>
    <row r="1111" spans="1:14" hidden="1" x14ac:dyDescent="0.25">
      <c r="A1111" t="s">
        <v>35</v>
      </c>
      <c r="B1111" t="s">
        <v>195</v>
      </c>
      <c r="H1111">
        <v>21300</v>
      </c>
      <c r="I1111">
        <v>42900</v>
      </c>
      <c r="J1111">
        <v>43000</v>
      </c>
      <c r="K1111">
        <v>37000</v>
      </c>
      <c r="L1111">
        <v>22000</v>
      </c>
      <c r="M1111">
        <v>166200</v>
      </c>
      <c r="N1111" s="2">
        <v>1.247717491535303E-2</v>
      </c>
    </row>
    <row r="1112" spans="1:14" hidden="1" x14ac:dyDescent="0.25">
      <c r="A1112" t="s">
        <v>35</v>
      </c>
      <c r="B1112" t="s">
        <v>169</v>
      </c>
      <c r="C1112">
        <v>257421</v>
      </c>
      <c r="D1112">
        <v>253361</v>
      </c>
      <c r="E1112">
        <v>243951</v>
      </c>
      <c r="F1112">
        <v>217289</v>
      </c>
      <c r="G1112">
        <v>244228</v>
      </c>
      <c r="H1112">
        <v>289765</v>
      </c>
      <c r="I1112">
        <v>335013</v>
      </c>
      <c r="J1112">
        <v>291608</v>
      </c>
      <c r="K1112">
        <v>217463</v>
      </c>
      <c r="L1112">
        <v>322877</v>
      </c>
      <c r="M1112">
        <v>1456726</v>
      </c>
      <c r="N1112" s="2">
        <v>0.109361161887741</v>
      </c>
    </row>
    <row r="1113" spans="1:14" hidden="1" x14ac:dyDescent="0.25">
      <c r="A1113" t="s">
        <v>35</v>
      </c>
      <c r="B1113" t="s">
        <v>97</v>
      </c>
      <c r="C1113">
        <v>236541</v>
      </c>
      <c r="D1113">
        <v>225395</v>
      </c>
      <c r="E1113">
        <v>249691</v>
      </c>
      <c r="F1113">
        <v>269920</v>
      </c>
      <c r="G1113">
        <v>300625</v>
      </c>
      <c r="H1113">
        <v>311326</v>
      </c>
      <c r="I1113">
        <v>342591</v>
      </c>
      <c r="J1113">
        <v>320594</v>
      </c>
      <c r="K1113">
        <v>329295</v>
      </c>
      <c r="L1113">
        <v>328000</v>
      </c>
      <c r="M1113">
        <v>1631806</v>
      </c>
      <c r="N1113" s="2">
        <v>0.1225049873039866</v>
      </c>
    </row>
    <row r="1114" spans="1:14" hidden="1" x14ac:dyDescent="0.25">
      <c r="A1114" t="s">
        <v>35</v>
      </c>
      <c r="B1114" t="s">
        <v>98</v>
      </c>
      <c r="C1114">
        <v>9000</v>
      </c>
      <c r="D1114">
        <v>16200</v>
      </c>
      <c r="E1114">
        <v>8000</v>
      </c>
      <c r="F1114">
        <v>8000</v>
      </c>
      <c r="G1114">
        <v>8000</v>
      </c>
      <c r="H1114">
        <v>6000</v>
      </c>
      <c r="I1114">
        <v>5000</v>
      </c>
      <c r="J1114">
        <v>4000</v>
      </c>
      <c r="K1114">
        <v>4000</v>
      </c>
      <c r="L1114">
        <v>13000</v>
      </c>
      <c r="M1114">
        <v>32000</v>
      </c>
      <c r="N1114" s="2">
        <v>2.4023441473603911E-3</v>
      </c>
    </row>
    <row r="1115" spans="1:14" hidden="1" x14ac:dyDescent="0.25">
      <c r="A1115" t="s">
        <v>35</v>
      </c>
      <c r="B1115" t="s">
        <v>182</v>
      </c>
      <c r="C1115">
        <v>110000</v>
      </c>
      <c r="D1115">
        <v>153000</v>
      </c>
      <c r="E1115">
        <v>67000</v>
      </c>
      <c r="F1115">
        <v>82000</v>
      </c>
      <c r="G1115">
        <v>90000</v>
      </c>
      <c r="H1115">
        <v>91000</v>
      </c>
      <c r="I1115">
        <v>91000</v>
      </c>
      <c r="J1115">
        <v>90000</v>
      </c>
      <c r="K1115">
        <v>90000</v>
      </c>
      <c r="L1115">
        <v>90000</v>
      </c>
      <c r="M1115">
        <v>452000</v>
      </c>
      <c r="N1115" s="2">
        <v>3.3933111081465517E-2</v>
      </c>
    </row>
    <row r="1116" spans="1:14" hidden="1" x14ac:dyDescent="0.25">
      <c r="A1116" t="s">
        <v>35</v>
      </c>
      <c r="B1116" t="s">
        <v>102</v>
      </c>
      <c r="C1116">
        <v>251530</v>
      </c>
      <c r="D1116">
        <v>203926</v>
      </c>
      <c r="E1116">
        <v>200379</v>
      </c>
      <c r="F1116">
        <v>164189</v>
      </c>
      <c r="G1116">
        <v>135885</v>
      </c>
      <c r="H1116">
        <v>123977</v>
      </c>
      <c r="I1116">
        <v>137710</v>
      </c>
      <c r="J1116">
        <v>123528</v>
      </c>
      <c r="K1116">
        <v>122743</v>
      </c>
      <c r="L1116">
        <v>132119</v>
      </c>
      <c r="M1116">
        <v>640077</v>
      </c>
      <c r="N1116" s="2">
        <v>4.8052663587812398E-2</v>
      </c>
    </row>
    <row r="1117" spans="1:14" hidden="1" x14ac:dyDescent="0.25">
      <c r="A1117" t="s">
        <v>35</v>
      </c>
      <c r="B1117" t="s">
        <v>148</v>
      </c>
      <c r="C1117">
        <v>196000</v>
      </c>
      <c r="D1117">
        <v>196000</v>
      </c>
      <c r="E1117">
        <v>196000</v>
      </c>
      <c r="F1117">
        <v>196000</v>
      </c>
      <c r="G1117">
        <v>196000</v>
      </c>
      <c r="H1117">
        <v>196000</v>
      </c>
      <c r="I1117">
        <v>196000</v>
      </c>
      <c r="J1117">
        <v>196000</v>
      </c>
      <c r="K1117">
        <v>196000</v>
      </c>
      <c r="L1117">
        <v>196000</v>
      </c>
      <c r="M1117">
        <v>980000</v>
      </c>
      <c r="N1117" s="2">
        <v>7.3571789512911961E-2</v>
      </c>
    </row>
    <row r="1118" spans="1:14" hidden="1" x14ac:dyDescent="0.25">
      <c r="A1118" t="s">
        <v>35</v>
      </c>
      <c r="B1118" t="s">
        <v>150</v>
      </c>
      <c r="C1118">
        <v>161221</v>
      </c>
      <c r="D1118">
        <v>157855</v>
      </c>
      <c r="E1118">
        <v>164852</v>
      </c>
      <c r="F1118">
        <v>139363</v>
      </c>
      <c r="G1118">
        <v>134251</v>
      </c>
      <c r="H1118">
        <v>148142</v>
      </c>
      <c r="I1118">
        <v>151991</v>
      </c>
      <c r="J1118">
        <v>154209</v>
      </c>
      <c r="K1118">
        <v>147784</v>
      </c>
      <c r="L1118">
        <v>170929</v>
      </c>
      <c r="M1118">
        <v>773055</v>
      </c>
      <c r="N1118" s="2">
        <v>5.8035754838677713E-2</v>
      </c>
    </row>
    <row r="1119" spans="1:14" hidden="1" x14ac:dyDescent="0.25">
      <c r="A1119" t="s">
        <v>35</v>
      </c>
      <c r="B1119" t="s">
        <v>132</v>
      </c>
      <c r="C1119">
        <v>271400</v>
      </c>
      <c r="D1119">
        <v>301400</v>
      </c>
      <c r="E1119">
        <v>314300</v>
      </c>
      <c r="F1119">
        <v>309900</v>
      </c>
      <c r="G1119">
        <v>306100</v>
      </c>
      <c r="H1119">
        <v>284500</v>
      </c>
      <c r="I1119">
        <v>330000</v>
      </c>
      <c r="J1119">
        <v>290000</v>
      </c>
      <c r="K1119">
        <v>260000</v>
      </c>
      <c r="L1119">
        <v>310000</v>
      </c>
      <c r="M1119">
        <v>1474500</v>
      </c>
      <c r="N1119" s="2">
        <v>0.1106955139150905</v>
      </c>
    </row>
    <row r="1120" spans="1:14" hidden="1" x14ac:dyDescent="0.25">
      <c r="A1120" t="s">
        <v>35</v>
      </c>
      <c r="B1120" t="s">
        <v>107</v>
      </c>
      <c r="C1120">
        <v>148000</v>
      </c>
      <c r="D1120">
        <v>148000</v>
      </c>
      <c r="E1120">
        <v>148000</v>
      </c>
      <c r="F1120">
        <v>188895</v>
      </c>
      <c r="G1120">
        <v>203216</v>
      </c>
      <c r="H1120">
        <v>44917</v>
      </c>
      <c r="I1120">
        <v>43334</v>
      </c>
      <c r="J1120">
        <v>51774</v>
      </c>
      <c r="K1120">
        <v>50000</v>
      </c>
      <c r="L1120">
        <v>50000</v>
      </c>
      <c r="M1120">
        <v>240025</v>
      </c>
      <c r="N1120" s="2">
        <v>1.8019457936568051E-2</v>
      </c>
    </row>
    <row r="1121" spans="1:14" hidden="1" x14ac:dyDescent="0.25">
      <c r="A1121" t="s">
        <v>35</v>
      </c>
      <c r="B1121" t="s">
        <v>135</v>
      </c>
      <c r="C1121">
        <v>50089</v>
      </c>
      <c r="D1121">
        <v>26794</v>
      </c>
      <c r="E1121">
        <v>29643</v>
      </c>
      <c r="F1121">
        <v>27100</v>
      </c>
      <c r="G1121">
        <v>35700</v>
      </c>
      <c r="H1121">
        <v>40100</v>
      </c>
      <c r="I1121">
        <v>37200</v>
      </c>
      <c r="J1121">
        <v>49900</v>
      </c>
      <c r="K1121">
        <v>33800</v>
      </c>
      <c r="L1121">
        <v>48600</v>
      </c>
      <c r="M1121">
        <v>209600</v>
      </c>
      <c r="N1121" s="2">
        <v>1.5735354165210561E-2</v>
      </c>
    </row>
    <row r="1122" spans="1:14" hidden="1" x14ac:dyDescent="0.25">
      <c r="A1122" t="s">
        <v>35</v>
      </c>
      <c r="B1122" t="s">
        <v>121</v>
      </c>
      <c r="C1122">
        <v>148100</v>
      </c>
      <c r="D1122">
        <v>136000</v>
      </c>
      <c r="E1122">
        <v>129000</v>
      </c>
      <c r="F1122">
        <v>134400</v>
      </c>
      <c r="G1122">
        <v>123100</v>
      </c>
      <c r="H1122">
        <v>138700</v>
      </c>
      <c r="I1122">
        <v>156100</v>
      </c>
      <c r="J1122">
        <v>98400</v>
      </c>
      <c r="K1122">
        <v>83000</v>
      </c>
      <c r="L1122">
        <v>83000</v>
      </c>
      <c r="M1122">
        <v>559200</v>
      </c>
      <c r="N1122" s="2">
        <v>4.1980963975122833E-2</v>
      </c>
    </row>
    <row r="1123" spans="1:14" hidden="1" x14ac:dyDescent="0.25">
      <c r="A1123" t="s">
        <v>35</v>
      </c>
      <c r="B1123" t="s">
        <v>122</v>
      </c>
      <c r="C1123">
        <v>823131</v>
      </c>
      <c r="D1123">
        <v>724892</v>
      </c>
      <c r="E1123">
        <v>960657</v>
      </c>
      <c r="F1123">
        <v>750181</v>
      </c>
      <c r="G1123">
        <v>876756</v>
      </c>
      <c r="H1123">
        <v>875031</v>
      </c>
      <c r="I1123">
        <v>912300</v>
      </c>
      <c r="J1123">
        <v>858708</v>
      </c>
      <c r="K1123">
        <v>850000</v>
      </c>
      <c r="L1123">
        <v>850000</v>
      </c>
      <c r="M1123">
        <v>4346039</v>
      </c>
      <c r="N1123" s="2">
        <v>0.32627129237031272</v>
      </c>
    </row>
    <row r="1124" spans="1:14" hidden="1" x14ac:dyDescent="0.25">
      <c r="A1124" t="s">
        <v>35</v>
      </c>
      <c r="B1124" t="s">
        <v>114</v>
      </c>
      <c r="C1124">
        <v>14200</v>
      </c>
      <c r="D1124">
        <v>14200</v>
      </c>
      <c r="E1124">
        <v>14000</v>
      </c>
      <c r="F1124">
        <v>14000</v>
      </c>
      <c r="G1124">
        <v>14000</v>
      </c>
      <c r="H1124">
        <v>14000</v>
      </c>
      <c r="I1124">
        <v>7000</v>
      </c>
      <c r="J1124">
        <v>7000</v>
      </c>
      <c r="K1124">
        <v>7000</v>
      </c>
      <c r="L1124">
        <v>7000</v>
      </c>
      <c r="M1124">
        <v>42000</v>
      </c>
      <c r="N1124" s="2">
        <v>3.1530766934105121E-3</v>
      </c>
    </row>
    <row r="1125" spans="1:14" hidden="1" x14ac:dyDescent="0.25">
      <c r="A1125" t="s">
        <v>45</v>
      </c>
      <c r="B1125" t="s">
        <v>85</v>
      </c>
      <c r="C1125">
        <v>21200</v>
      </c>
      <c r="D1125">
        <v>20000</v>
      </c>
      <c r="E1125">
        <v>20000</v>
      </c>
      <c r="F1125">
        <v>20000</v>
      </c>
      <c r="G1125">
        <v>20000</v>
      </c>
      <c r="H1125">
        <v>20000</v>
      </c>
      <c r="I1125">
        <v>20000</v>
      </c>
      <c r="J1125">
        <v>20000</v>
      </c>
      <c r="K1125">
        <v>20000</v>
      </c>
      <c r="L1125">
        <v>20000</v>
      </c>
      <c r="M1125">
        <v>100000</v>
      </c>
      <c r="N1125" s="2">
        <v>0.59265932164214041</v>
      </c>
    </row>
    <row r="1126" spans="1:14" hidden="1" x14ac:dyDescent="0.25">
      <c r="A1126" t="s">
        <v>45</v>
      </c>
      <c r="B1126" t="s">
        <v>97</v>
      </c>
      <c r="C1126">
        <v>19205</v>
      </c>
      <c r="D1126">
        <v>21964</v>
      </c>
      <c r="E1126">
        <v>26123</v>
      </c>
      <c r="F1126">
        <v>20541</v>
      </c>
      <c r="G1126">
        <v>20183</v>
      </c>
      <c r="H1126">
        <v>15978</v>
      </c>
      <c r="I1126">
        <v>19180</v>
      </c>
      <c r="J1126">
        <v>14173</v>
      </c>
      <c r="K1126">
        <v>9700</v>
      </c>
      <c r="L1126">
        <v>9700</v>
      </c>
      <c r="M1126">
        <v>68731</v>
      </c>
      <c r="N1126" s="2">
        <v>0.40734067835785948</v>
      </c>
    </row>
    <row r="1127" spans="1:14" hidden="1" x14ac:dyDescent="0.25">
      <c r="A1127" t="s">
        <v>49</v>
      </c>
      <c r="B1127" t="s">
        <v>102</v>
      </c>
      <c r="C1127">
        <v>164853</v>
      </c>
      <c r="D1127">
        <v>165195</v>
      </c>
      <c r="E1127">
        <v>158825</v>
      </c>
      <c r="F1127">
        <v>74609</v>
      </c>
      <c r="G1127">
        <v>94467</v>
      </c>
      <c r="H1127">
        <v>110497</v>
      </c>
      <c r="I1127">
        <v>110500</v>
      </c>
      <c r="J1127">
        <v>110500</v>
      </c>
      <c r="K1127">
        <v>110500</v>
      </c>
      <c r="L1127">
        <v>110500</v>
      </c>
      <c r="M1127">
        <v>552497</v>
      </c>
      <c r="N1127" s="2">
        <v>0.96338254602901152</v>
      </c>
    </row>
    <row r="1128" spans="1:14" hidden="1" x14ac:dyDescent="0.25">
      <c r="A1128" t="s">
        <v>49</v>
      </c>
      <c r="B1128" t="s">
        <v>107</v>
      </c>
      <c r="C1128">
        <v>4200</v>
      </c>
      <c r="D1128">
        <v>4200</v>
      </c>
      <c r="E1128">
        <v>4200</v>
      </c>
      <c r="F1128">
        <v>4200</v>
      </c>
      <c r="G1128">
        <v>4200</v>
      </c>
      <c r="H1128">
        <v>4200</v>
      </c>
      <c r="I1128">
        <v>4200</v>
      </c>
      <c r="J1128">
        <v>4200</v>
      </c>
      <c r="K1128">
        <v>4200</v>
      </c>
      <c r="L1128">
        <v>4200</v>
      </c>
      <c r="M1128">
        <v>21000</v>
      </c>
      <c r="N1128" s="2">
        <v>3.6617453970988513E-2</v>
      </c>
    </row>
    <row r="1129" spans="1:14" hidden="1" x14ac:dyDescent="0.25">
      <c r="A1129" t="s">
        <v>44</v>
      </c>
      <c r="B1129" t="s">
        <v>85</v>
      </c>
      <c r="C1129">
        <v>80187</v>
      </c>
      <c r="D1129">
        <v>71600</v>
      </c>
      <c r="E1129">
        <v>51737</v>
      </c>
      <c r="F1129">
        <v>51874</v>
      </c>
      <c r="G1129">
        <v>44390</v>
      </c>
      <c r="H1129">
        <v>58690</v>
      </c>
      <c r="I1129">
        <v>60000</v>
      </c>
      <c r="J1129">
        <v>60000</v>
      </c>
      <c r="K1129">
        <v>60000</v>
      </c>
      <c r="L1129">
        <v>60000</v>
      </c>
      <c r="M1129">
        <v>298690</v>
      </c>
      <c r="N1129" s="2">
        <v>0.89623759643053247</v>
      </c>
    </row>
    <row r="1130" spans="1:14" hidden="1" x14ac:dyDescent="0.25">
      <c r="A1130" t="s">
        <v>44</v>
      </c>
      <c r="B1130" t="s">
        <v>116</v>
      </c>
      <c r="C1130">
        <v>4710</v>
      </c>
      <c r="D1130">
        <v>4916</v>
      </c>
      <c r="E1130">
        <v>5774</v>
      </c>
      <c r="F1130">
        <v>5385</v>
      </c>
      <c r="G1130">
        <v>6099</v>
      </c>
      <c r="H1130">
        <v>6981</v>
      </c>
      <c r="I1130">
        <v>7400</v>
      </c>
      <c r="J1130">
        <v>6600</v>
      </c>
      <c r="K1130">
        <v>6200</v>
      </c>
      <c r="L1130">
        <v>7400</v>
      </c>
      <c r="M1130">
        <v>34581</v>
      </c>
      <c r="N1130" s="2">
        <v>0.1037624035694675</v>
      </c>
    </row>
    <row r="1131" spans="1:14" hidden="1" x14ac:dyDescent="0.25">
      <c r="A1131" t="s">
        <v>40</v>
      </c>
      <c r="B1131" t="s">
        <v>181</v>
      </c>
      <c r="C1131">
        <v>2500</v>
      </c>
      <c r="D1131">
        <v>2500</v>
      </c>
      <c r="E1131">
        <v>2500</v>
      </c>
      <c r="F1131">
        <v>2500</v>
      </c>
      <c r="G1131">
        <v>2500</v>
      </c>
      <c r="H1131">
        <v>2500</v>
      </c>
      <c r="I1131">
        <v>2500</v>
      </c>
      <c r="J1131">
        <v>2500</v>
      </c>
      <c r="K1131">
        <v>2500</v>
      </c>
      <c r="L1131">
        <v>2500</v>
      </c>
      <c r="M1131">
        <v>12500</v>
      </c>
      <c r="N1131" s="2">
        <v>2.171447034932503E-3</v>
      </c>
    </row>
    <row r="1132" spans="1:14" hidden="1" x14ac:dyDescent="0.25">
      <c r="A1132" t="s">
        <v>40</v>
      </c>
      <c r="B1132" t="s">
        <v>85</v>
      </c>
      <c r="C1132">
        <v>94443</v>
      </c>
      <c r="D1132">
        <v>34400</v>
      </c>
      <c r="E1132">
        <v>37200</v>
      </c>
      <c r="F1132">
        <v>21286</v>
      </c>
      <c r="G1132">
        <v>44538</v>
      </c>
      <c r="H1132">
        <v>43800</v>
      </c>
      <c r="I1132">
        <v>42310</v>
      </c>
      <c r="J1132">
        <v>45543</v>
      </c>
      <c r="K1132">
        <v>46000</v>
      </c>
      <c r="L1132">
        <v>41700</v>
      </c>
      <c r="M1132">
        <v>219353</v>
      </c>
      <c r="N1132" s="2">
        <v>3.8105073716283952E-2</v>
      </c>
    </row>
    <row r="1133" spans="1:14" hidden="1" x14ac:dyDescent="0.25">
      <c r="A1133" t="s">
        <v>40</v>
      </c>
      <c r="B1133" t="s">
        <v>87</v>
      </c>
      <c r="C1133">
        <v>138966</v>
      </c>
      <c r="D1133">
        <v>137995</v>
      </c>
      <c r="E1133">
        <v>117775</v>
      </c>
      <c r="F1133">
        <v>104773</v>
      </c>
      <c r="G1133">
        <v>105976</v>
      </c>
      <c r="H1133">
        <v>116016</v>
      </c>
      <c r="I1133">
        <v>123000</v>
      </c>
      <c r="J1133">
        <v>116000</v>
      </c>
      <c r="K1133">
        <v>103000</v>
      </c>
      <c r="L1133">
        <v>109000</v>
      </c>
      <c r="M1133">
        <v>567016</v>
      </c>
      <c r="N1133" s="2">
        <v>9.8499616956743044E-2</v>
      </c>
    </row>
    <row r="1134" spans="1:14" hidden="1" x14ac:dyDescent="0.25">
      <c r="A1134" t="s">
        <v>40</v>
      </c>
      <c r="B1134" t="s">
        <v>89</v>
      </c>
      <c r="C1134">
        <v>38433</v>
      </c>
      <c r="D1134">
        <v>23419</v>
      </c>
      <c r="E1134">
        <v>0</v>
      </c>
      <c r="F1134">
        <v>0</v>
      </c>
      <c r="G1134">
        <v>33203</v>
      </c>
      <c r="H1134">
        <v>43894</v>
      </c>
      <c r="I1134">
        <v>53697</v>
      </c>
      <c r="J1134">
        <v>78662</v>
      </c>
      <c r="K1134">
        <v>59211</v>
      </c>
      <c r="L1134">
        <v>75887</v>
      </c>
      <c r="M1134">
        <v>311351</v>
      </c>
      <c r="N1134" s="2">
        <v>5.4086576461861567E-2</v>
      </c>
    </row>
    <row r="1135" spans="1:14" hidden="1" x14ac:dyDescent="0.25">
      <c r="A1135" t="s">
        <v>40</v>
      </c>
      <c r="B1135" t="s">
        <v>93</v>
      </c>
      <c r="C1135">
        <v>96435</v>
      </c>
      <c r="D1135">
        <v>86850</v>
      </c>
      <c r="E1135">
        <v>94952</v>
      </c>
      <c r="F1135">
        <v>89129</v>
      </c>
      <c r="G1135">
        <v>87880</v>
      </c>
      <c r="H1135">
        <v>86136</v>
      </c>
      <c r="I1135">
        <v>82615</v>
      </c>
      <c r="J1135">
        <v>62251</v>
      </c>
      <c r="K1135">
        <v>30518</v>
      </c>
      <c r="L1135">
        <v>19394</v>
      </c>
      <c r="M1135">
        <v>280914</v>
      </c>
      <c r="N1135" s="2">
        <v>4.8799189789682333E-2</v>
      </c>
    </row>
    <row r="1136" spans="1:14" hidden="1" x14ac:dyDescent="0.25">
      <c r="A1136" t="s">
        <v>40</v>
      </c>
      <c r="B1136" t="s">
        <v>98</v>
      </c>
      <c r="C1136">
        <v>91860</v>
      </c>
      <c r="D1136">
        <v>91245</v>
      </c>
      <c r="E1136">
        <v>84255</v>
      </c>
      <c r="F1136">
        <v>86055</v>
      </c>
      <c r="G1136">
        <v>101465</v>
      </c>
      <c r="H1136">
        <v>108810</v>
      </c>
      <c r="I1136">
        <v>124340</v>
      </c>
      <c r="J1136">
        <v>128565</v>
      </c>
      <c r="K1136">
        <v>129850</v>
      </c>
      <c r="L1136">
        <v>129090</v>
      </c>
      <c r="M1136">
        <v>620655</v>
      </c>
      <c r="N1136" s="2">
        <v>0.10781755675728261</v>
      </c>
    </row>
    <row r="1137" spans="1:14" hidden="1" x14ac:dyDescent="0.25">
      <c r="A1137" t="s">
        <v>40</v>
      </c>
      <c r="B1137" t="s">
        <v>119</v>
      </c>
      <c r="C1137">
        <v>371913</v>
      </c>
      <c r="D1137">
        <v>402768</v>
      </c>
      <c r="E1137">
        <v>379291</v>
      </c>
      <c r="F1137">
        <v>396969</v>
      </c>
      <c r="G1137">
        <v>333448</v>
      </c>
      <c r="H1137">
        <v>312324</v>
      </c>
      <c r="I1137">
        <v>339844</v>
      </c>
      <c r="J1137">
        <v>337790</v>
      </c>
      <c r="K1137">
        <v>234505</v>
      </c>
      <c r="L1137">
        <v>243275</v>
      </c>
      <c r="M1137">
        <v>1467738</v>
      </c>
      <c r="N1137" s="2">
        <v>0.25496922625262092</v>
      </c>
    </row>
    <row r="1138" spans="1:14" hidden="1" x14ac:dyDescent="0.25">
      <c r="A1138" t="s">
        <v>40</v>
      </c>
      <c r="B1138" t="s">
        <v>230</v>
      </c>
      <c r="C1138">
        <v>30200</v>
      </c>
      <c r="D1138">
        <v>33300</v>
      </c>
      <c r="E1138">
        <v>34000</v>
      </c>
      <c r="F1138">
        <v>39200</v>
      </c>
      <c r="G1138">
        <v>22800</v>
      </c>
      <c r="H1138">
        <v>23000</v>
      </c>
      <c r="I1138">
        <v>6000</v>
      </c>
      <c r="J1138">
        <v>7200</v>
      </c>
      <c r="K1138">
        <v>7000</v>
      </c>
      <c r="L1138">
        <v>5000</v>
      </c>
      <c r="M1138">
        <v>48200</v>
      </c>
      <c r="N1138" s="2">
        <v>8.3730997666997299E-3</v>
      </c>
    </row>
    <row r="1139" spans="1:14" hidden="1" x14ac:dyDescent="0.25">
      <c r="A1139" t="s">
        <v>40</v>
      </c>
      <c r="B1139" t="s">
        <v>174</v>
      </c>
      <c r="D1139">
        <v>27000</v>
      </c>
      <c r="E1139">
        <v>56302</v>
      </c>
      <c r="F1139">
        <v>65466</v>
      </c>
      <c r="G1139">
        <v>64462</v>
      </c>
      <c r="H1139">
        <v>64462</v>
      </c>
      <c r="I1139">
        <v>62367</v>
      </c>
      <c r="J1139">
        <v>54247</v>
      </c>
      <c r="K1139">
        <v>76347</v>
      </c>
      <c r="L1139">
        <v>52970</v>
      </c>
      <c r="M1139">
        <v>310393</v>
      </c>
      <c r="N1139" s="2">
        <v>5.3920156761104343E-2</v>
      </c>
    </row>
    <row r="1140" spans="1:14" hidden="1" x14ac:dyDescent="0.25">
      <c r="A1140" t="s">
        <v>40</v>
      </c>
      <c r="B1140" t="s">
        <v>162</v>
      </c>
      <c r="C1140">
        <v>184476</v>
      </c>
      <c r="D1140">
        <v>174078</v>
      </c>
      <c r="E1140">
        <v>224884</v>
      </c>
      <c r="F1140">
        <v>228484</v>
      </c>
      <c r="G1140">
        <v>261420</v>
      </c>
      <c r="H1140">
        <v>269961</v>
      </c>
      <c r="I1140">
        <v>260206</v>
      </c>
      <c r="J1140">
        <v>247746</v>
      </c>
      <c r="K1140">
        <v>236421</v>
      </c>
      <c r="L1140">
        <v>205108</v>
      </c>
      <c r="M1140">
        <v>1219442</v>
      </c>
      <c r="N1140" s="2">
        <v>0.2118362972137729</v>
      </c>
    </row>
    <row r="1141" spans="1:14" hidden="1" x14ac:dyDescent="0.25">
      <c r="A1141" t="s">
        <v>40</v>
      </c>
      <c r="B1141" t="s">
        <v>176</v>
      </c>
      <c r="C1141">
        <v>19247</v>
      </c>
      <c r="D1141">
        <v>20001</v>
      </c>
      <c r="E1141">
        <v>18054</v>
      </c>
      <c r="F1141">
        <v>17699</v>
      </c>
      <c r="G1141">
        <v>10603</v>
      </c>
      <c r="H1141">
        <v>7175</v>
      </c>
      <c r="I1141">
        <v>10100</v>
      </c>
      <c r="J1141">
        <v>15202</v>
      </c>
      <c r="K1141">
        <v>17747</v>
      </c>
      <c r="L1141">
        <v>17714</v>
      </c>
      <c r="M1141">
        <v>67938</v>
      </c>
      <c r="N1141" s="2">
        <v>1.1801901492739551E-2</v>
      </c>
    </row>
    <row r="1142" spans="1:14" hidden="1" x14ac:dyDescent="0.25">
      <c r="A1142" t="s">
        <v>40</v>
      </c>
      <c r="B1142" t="s">
        <v>107</v>
      </c>
      <c r="C1142">
        <v>20049</v>
      </c>
      <c r="D1142">
        <v>20000</v>
      </c>
      <c r="E1142">
        <v>20000</v>
      </c>
      <c r="F1142">
        <v>20000</v>
      </c>
      <c r="G1142">
        <v>20000</v>
      </c>
      <c r="H1142">
        <v>20000</v>
      </c>
      <c r="I1142">
        <v>20000</v>
      </c>
      <c r="J1142">
        <v>20000</v>
      </c>
      <c r="K1142">
        <v>20000</v>
      </c>
      <c r="L1142">
        <v>20000</v>
      </c>
      <c r="M1142">
        <v>100000</v>
      </c>
      <c r="N1142" s="2">
        <v>1.7371576279460021E-2</v>
      </c>
    </row>
    <row r="1143" spans="1:14" hidden="1" x14ac:dyDescent="0.25">
      <c r="A1143" t="s">
        <v>40</v>
      </c>
      <c r="B1143" t="s">
        <v>122</v>
      </c>
      <c r="C1143">
        <v>119652</v>
      </c>
      <c r="D1143">
        <v>121586</v>
      </c>
      <c r="E1143">
        <v>114222</v>
      </c>
      <c r="F1143">
        <v>95209</v>
      </c>
      <c r="G1143">
        <v>84025</v>
      </c>
      <c r="H1143">
        <v>74459</v>
      </c>
      <c r="I1143">
        <v>79537</v>
      </c>
      <c r="J1143">
        <v>79334</v>
      </c>
      <c r="K1143">
        <v>73700</v>
      </c>
      <c r="L1143">
        <v>74000</v>
      </c>
      <c r="M1143">
        <v>381030</v>
      </c>
      <c r="N1143" s="2">
        <v>6.619091709762652E-2</v>
      </c>
    </row>
    <row r="1144" spans="1:14" hidden="1" x14ac:dyDescent="0.25">
      <c r="A1144" t="s">
        <v>40</v>
      </c>
      <c r="B1144" t="s">
        <v>114</v>
      </c>
      <c r="C1144">
        <v>50000</v>
      </c>
      <c r="D1144">
        <v>50000</v>
      </c>
      <c r="E1144">
        <v>50000</v>
      </c>
      <c r="F1144">
        <v>50000</v>
      </c>
      <c r="G1144">
        <v>50000</v>
      </c>
      <c r="H1144">
        <v>50000</v>
      </c>
      <c r="I1144">
        <v>25000</v>
      </c>
      <c r="J1144">
        <v>25000</v>
      </c>
      <c r="K1144">
        <v>25000</v>
      </c>
      <c r="L1144">
        <v>25000</v>
      </c>
      <c r="M1144">
        <v>150000</v>
      </c>
      <c r="N1144" s="2">
        <v>2.6057364419190029E-2</v>
      </c>
    </row>
    <row r="1145" spans="1:14" hidden="1" x14ac:dyDescent="0.25">
      <c r="A1145" t="s">
        <v>37</v>
      </c>
      <c r="B1145" t="s">
        <v>164</v>
      </c>
      <c r="C1145">
        <v>5836</v>
      </c>
      <c r="D1145">
        <v>6619</v>
      </c>
      <c r="E1145">
        <v>6528</v>
      </c>
      <c r="F1145">
        <v>5576</v>
      </c>
      <c r="G1145">
        <v>6526</v>
      </c>
      <c r="H1145">
        <v>6588</v>
      </c>
      <c r="I1145">
        <v>7279</v>
      </c>
      <c r="J1145">
        <v>7712</v>
      </c>
      <c r="K1145">
        <v>6718</v>
      </c>
      <c r="L1145">
        <v>8335</v>
      </c>
      <c r="M1145">
        <v>36632</v>
      </c>
      <c r="N1145" s="2">
        <v>0.23748306331887639</v>
      </c>
    </row>
    <row r="1146" spans="1:14" hidden="1" x14ac:dyDescent="0.25">
      <c r="A1146" t="s">
        <v>37</v>
      </c>
      <c r="B1146" t="s">
        <v>181</v>
      </c>
      <c r="C1146">
        <v>4000</v>
      </c>
      <c r="D1146">
        <v>4000</v>
      </c>
      <c r="E1146">
        <v>4000</v>
      </c>
      <c r="F1146">
        <v>4000</v>
      </c>
      <c r="G1146">
        <v>4000</v>
      </c>
      <c r="H1146">
        <v>4000</v>
      </c>
      <c r="I1146">
        <v>4000</v>
      </c>
      <c r="J1146">
        <v>4000</v>
      </c>
      <c r="K1146">
        <v>3000</v>
      </c>
      <c r="L1146">
        <v>3000</v>
      </c>
      <c r="M1146">
        <v>18000</v>
      </c>
      <c r="N1146" s="2">
        <v>0.11669292257424591</v>
      </c>
    </row>
    <row r="1147" spans="1:14" hidden="1" x14ac:dyDescent="0.25">
      <c r="A1147" t="s">
        <v>37</v>
      </c>
      <c r="B1147" t="s">
        <v>145</v>
      </c>
      <c r="C1147">
        <v>15451</v>
      </c>
      <c r="D1147">
        <v>13072</v>
      </c>
      <c r="E1147">
        <v>14584</v>
      </c>
      <c r="F1147">
        <v>14500</v>
      </c>
      <c r="G1147">
        <v>14500</v>
      </c>
      <c r="H1147">
        <v>14500</v>
      </c>
      <c r="I1147">
        <v>14500</v>
      </c>
      <c r="J1147">
        <v>14500</v>
      </c>
      <c r="K1147">
        <v>14500</v>
      </c>
      <c r="L1147">
        <v>14500</v>
      </c>
      <c r="M1147">
        <v>72500</v>
      </c>
      <c r="N1147" s="2">
        <v>0.47001316036849028</v>
      </c>
    </row>
    <row r="1148" spans="1:14" hidden="1" x14ac:dyDescent="0.25">
      <c r="A1148" t="s">
        <v>37</v>
      </c>
      <c r="B1148" t="s">
        <v>97</v>
      </c>
      <c r="C1148">
        <v>1076</v>
      </c>
      <c r="D1148">
        <v>1231</v>
      </c>
      <c r="E1148">
        <v>1295</v>
      </c>
      <c r="F1148">
        <v>1459</v>
      </c>
      <c r="G1148">
        <v>1603</v>
      </c>
      <c r="H1148">
        <v>1205</v>
      </c>
      <c r="I1148">
        <v>1003</v>
      </c>
      <c r="J1148">
        <v>527</v>
      </c>
      <c r="K1148">
        <v>428</v>
      </c>
      <c r="L1148">
        <v>430</v>
      </c>
      <c r="M1148">
        <v>3593</v>
      </c>
      <c r="N1148" s="2">
        <v>2.3293203933848081E-2</v>
      </c>
    </row>
    <row r="1149" spans="1:14" hidden="1" x14ac:dyDescent="0.25">
      <c r="A1149" t="s">
        <v>37</v>
      </c>
      <c r="B1149" t="s">
        <v>107</v>
      </c>
      <c r="C1149">
        <v>7018</v>
      </c>
      <c r="D1149">
        <v>5297</v>
      </c>
      <c r="E1149">
        <v>4503</v>
      </c>
      <c r="F1149">
        <v>4660</v>
      </c>
      <c r="G1149">
        <v>4881</v>
      </c>
      <c r="H1149">
        <v>4726</v>
      </c>
      <c r="I1149">
        <v>4700</v>
      </c>
      <c r="J1149">
        <v>4700</v>
      </c>
      <c r="K1149">
        <v>4700</v>
      </c>
      <c r="L1149">
        <v>4700</v>
      </c>
      <c r="M1149">
        <v>23526</v>
      </c>
      <c r="N1149" s="2">
        <v>0.15251764980453941</v>
      </c>
    </row>
    <row r="1150" spans="1:14" hidden="1" x14ac:dyDescent="0.25">
      <c r="A1150" t="s">
        <v>38</v>
      </c>
      <c r="B1150" t="s">
        <v>83</v>
      </c>
      <c r="C1150">
        <v>198000</v>
      </c>
      <c r="D1150">
        <v>234000</v>
      </c>
      <c r="E1150">
        <v>269000</v>
      </c>
      <c r="F1150">
        <v>278000</v>
      </c>
      <c r="G1150">
        <v>222000</v>
      </c>
      <c r="H1150">
        <v>245000</v>
      </c>
      <c r="I1150">
        <v>275000</v>
      </c>
      <c r="J1150">
        <v>257000</v>
      </c>
      <c r="K1150">
        <v>270000</v>
      </c>
      <c r="L1150">
        <v>270000</v>
      </c>
      <c r="M1150">
        <v>1317000</v>
      </c>
      <c r="N1150" s="2">
        <v>1</v>
      </c>
    </row>
    <row r="1151" spans="1:14" hidden="1" x14ac:dyDescent="0.25">
      <c r="A1151" t="s">
        <v>43</v>
      </c>
      <c r="B1151" t="s">
        <v>85</v>
      </c>
      <c r="C1151">
        <v>88714</v>
      </c>
      <c r="D1151">
        <v>83348</v>
      </c>
      <c r="E1151">
        <v>303000</v>
      </c>
      <c r="F1151">
        <v>129000</v>
      </c>
      <c r="G1151">
        <v>124000</v>
      </c>
      <c r="H1151">
        <v>149000</v>
      </c>
      <c r="I1151">
        <v>168000</v>
      </c>
      <c r="J1151">
        <v>151000</v>
      </c>
      <c r="K1151">
        <v>73000</v>
      </c>
      <c r="L1151">
        <v>71000</v>
      </c>
      <c r="M1151">
        <v>612000</v>
      </c>
      <c r="N1151" s="2">
        <v>5.6576097763496938E-2</v>
      </c>
    </row>
    <row r="1152" spans="1:14" hidden="1" x14ac:dyDescent="0.25">
      <c r="A1152" t="s">
        <v>43</v>
      </c>
      <c r="B1152" t="s">
        <v>91</v>
      </c>
      <c r="C1152">
        <v>101000</v>
      </c>
      <c r="D1152">
        <v>104000</v>
      </c>
      <c r="E1152">
        <v>115700</v>
      </c>
      <c r="F1152">
        <v>126000</v>
      </c>
      <c r="G1152">
        <v>119008</v>
      </c>
      <c r="H1152">
        <v>95442</v>
      </c>
      <c r="I1152">
        <v>125383</v>
      </c>
      <c r="J1152">
        <v>115000</v>
      </c>
      <c r="K1152">
        <v>68000</v>
      </c>
      <c r="L1152">
        <v>68000</v>
      </c>
      <c r="M1152">
        <v>471825</v>
      </c>
      <c r="N1152" s="2">
        <v>4.3617675371343041E-2</v>
      </c>
    </row>
    <row r="1153" spans="1:14" hidden="1" x14ac:dyDescent="0.25">
      <c r="A1153" t="s">
        <v>43</v>
      </c>
      <c r="B1153" t="s">
        <v>169</v>
      </c>
      <c r="C1153">
        <v>4500</v>
      </c>
      <c r="D1153">
        <v>4500</v>
      </c>
      <c r="E1153">
        <v>4500</v>
      </c>
      <c r="F1153">
        <v>4500</v>
      </c>
      <c r="G1153">
        <v>4500</v>
      </c>
      <c r="H1153">
        <v>4500</v>
      </c>
      <c r="I1153">
        <v>4500</v>
      </c>
      <c r="J1153">
        <v>4500</v>
      </c>
      <c r="K1153">
        <v>4500</v>
      </c>
      <c r="L1153">
        <v>4500</v>
      </c>
      <c r="M1153">
        <v>22500</v>
      </c>
      <c r="N1153" s="2">
        <v>2.0800035942462108E-3</v>
      </c>
    </row>
    <row r="1154" spans="1:14" hidden="1" x14ac:dyDescent="0.25">
      <c r="A1154" t="s">
        <v>43</v>
      </c>
      <c r="B1154" t="s">
        <v>97</v>
      </c>
      <c r="C1154">
        <v>518000</v>
      </c>
      <c r="D1154">
        <v>518000</v>
      </c>
      <c r="E1154">
        <v>518000</v>
      </c>
      <c r="F1154">
        <v>518000</v>
      </c>
      <c r="G1154">
        <v>518000</v>
      </c>
      <c r="H1154">
        <v>518000</v>
      </c>
      <c r="I1154">
        <v>518000</v>
      </c>
      <c r="J1154">
        <v>0</v>
      </c>
      <c r="K1154">
        <v>0</v>
      </c>
      <c r="L1154">
        <v>0</v>
      </c>
      <c r="M1154">
        <v>1036000</v>
      </c>
      <c r="N1154" s="2">
        <v>9.5772609939514419E-2</v>
      </c>
    </row>
    <row r="1155" spans="1:14" hidden="1" x14ac:dyDescent="0.25">
      <c r="A1155" t="s">
        <v>43</v>
      </c>
      <c r="B1155" t="s">
        <v>119</v>
      </c>
      <c r="C1155">
        <v>436171</v>
      </c>
      <c r="D1155">
        <v>460936</v>
      </c>
      <c r="E1155">
        <v>463345</v>
      </c>
      <c r="F1155">
        <v>465952</v>
      </c>
      <c r="G1155">
        <v>473740</v>
      </c>
      <c r="H1155">
        <v>456460</v>
      </c>
      <c r="I1155">
        <v>456518</v>
      </c>
      <c r="J1155">
        <v>462740</v>
      </c>
      <c r="K1155">
        <v>400331</v>
      </c>
      <c r="L1155">
        <v>440173</v>
      </c>
      <c r="M1155">
        <v>2216222</v>
      </c>
      <c r="N1155" s="2">
        <v>0.20487776558433449</v>
      </c>
    </row>
    <row r="1156" spans="1:14" hidden="1" x14ac:dyDescent="0.25">
      <c r="A1156" t="s">
        <v>43</v>
      </c>
      <c r="B1156" t="s">
        <v>148</v>
      </c>
      <c r="C1156">
        <v>355000</v>
      </c>
      <c r="D1156">
        <v>355000</v>
      </c>
      <c r="E1156">
        <v>355000</v>
      </c>
      <c r="F1156">
        <v>355000</v>
      </c>
      <c r="G1156">
        <v>355000</v>
      </c>
      <c r="H1156">
        <v>355000</v>
      </c>
      <c r="I1156">
        <v>355000</v>
      </c>
      <c r="J1156">
        <v>355000</v>
      </c>
      <c r="K1156">
        <v>355000</v>
      </c>
      <c r="L1156">
        <v>355000</v>
      </c>
      <c r="M1156">
        <v>1775000</v>
      </c>
      <c r="N1156" s="2">
        <v>0.16408917243497889</v>
      </c>
    </row>
    <row r="1157" spans="1:14" hidden="1" x14ac:dyDescent="0.25">
      <c r="A1157" t="s">
        <v>43</v>
      </c>
      <c r="B1157" t="s">
        <v>150</v>
      </c>
      <c r="C1157">
        <v>61845</v>
      </c>
      <c r="D1157">
        <v>60674</v>
      </c>
      <c r="E1157">
        <v>67506</v>
      </c>
      <c r="F1157">
        <v>67919</v>
      </c>
      <c r="G1157">
        <v>84529</v>
      </c>
      <c r="H1157">
        <v>90010</v>
      </c>
      <c r="I1157">
        <v>95349</v>
      </c>
      <c r="J1157">
        <v>72937</v>
      </c>
      <c r="K1157">
        <v>57127</v>
      </c>
      <c r="L1157">
        <v>71637</v>
      </c>
      <c r="M1157">
        <v>387060</v>
      </c>
      <c r="N1157" s="2">
        <v>3.5781608497286149E-2</v>
      </c>
    </row>
    <row r="1158" spans="1:14" hidden="1" x14ac:dyDescent="0.25">
      <c r="A1158" t="s">
        <v>43</v>
      </c>
      <c r="B1158" t="s">
        <v>132</v>
      </c>
      <c r="C1158">
        <v>325900</v>
      </c>
      <c r="D1158">
        <v>306700</v>
      </c>
      <c r="E1158">
        <v>295400</v>
      </c>
      <c r="F1158">
        <v>309200</v>
      </c>
      <c r="G1158">
        <v>329100</v>
      </c>
      <c r="H1158">
        <v>400800</v>
      </c>
      <c r="I1158">
        <v>327600</v>
      </c>
      <c r="J1158">
        <v>330000</v>
      </c>
      <c r="K1158">
        <v>330000</v>
      </c>
      <c r="L1158">
        <v>330000</v>
      </c>
      <c r="M1158">
        <v>1718400</v>
      </c>
      <c r="N1158" s="2">
        <v>0.1588568078378973</v>
      </c>
    </row>
    <row r="1159" spans="1:14" hidden="1" x14ac:dyDescent="0.25">
      <c r="A1159" t="s">
        <v>43</v>
      </c>
      <c r="B1159" t="s">
        <v>151</v>
      </c>
      <c r="C1159">
        <v>800</v>
      </c>
      <c r="D1159">
        <v>820</v>
      </c>
      <c r="E1159">
        <v>549</v>
      </c>
      <c r="F1159">
        <v>0</v>
      </c>
      <c r="G1159">
        <v>0</v>
      </c>
      <c r="H1159">
        <v>66</v>
      </c>
      <c r="I1159">
        <v>0</v>
      </c>
      <c r="J1159">
        <v>0</v>
      </c>
      <c r="K1159">
        <v>0</v>
      </c>
      <c r="L1159">
        <v>0</v>
      </c>
      <c r="M1159">
        <v>66</v>
      </c>
      <c r="N1159" s="2">
        <v>6.101343876455552E-6</v>
      </c>
    </row>
    <row r="1160" spans="1:14" hidden="1" x14ac:dyDescent="0.25">
      <c r="A1160" t="s">
        <v>43</v>
      </c>
      <c r="B1160" t="s">
        <v>107</v>
      </c>
      <c r="C1160">
        <v>170000</v>
      </c>
      <c r="D1160">
        <v>170000</v>
      </c>
      <c r="E1160">
        <v>170000</v>
      </c>
      <c r="F1160">
        <v>155700</v>
      </c>
      <c r="G1160">
        <v>124200</v>
      </c>
      <c r="H1160">
        <v>253000</v>
      </c>
      <c r="I1160">
        <v>281000</v>
      </c>
      <c r="J1160">
        <v>273000</v>
      </c>
      <c r="K1160">
        <v>240000</v>
      </c>
      <c r="L1160">
        <v>240000</v>
      </c>
      <c r="M1160">
        <v>1287000</v>
      </c>
      <c r="N1160" s="2">
        <v>0.1189762055908833</v>
      </c>
    </row>
    <row r="1161" spans="1:14" hidden="1" x14ac:dyDescent="0.25">
      <c r="A1161" t="s">
        <v>43</v>
      </c>
      <c r="B1161" t="s">
        <v>135</v>
      </c>
      <c r="D1161">
        <v>2119</v>
      </c>
      <c r="E1161">
        <v>17554</v>
      </c>
      <c r="F1161">
        <v>24500</v>
      </c>
      <c r="G1161">
        <v>35000</v>
      </c>
      <c r="H1161">
        <v>41300</v>
      </c>
      <c r="I1161">
        <v>32300</v>
      </c>
      <c r="J1161">
        <v>26200</v>
      </c>
      <c r="K1161">
        <v>24000</v>
      </c>
      <c r="L1161">
        <v>30900</v>
      </c>
      <c r="M1161">
        <v>154700</v>
      </c>
      <c r="N1161" s="2">
        <v>1.430118026799506E-2</v>
      </c>
    </row>
    <row r="1162" spans="1:14" hidden="1" x14ac:dyDescent="0.25">
      <c r="A1162" t="s">
        <v>43</v>
      </c>
      <c r="B1162" t="s">
        <v>121</v>
      </c>
      <c r="C1162">
        <v>80200</v>
      </c>
      <c r="D1162">
        <v>107200</v>
      </c>
      <c r="E1162">
        <v>133200</v>
      </c>
      <c r="F1162">
        <v>126200</v>
      </c>
      <c r="G1162">
        <v>120100</v>
      </c>
      <c r="H1162">
        <v>132100</v>
      </c>
      <c r="I1162">
        <v>86200</v>
      </c>
      <c r="J1162">
        <v>55500</v>
      </c>
      <c r="K1162">
        <v>28000</v>
      </c>
      <c r="L1162">
        <v>25000</v>
      </c>
      <c r="M1162">
        <v>326800</v>
      </c>
      <c r="N1162" s="2">
        <v>3.0210896648873851E-2</v>
      </c>
    </row>
    <row r="1163" spans="1:14" hidden="1" x14ac:dyDescent="0.25">
      <c r="A1163" t="s">
        <v>43</v>
      </c>
      <c r="B1163" t="s">
        <v>122</v>
      </c>
      <c r="C1163">
        <v>163921</v>
      </c>
      <c r="D1163">
        <v>88626</v>
      </c>
      <c r="E1163">
        <v>104291</v>
      </c>
      <c r="F1163">
        <v>100209</v>
      </c>
      <c r="G1163">
        <v>184310</v>
      </c>
      <c r="H1163">
        <v>211124</v>
      </c>
      <c r="I1163">
        <v>155869</v>
      </c>
      <c r="J1163">
        <v>172508</v>
      </c>
      <c r="K1163">
        <v>117215</v>
      </c>
      <c r="L1163">
        <v>117000</v>
      </c>
      <c r="M1163">
        <v>773716</v>
      </c>
      <c r="N1163" s="2">
        <v>7.152586937448005E-2</v>
      </c>
    </row>
    <row r="1164" spans="1:14" hidden="1" x14ac:dyDescent="0.25">
      <c r="A1164" t="s">
        <v>43</v>
      </c>
      <c r="B1164" t="s">
        <v>114</v>
      </c>
      <c r="C1164">
        <v>12000</v>
      </c>
      <c r="D1164">
        <v>12000</v>
      </c>
      <c r="E1164">
        <v>12000</v>
      </c>
      <c r="F1164">
        <v>12000</v>
      </c>
      <c r="G1164">
        <v>12000</v>
      </c>
      <c r="H1164">
        <v>12000</v>
      </c>
      <c r="I1164">
        <v>6000</v>
      </c>
      <c r="J1164">
        <v>6000</v>
      </c>
      <c r="K1164">
        <v>6000</v>
      </c>
      <c r="L1164">
        <v>6000</v>
      </c>
      <c r="M1164">
        <v>36000</v>
      </c>
      <c r="N1164" s="2">
        <v>3.3280057507939372E-3</v>
      </c>
    </row>
    <row r="1165" spans="1:14" hidden="1" x14ac:dyDescent="0.25">
      <c r="A1165" t="s">
        <v>34</v>
      </c>
      <c r="B1165" t="s">
        <v>153</v>
      </c>
      <c r="C1165">
        <v>24018</v>
      </c>
      <c r="D1165">
        <v>24692</v>
      </c>
      <c r="E1165">
        <v>34897</v>
      </c>
      <c r="F1165">
        <v>43350</v>
      </c>
      <c r="G1165">
        <v>44551</v>
      </c>
      <c r="H1165">
        <v>23987</v>
      </c>
      <c r="I1165">
        <v>92850</v>
      </c>
      <c r="J1165">
        <v>66402</v>
      </c>
      <c r="K1165">
        <v>53543</v>
      </c>
      <c r="L1165">
        <v>103700</v>
      </c>
      <c r="M1165">
        <v>340482</v>
      </c>
      <c r="N1165" s="2">
        <v>1.5716783453234191E-2</v>
      </c>
    </row>
    <row r="1166" spans="1:14" hidden="1" x14ac:dyDescent="0.25">
      <c r="A1166" t="s">
        <v>34</v>
      </c>
      <c r="B1166" t="s">
        <v>85</v>
      </c>
      <c r="C1166">
        <v>162535</v>
      </c>
      <c r="D1166">
        <v>160996</v>
      </c>
      <c r="E1166">
        <v>178279</v>
      </c>
      <c r="F1166">
        <v>155421</v>
      </c>
      <c r="G1166">
        <v>150240</v>
      </c>
      <c r="H1166">
        <v>171531</v>
      </c>
      <c r="I1166">
        <v>175061</v>
      </c>
      <c r="J1166">
        <v>136780</v>
      </c>
      <c r="K1166">
        <v>254346</v>
      </c>
      <c r="L1166">
        <v>300000</v>
      </c>
      <c r="M1166">
        <v>1037718</v>
      </c>
      <c r="N1166" s="2">
        <v>4.7901472299631917E-2</v>
      </c>
    </row>
    <row r="1167" spans="1:14" hidden="1" x14ac:dyDescent="0.25">
      <c r="A1167" t="s">
        <v>34</v>
      </c>
      <c r="B1167" t="s">
        <v>154</v>
      </c>
      <c r="C1167">
        <v>229000</v>
      </c>
      <c r="D1167">
        <v>434000</v>
      </c>
      <c r="E1167">
        <v>441000</v>
      </c>
      <c r="F1167">
        <v>457000</v>
      </c>
      <c r="G1167">
        <v>469000</v>
      </c>
      <c r="H1167">
        <v>415000</v>
      </c>
      <c r="I1167">
        <v>497000</v>
      </c>
      <c r="J1167">
        <v>505000</v>
      </c>
      <c r="K1167">
        <v>498000</v>
      </c>
      <c r="L1167">
        <v>515000</v>
      </c>
      <c r="M1167">
        <v>2430000</v>
      </c>
      <c r="N1167" s="2">
        <v>0.11216975872838821</v>
      </c>
    </row>
    <row r="1168" spans="1:14" hidden="1" x14ac:dyDescent="0.25">
      <c r="A1168" t="s">
        <v>34</v>
      </c>
      <c r="B1168" t="s">
        <v>117</v>
      </c>
      <c r="C1168">
        <v>17800</v>
      </c>
      <c r="D1168">
        <v>17800</v>
      </c>
      <c r="E1168">
        <v>17000</v>
      </c>
      <c r="F1168">
        <v>17000</v>
      </c>
      <c r="G1168">
        <v>17800</v>
      </c>
      <c r="H1168">
        <v>29000</v>
      </c>
      <c r="I1168">
        <v>31000</v>
      </c>
      <c r="J1168">
        <v>26000</v>
      </c>
      <c r="K1168">
        <v>11000</v>
      </c>
      <c r="L1168">
        <v>12000</v>
      </c>
      <c r="M1168">
        <v>109000</v>
      </c>
      <c r="N1168" s="2">
        <v>5.0314830046890189E-3</v>
      </c>
    </row>
    <row r="1169" spans="1:14" hidden="1" x14ac:dyDescent="0.25">
      <c r="A1169" t="s">
        <v>34</v>
      </c>
      <c r="B1169" t="s">
        <v>97</v>
      </c>
      <c r="C1169">
        <v>944000</v>
      </c>
      <c r="D1169">
        <v>944000</v>
      </c>
      <c r="E1169">
        <v>944000</v>
      </c>
      <c r="F1169">
        <v>944000</v>
      </c>
      <c r="G1169">
        <v>944000</v>
      </c>
      <c r="H1169">
        <v>944000</v>
      </c>
      <c r="I1169">
        <v>944000</v>
      </c>
      <c r="J1169">
        <v>921000</v>
      </c>
      <c r="K1169">
        <v>868000</v>
      </c>
      <c r="L1169">
        <v>855300</v>
      </c>
      <c r="M1169">
        <v>4532300</v>
      </c>
      <c r="N1169" s="2">
        <v>0.20921275616653251</v>
      </c>
    </row>
    <row r="1170" spans="1:14" hidden="1" x14ac:dyDescent="0.25">
      <c r="A1170" t="s">
        <v>34</v>
      </c>
      <c r="B1170" t="s">
        <v>99</v>
      </c>
      <c r="C1170">
        <v>8000</v>
      </c>
      <c r="D1170">
        <v>8000</v>
      </c>
      <c r="E1170">
        <v>8000</v>
      </c>
      <c r="F1170">
        <v>8000</v>
      </c>
      <c r="G1170">
        <v>8000</v>
      </c>
      <c r="H1170">
        <v>8000</v>
      </c>
      <c r="I1170">
        <v>8000</v>
      </c>
      <c r="J1170">
        <v>8000</v>
      </c>
      <c r="K1170">
        <v>8000</v>
      </c>
      <c r="L1170">
        <v>8000</v>
      </c>
      <c r="M1170">
        <v>40000</v>
      </c>
      <c r="N1170" s="2">
        <v>1.846415781537255E-3</v>
      </c>
    </row>
    <row r="1171" spans="1:14" hidden="1" x14ac:dyDescent="0.25">
      <c r="A1171" t="s">
        <v>34</v>
      </c>
      <c r="B1171" t="s">
        <v>102</v>
      </c>
      <c r="C1171">
        <v>1305343</v>
      </c>
      <c r="D1171">
        <v>1337275</v>
      </c>
      <c r="E1171">
        <v>1351803</v>
      </c>
      <c r="F1171">
        <v>1414476</v>
      </c>
      <c r="G1171">
        <v>1525222</v>
      </c>
      <c r="H1171">
        <v>1640299</v>
      </c>
      <c r="I1171">
        <v>1772508</v>
      </c>
      <c r="J1171">
        <v>1858130</v>
      </c>
      <c r="K1171">
        <v>1841309</v>
      </c>
      <c r="L1171">
        <v>1704561</v>
      </c>
      <c r="M1171">
        <v>8816807</v>
      </c>
      <c r="N1171" s="2">
        <v>0.40698728968920339</v>
      </c>
    </row>
    <row r="1172" spans="1:14" hidden="1" x14ac:dyDescent="0.25">
      <c r="A1172" t="s">
        <v>34</v>
      </c>
      <c r="B1172" t="s">
        <v>107</v>
      </c>
      <c r="C1172">
        <v>477600</v>
      </c>
      <c r="D1172">
        <v>450000</v>
      </c>
      <c r="E1172">
        <v>400000</v>
      </c>
      <c r="F1172">
        <v>363286</v>
      </c>
      <c r="G1172">
        <v>268439</v>
      </c>
      <c r="H1172">
        <v>434452</v>
      </c>
      <c r="I1172">
        <v>332261</v>
      </c>
      <c r="J1172">
        <v>384089</v>
      </c>
      <c r="K1172">
        <v>390000</v>
      </c>
      <c r="L1172">
        <v>390000</v>
      </c>
      <c r="M1172">
        <v>1930802</v>
      </c>
      <c r="N1172" s="2">
        <v>8.9126582095592363E-2</v>
      </c>
    </row>
    <row r="1173" spans="1:14" hidden="1" x14ac:dyDescent="0.25">
      <c r="A1173" t="s">
        <v>34</v>
      </c>
      <c r="B1173" t="s">
        <v>138</v>
      </c>
      <c r="C1173">
        <v>35800</v>
      </c>
      <c r="D1173">
        <v>55078</v>
      </c>
      <c r="E1173">
        <v>65703</v>
      </c>
      <c r="F1173">
        <v>82616</v>
      </c>
      <c r="G1173">
        <v>81102</v>
      </c>
      <c r="H1173">
        <v>114101</v>
      </c>
      <c r="I1173">
        <v>106486</v>
      </c>
      <c r="J1173">
        <v>120000</v>
      </c>
      <c r="K1173">
        <v>120000</v>
      </c>
      <c r="L1173">
        <v>120000</v>
      </c>
      <c r="M1173">
        <v>580587</v>
      </c>
      <c r="N1173" s="2">
        <v>2.680012498388425E-2</v>
      </c>
    </row>
    <row r="1174" spans="1:14" hidden="1" x14ac:dyDescent="0.25">
      <c r="A1174" t="s">
        <v>34</v>
      </c>
      <c r="B1174" t="s">
        <v>112</v>
      </c>
      <c r="C1174">
        <v>69550</v>
      </c>
      <c r="D1174">
        <v>132603</v>
      </c>
      <c r="E1174">
        <v>86025</v>
      </c>
      <c r="F1174">
        <v>82560</v>
      </c>
      <c r="G1174">
        <v>75000</v>
      </c>
      <c r="H1174">
        <v>83894</v>
      </c>
      <c r="I1174">
        <v>91799</v>
      </c>
      <c r="J1174">
        <v>81743</v>
      </c>
      <c r="K1174">
        <v>94200</v>
      </c>
      <c r="L1174">
        <v>100750</v>
      </c>
      <c r="M1174">
        <v>452386</v>
      </c>
      <c r="N1174" s="2">
        <v>2.088231624366281E-2</v>
      </c>
    </row>
    <row r="1175" spans="1:14" hidden="1" x14ac:dyDescent="0.25">
      <c r="A1175" t="s">
        <v>34</v>
      </c>
      <c r="B1175" t="s">
        <v>158</v>
      </c>
      <c r="C1175">
        <v>195750</v>
      </c>
      <c r="D1175">
        <v>129554</v>
      </c>
      <c r="E1175">
        <v>235256</v>
      </c>
      <c r="F1175">
        <v>190837</v>
      </c>
      <c r="G1175">
        <v>148842</v>
      </c>
      <c r="H1175">
        <v>328386</v>
      </c>
      <c r="I1175">
        <v>315685</v>
      </c>
      <c r="J1175">
        <v>308593</v>
      </c>
      <c r="K1175">
        <v>134000</v>
      </c>
      <c r="L1175">
        <v>306847</v>
      </c>
      <c r="M1175">
        <v>1393511</v>
      </c>
      <c r="N1175" s="2">
        <v>6.4325017553644032E-2</v>
      </c>
    </row>
    <row r="1176" spans="1:14" hidden="1" x14ac:dyDescent="0.25">
      <c r="A1176" t="s">
        <v>47</v>
      </c>
      <c r="B1176" t="s">
        <v>97</v>
      </c>
      <c r="C1176">
        <v>4935</v>
      </c>
      <c r="D1176">
        <v>5497</v>
      </c>
      <c r="E1176">
        <v>3737</v>
      </c>
      <c r="F1176">
        <v>3212</v>
      </c>
      <c r="G1176">
        <v>4345</v>
      </c>
      <c r="H1176">
        <v>4423</v>
      </c>
      <c r="I1176">
        <v>2752</v>
      </c>
      <c r="J1176">
        <v>1461</v>
      </c>
      <c r="K1176">
        <v>1119</v>
      </c>
      <c r="L1176">
        <v>1100</v>
      </c>
      <c r="M1176">
        <v>10855</v>
      </c>
      <c r="N1176" s="2">
        <v>1</v>
      </c>
    </row>
    <row r="1177" spans="1:14" hidden="1" x14ac:dyDescent="0.25">
      <c r="A1177" t="s">
        <v>51</v>
      </c>
      <c r="B1177" t="s">
        <v>113</v>
      </c>
      <c r="C1177">
        <v>499000</v>
      </c>
      <c r="D1177">
        <v>552000</v>
      </c>
      <c r="E1177">
        <v>401000</v>
      </c>
      <c r="F1177">
        <v>411000</v>
      </c>
      <c r="G1177">
        <v>384000</v>
      </c>
      <c r="H1177">
        <v>415000</v>
      </c>
      <c r="I1177">
        <v>430000</v>
      </c>
      <c r="J1177">
        <v>310000</v>
      </c>
      <c r="K1177">
        <v>277000</v>
      </c>
      <c r="L1177">
        <v>411000</v>
      </c>
      <c r="M1177">
        <v>1843000</v>
      </c>
      <c r="N1177" s="2">
        <v>1</v>
      </c>
    </row>
    <row r="1178" spans="1:14" hidden="1" x14ac:dyDescent="0.25">
      <c r="A1178" t="s">
        <v>42</v>
      </c>
      <c r="B1178" t="s">
        <v>84</v>
      </c>
      <c r="C1178">
        <v>15874</v>
      </c>
      <c r="D1178">
        <v>16707</v>
      </c>
      <c r="E1178">
        <v>18383</v>
      </c>
      <c r="F1178">
        <v>18716</v>
      </c>
      <c r="G1178">
        <v>28138</v>
      </c>
      <c r="H1178">
        <v>30473</v>
      </c>
      <c r="I1178">
        <v>31460</v>
      </c>
      <c r="J1178">
        <v>31911</v>
      </c>
      <c r="K1178">
        <v>14641</v>
      </c>
      <c r="L1178">
        <v>35920</v>
      </c>
      <c r="M1178">
        <v>144405</v>
      </c>
      <c r="N1178" s="2">
        <v>7.5438352700745793E-4</v>
      </c>
    </row>
    <row r="1179" spans="1:14" hidden="1" x14ac:dyDescent="0.25">
      <c r="A1179" t="s">
        <v>42</v>
      </c>
      <c r="B1179" t="s">
        <v>86</v>
      </c>
      <c r="C1179">
        <v>30300000</v>
      </c>
      <c r="D1179">
        <v>37762000</v>
      </c>
      <c r="E1179">
        <v>37860000</v>
      </c>
      <c r="F1179">
        <v>36664000</v>
      </c>
      <c r="G1179">
        <v>35588000</v>
      </c>
      <c r="H1179">
        <v>32887000</v>
      </c>
      <c r="I1179">
        <v>31234000</v>
      </c>
      <c r="J1179">
        <v>36577000</v>
      </c>
      <c r="K1179">
        <v>36000000</v>
      </c>
      <c r="L1179">
        <v>36000000</v>
      </c>
      <c r="M1179">
        <v>172698000</v>
      </c>
      <c r="N1179" s="2">
        <v>0.90218847233221822</v>
      </c>
    </row>
    <row r="1180" spans="1:14" hidden="1" x14ac:dyDescent="0.25">
      <c r="A1180" t="s">
        <v>42</v>
      </c>
      <c r="B1180" t="s">
        <v>149</v>
      </c>
      <c r="C1180">
        <v>16000</v>
      </c>
      <c r="D1180">
        <v>21000</v>
      </c>
      <c r="E1180">
        <v>22000</v>
      </c>
      <c r="F1180">
        <v>16000</v>
      </c>
      <c r="G1180">
        <v>23000</v>
      </c>
      <c r="H1180">
        <v>30000</v>
      </c>
      <c r="I1180">
        <v>41000</v>
      </c>
      <c r="J1180">
        <v>46000</v>
      </c>
      <c r="K1180">
        <v>15300</v>
      </c>
      <c r="L1180">
        <v>37000</v>
      </c>
      <c r="M1180">
        <v>169300</v>
      </c>
      <c r="N1180" s="2">
        <v>8.8443704250103954E-4</v>
      </c>
    </row>
    <row r="1181" spans="1:14" hidden="1" x14ac:dyDescent="0.25">
      <c r="A1181" t="s">
        <v>42</v>
      </c>
      <c r="B1181" t="s">
        <v>137</v>
      </c>
      <c r="F1181">
        <v>4467526</v>
      </c>
      <c r="G1181">
        <v>4022966</v>
      </c>
      <c r="H1181">
        <v>4058305</v>
      </c>
      <c r="I1181">
        <v>4081452</v>
      </c>
      <c r="J1181">
        <v>3806766</v>
      </c>
      <c r="K1181">
        <v>2984105</v>
      </c>
      <c r="L1181">
        <v>3478867</v>
      </c>
      <c r="M1181">
        <v>18409495</v>
      </c>
      <c r="N1181" s="2">
        <v>9.617270709827333E-2</v>
      </c>
    </row>
    <row r="1182" spans="1:14" hidden="1" x14ac:dyDescent="0.25">
      <c r="A1182" t="s">
        <v>24</v>
      </c>
      <c r="B1182" t="s">
        <v>164</v>
      </c>
      <c r="C1182">
        <v>10075</v>
      </c>
      <c r="D1182">
        <v>10771</v>
      </c>
      <c r="E1182">
        <v>9814</v>
      </c>
      <c r="F1182">
        <v>11601</v>
      </c>
      <c r="G1182">
        <v>12920</v>
      </c>
      <c r="H1182">
        <v>12051</v>
      </c>
      <c r="I1182">
        <v>8831</v>
      </c>
      <c r="J1182">
        <v>0</v>
      </c>
      <c r="K1182">
        <v>0</v>
      </c>
      <c r="L1182">
        <v>0</v>
      </c>
      <c r="M1182">
        <v>20882</v>
      </c>
      <c r="N1182" s="2">
        <v>2.4480106062796852E-4</v>
      </c>
    </row>
    <row r="1183" spans="1:14" hidden="1" x14ac:dyDescent="0.25">
      <c r="A1183" t="s">
        <v>24</v>
      </c>
      <c r="B1183" t="s">
        <v>83</v>
      </c>
      <c r="C1183">
        <v>422398</v>
      </c>
      <c r="D1183">
        <v>445520</v>
      </c>
      <c r="E1183">
        <v>468468</v>
      </c>
      <c r="F1183">
        <v>432843</v>
      </c>
      <c r="G1183">
        <v>445202</v>
      </c>
      <c r="H1183">
        <v>359832</v>
      </c>
      <c r="I1183">
        <v>360993</v>
      </c>
      <c r="J1183">
        <v>401277</v>
      </c>
      <c r="K1183">
        <v>399292</v>
      </c>
      <c r="L1183">
        <v>381857</v>
      </c>
      <c r="M1183">
        <v>1903251</v>
      </c>
      <c r="N1183" s="2">
        <v>2.2311936760906131E-2</v>
      </c>
    </row>
    <row r="1184" spans="1:14" hidden="1" x14ac:dyDescent="0.25">
      <c r="A1184" t="s">
        <v>24</v>
      </c>
      <c r="B1184" t="s">
        <v>85</v>
      </c>
      <c r="C1184">
        <v>170400</v>
      </c>
      <c r="D1184">
        <v>202900</v>
      </c>
      <c r="E1184">
        <v>182800</v>
      </c>
      <c r="F1184">
        <v>157800</v>
      </c>
      <c r="G1184">
        <v>188500</v>
      </c>
      <c r="H1184">
        <v>118800</v>
      </c>
      <c r="I1184">
        <v>132200</v>
      </c>
      <c r="J1184">
        <v>110900</v>
      </c>
      <c r="K1184">
        <v>64800</v>
      </c>
      <c r="L1184">
        <v>60000</v>
      </c>
      <c r="M1184">
        <v>486700</v>
      </c>
      <c r="N1184" s="2">
        <v>5.7056161386664249E-3</v>
      </c>
    </row>
    <row r="1185" spans="1:14" hidden="1" x14ac:dyDescent="0.25">
      <c r="A1185" t="s">
        <v>24</v>
      </c>
      <c r="B1185" t="s">
        <v>147</v>
      </c>
      <c r="C1185">
        <v>269100</v>
      </c>
      <c r="D1185">
        <v>294000</v>
      </c>
      <c r="E1185">
        <v>318700</v>
      </c>
      <c r="F1185">
        <v>292200</v>
      </c>
      <c r="G1185">
        <v>245000</v>
      </c>
      <c r="H1185">
        <v>322700</v>
      </c>
      <c r="I1185">
        <v>316900</v>
      </c>
      <c r="J1185">
        <v>255200</v>
      </c>
      <c r="K1185">
        <v>270000</v>
      </c>
      <c r="L1185">
        <v>250000</v>
      </c>
      <c r="M1185">
        <v>1414800</v>
      </c>
      <c r="N1185" s="2">
        <v>1.6585793533974231E-2</v>
      </c>
    </row>
    <row r="1186" spans="1:14" hidden="1" x14ac:dyDescent="0.25">
      <c r="A1186" t="s">
        <v>24</v>
      </c>
      <c r="B1186" t="s">
        <v>116</v>
      </c>
      <c r="C1186">
        <v>287051</v>
      </c>
      <c r="D1186">
        <v>254509</v>
      </c>
      <c r="E1186">
        <v>288699</v>
      </c>
      <c r="F1186">
        <v>281416</v>
      </c>
      <c r="G1186">
        <v>304349</v>
      </c>
      <c r="H1186">
        <v>289400</v>
      </c>
      <c r="I1186">
        <v>290100</v>
      </c>
      <c r="J1186">
        <v>290000</v>
      </c>
      <c r="K1186">
        <v>290000</v>
      </c>
      <c r="L1186">
        <v>290000</v>
      </c>
      <c r="M1186">
        <v>1449500</v>
      </c>
      <c r="N1186" s="2">
        <v>1.699258391821858E-2</v>
      </c>
    </row>
    <row r="1187" spans="1:14" hidden="1" x14ac:dyDescent="0.25">
      <c r="A1187" t="s">
        <v>24</v>
      </c>
      <c r="B1187" t="s">
        <v>145</v>
      </c>
      <c r="C1187">
        <v>1342400</v>
      </c>
      <c r="D1187">
        <v>1358300</v>
      </c>
      <c r="E1187">
        <v>1362400</v>
      </c>
      <c r="F1187">
        <v>1382000</v>
      </c>
      <c r="G1187">
        <v>1365300</v>
      </c>
      <c r="H1187">
        <v>1264600</v>
      </c>
      <c r="I1187">
        <v>1246100</v>
      </c>
      <c r="J1187">
        <v>1011200</v>
      </c>
      <c r="K1187">
        <v>1206300</v>
      </c>
      <c r="L1187">
        <v>1206600</v>
      </c>
      <c r="M1187">
        <v>5934800</v>
      </c>
      <c r="N1187" s="2">
        <v>6.9574051078194976E-2</v>
      </c>
    </row>
    <row r="1188" spans="1:14" hidden="1" x14ac:dyDescent="0.25">
      <c r="A1188" t="s">
        <v>24</v>
      </c>
      <c r="B1188" t="s">
        <v>86</v>
      </c>
      <c r="C1188">
        <v>3601400</v>
      </c>
      <c r="D1188">
        <v>4228919</v>
      </c>
      <c r="E1188">
        <v>5167900</v>
      </c>
      <c r="F1188">
        <v>5504817</v>
      </c>
      <c r="G1188">
        <v>6115035</v>
      </c>
      <c r="H1188">
        <v>6424200</v>
      </c>
      <c r="I1188">
        <v>6575016</v>
      </c>
      <c r="J1188">
        <v>7082700</v>
      </c>
      <c r="K1188">
        <v>7700000</v>
      </c>
      <c r="L1188">
        <v>8000000</v>
      </c>
      <c r="M1188">
        <v>35781916</v>
      </c>
      <c r="N1188" s="2">
        <v>0.41947375673311349</v>
      </c>
    </row>
    <row r="1189" spans="1:14" hidden="1" x14ac:dyDescent="0.25">
      <c r="A1189" t="s">
        <v>24</v>
      </c>
      <c r="B1189" t="s">
        <v>159</v>
      </c>
      <c r="F1189">
        <v>0</v>
      </c>
      <c r="G1189">
        <v>0</v>
      </c>
      <c r="H1189">
        <v>0</v>
      </c>
      <c r="I1189">
        <v>0</v>
      </c>
      <c r="J1189">
        <v>2000</v>
      </c>
      <c r="K1189">
        <v>107800</v>
      </c>
      <c r="L1189">
        <v>170000</v>
      </c>
      <c r="M1189">
        <v>279800</v>
      </c>
      <c r="N1189" s="2">
        <v>3.2801138187772052E-3</v>
      </c>
    </row>
    <row r="1190" spans="1:14" hidden="1" x14ac:dyDescent="0.25">
      <c r="A1190" t="s">
        <v>24</v>
      </c>
      <c r="B1190" t="s">
        <v>154</v>
      </c>
      <c r="C1190">
        <v>129256</v>
      </c>
      <c r="D1190">
        <v>135840</v>
      </c>
      <c r="E1190">
        <v>146542</v>
      </c>
      <c r="F1190">
        <v>141474</v>
      </c>
      <c r="G1190">
        <v>145189</v>
      </c>
      <c r="H1190">
        <v>133197</v>
      </c>
      <c r="I1190">
        <v>139087</v>
      </c>
      <c r="J1190">
        <v>120369</v>
      </c>
      <c r="K1190">
        <v>145847</v>
      </c>
      <c r="L1190">
        <v>151000</v>
      </c>
      <c r="M1190">
        <v>689500</v>
      </c>
      <c r="N1190" s="2">
        <v>8.0830538886593386E-3</v>
      </c>
    </row>
    <row r="1191" spans="1:14" hidden="1" x14ac:dyDescent="0.25">
      <c r="A1191" t="s">
        <v>24</v>
      </c>
      <c r="B1191" t="s">
        <v>117</v>
      </c>
      <c r="C1191">
        <v>352400</v>
      </c>
      <c r="D1191">
        <v>289900</v>
      </c>
      <c r="E1191">
        <v>349700</v>
      </c>
      <c r="F1191">
        <v>338300</v>
      </c>
      <c r="G1191">
        <v>342800</v>
      </c>
      <c r="H1191">
        <v>332600</v>
      </c>
      <c r="I1191">
        <v>311200</v>
      </c>
      <c r="J1191">
        <v>288600</v>
      </c>
      <c r="K1191">
        <v>312600</v>
      </c>
      <c r="L1191">
        <v>300000</v>
      </c>
      <c r="M1191">
        <v>1545000</v>
      </c>
      <c r="N1191" s="2">
        <v>1.8112136704827669E-2</v>
      </c>
    </row>
    <row r="1192" spans="1:14" hidden="1" x14ac:dyDescent="0.25">
      <c r="A1192" t="s">
        <v>24</v>
      </c>
      <c r="B1192" t="s">
        <v>97</v>
      </c>
      <c r="C1192">
        <v>695400</v>
      </c>
      <c r="D1192">
        <v>617000</v>
      </c>
      <c r="E1192">
        <v>766000</v>
      </c>
      <c r="F1192">
        <v>792600</v>
      </c>
      <c r="G1192">
        <v>773000</v>
      </c>
      <c r="H1192">
        <v>823100</v>
      </c>
      <c r="I1192">
        <v>491500</v>
      </c>
      <c r="J1192">
        <v>344300</v>
      </c>
      <c r="K1192">
        <v>243200</v>
      </c>
      <c r="L1192">
        <v>360000</v>
      </c>
      <c r="M1192">
        <v>2262100</v>
      </c>
      <c r="N1192" s="2">
        <v>2.6518747210349951E-2</v>
      </c>
    </row>
    <row r="1193" spans="1:14" hidden="1" x14ac:dyDescent="0.25">
      <c r="A1193" t="s">
        <v>24</v>
      </c>
      <c r="B1193" t="s">
        <v>98</v>
      </c>
      <c r="C1193">
        <v>198400</v>
      </c>
      <c r="D1193">
        <v>217700</v>
      </c>
      <c r="E1193">
        <v>236900</v>
      </c>
      <c r="F1193">
        <v>199700</v>
      </c>
      <c r="G1193">
        <v>255700</v>
      </c>
      <c r="H1193">
        <v>245800</v>
      </c>
      <c r="I1193">
        <v>258800</v>
      </c>
      <c r="J1193">
        <v>246100</v>
      </c>
      <c r="K1193">
        <v>276900</v>
      </c>
      <c r="L1193">
        <v>280400</v>
      </c>
      <c r="M1193">
        <v>1308000</v>
      </c>
      <c r="N1193" s="2">
        <v>1.533377010350459E-2</v>
      </c>
    </row>
    <row r="1194" spans="1:14" hidden="1" x14ac:dyDescent="0.25">
      <c r="A1194" t="s">
        <v>24</v>
      </c>
      <c r="B1194" t="s">
        <v>99</v>
      </c>
      <c r="C1194">
        <v>173100</v>
      </c>
      <c r="D1194">
        <v>154600</v>
      </c>
      <c r="E1194">
        <v>156500</v>
      </c>
      <c r="F1194">
        <v>153500</v>
      </c>
      <c r="G1194">
        <v>153400</v>
      </c>
      <c r="H1194">
        <v>114200</v>
      </c>
      <c r="I1194">
        <v>204100</v>
      </c>
      <c r="J1194">
        <v>201100</v>
      </c>
      <c r="K1194">
        <v>223300</v>
      </c>
      <c r="L1194">
        <v>246800</v>
      </c>
      <c r="M1194">
        <v>989500</v>
      </c>
      <c r="N1194" s="2">
        <v>1.159997363716956E-2</v>
      </c>
    </row>
    <row r="1195" spans="1:14" hidden="1" x14ac:dyDescent="0.25">
      <c r="A1195" t="s">
        <v>24</v>
      </c>
      <c r="B1195" t="s">
        <v>119</v>
      </c>
      <c r="C1195">
        <v>1274690</v>
      </c>
      <c r="D1195">
        <v>1261348</v>
      </c>
      <c r="E1195">
        <v>1323500</v>
      </c>
      <c r="F1195">
        <v>1243813</v>
      </c>
      <c r="G1195">
        <v>1289885</v>
      </c>
      <c r="H1195">
        <v>1192179</v>
      </c>
      <c r="I1195">
        <v>1263456</v>
      </c>
      <c r="J1195">
        <v>1169664</v>
      </c>
      <c r="K1195">
        <v>1277303</v>
      </c>
      <c r="L1195">
        <v>1174957</v>
      </c>
      <c r="M1195">
        <v>6077559</v>
      </c>
      <c r="N1195" s="2">
        <v>7.1247624232786883E-2</v>
      </c>
    </row>
    <row r="1196" spans="1:14" hidden="1" x14ac:dyDescent="0.25">
      <c r="A1196" t="s">
        <v>24</v>
      </c>
      <c r="B1196" t="s">
        <v>102</v>
      </c>
      <c r="C1196">
        <v>341700</v>
      </c>
      <c r="D1196">
        <v>325600</v>
      </c>
      <c r="E1196">
        <v>253000</v>
      </c>
      <c r="F1196">
        <v>283000</v>
      </c>
      <c r="G1196">
        <v>289400</v>
      </c>
      <c r="H1196">
        <v>296500</v>
      </c>
      <c r="I1196">
        <v>308900</v>
      </c>
      <c r="J1196">
        <v>311000</v>
      </c>
      <c r="K1196">
        <v>319100</v>
      </c>
      <c r="L1196">
        <v>281300</v>
      </c>
      <c r="M1196">
        <v>1516800</v>
      </c>
      <c r="N1196" s="2">
        <v>1.778154624846771E-2</v>
      </c>
    </row>
    <row r="1197" spans="1:14" hidden="1" x14ac:dyDescent="0.25">
      <c r="A1197" t="s">
        <v>24</v>
      </c>
      <c r="B1197" t="s">
        <v>148</v>
      </c>
      <c r="C1197">
        <v>477300</v>
      </c>
      <c r="D1197">
        <v>478800</v>
      </c>
      <c r="E1197">
        <v>500000</v>
      </c>
      <c r="F1197">
        <v>511200</v>
      </c>
      <c r="G1197">
        <v>510000</v>
      </c>
      <c r="H1197">
        <v>510000</v>
      </c>
      <c r="I1197">
        <v>530000</v>
      </c>
      <c r="J1197">
        <v>520000</v>
      </c>
      <c r="K1197">
        <v>513900</v>
      </c>
      <c r="L1197">
        <v>680000</v>
      </c>
      <c r="M1197">
        <v>2753900</v>
      </c>
      <c r="N1197" s="2">
        <v>3.2284150984741043E-2</v>
      </c>
    </row>
    <row r="1198" spans="1:14" hidden="1" x14ac:dyDescent="0.25">
      <c r="A1198" t="s">
        <v>24</v>
      </c>
      <c r="B1198" t="s">
        <v>150</v>
      </c>
      <c r="C1198">
        <v>260900</v>
      </c>
      <c r="D1198">
        <v>220800</v>
      </c>
      <c r="E1198">
        <v>258000</v>
      </c>
      <c r="F1198">
        <v>256252</v>
      </c>
      <c r="G1198">
        <v>267843</v>
      </c>
      <c r="H1198">
        <v>270213</v>
      </c>
      <c r="I1198">
        <v>286242</v>
      </c>
      <c r="J1198">
        <v>277654</v>
      </c>
      <c r="K1198">
        <v>286242</v>
      </c>
      <c r="L1198">
        <v>270213</v>
      </c>
      <c r="M1198">
        <v>1390564</v>
      </c>
      <c r="N1198" s="2">
        <v>1.6301673310557919E-2</v>
      </c>
    </row>
    <row r="1199" spans="1:14" hidden="1" x14ac:dyDescent="0.25">
      <c r="A1199" t="s">
        <v>24</v>
      </c>
      <c r="B1199" t="s">
        <v>175</v>
      </c>
      <c r="C1199">
        <v>27767</v>
      </c>
      <c r="D1199">
        <v>24354</v>
      </c>
      <c r="E1199">
        <v>35042</v>
      </c>
      <c r="F1199">
        <v>44504</v>
      </c>
      <c r="G1199">
        <v>40181</v>
      </c>
      <c r="H1199">
        <v>40476</v>
      </c>
      <c r="I1199">
        <v>48971</v>
      </c>
      <c r="J1199">
        <v>45953</v>
      </c>
      <c r="K1199">
        <v>49392</v>
      </c>
      <c r="L1199">
        <v>40407</v>
      </c>
      <c r="M1199">
        <v>225199</v>
      </c>
      <c r="N1199" s="2">
        <v>2.640022701482515E-3</v>
      </c>
    </row>
    <row r="1200" spans="1:14" hidden="1" x14ac:dyDescent="0.25">
      <c r="A1200" t="s">
        <v>24</v>
      </c>
      <c r="B1200" t="s">
        <v>132</v>
      </c>
      <c r="C1200">
        <v>37891</v>
      </c>
      <c r="D1200">
        <v>37461</v>
      </c>
      <c r="E1200">
        <v>35813</v>
      </c>
      <c r="F1200">
        <v>35477</v>
      </c>
      <c r="G1200">
        <v>28123</v>
      </c>
      <c r="H1200">
        <v>22695</v>
      </c>
      <c r="I1200">
        <v>20590</v>
      </c>
      <c r="J1200">
        <v>21962</v>
      </c>
      <c r="K1200">
        <v>20535</v>
      </c>
      <c r="L1200">
        <v>20125</v>
      </c>
      <c r="M1200">
        <v>105907</v>
      </c>
      <c r="N1200" s="2">
        <v>1.241554732684909E-3</v>
      </c>
    </row>
    <row r="1201" spans="1:14" hidden="1" x14ac:dyDescent="0.25">
      <c r="A1201" t="s">
        <v>24</v>
      </c>
      <c r="B1201" t="s">
        <v>133</v>
      </c>
      <c r="C1201">
        <v>721</v>
      </c>
      <c r="D1201">
        <v>4200</v>
      </c>
      <c r="E1201">
        <v>2300</v>
      </c>
      <c r="F1201">
        <v>1300</v>
      </c>
      <c r="G1201">
        <v>3481</v>
      </c>
      <c r="H1201">
        <v>264</v>
      </c>
      <c r="I1201">
        <v>0</v>
      </c>
      <c r="J1201">
        <v>0</v>
      </c>
      <c r="K1201">
        <v>0</v>
      </c>
      <c r="L1201">
        <v>0</v>
      </c>
      <c r="M1201">
        <v>264</v>
      </c>
      <c r="N1201" s="2">
        <v>3.0948893786889999E-6</v>
      </c>
    </row>
    <row r="1202" spans="1:14" hidden="1" x14ac:dyDescent="0.25">
      <c r="A1202" t="s">
        <v>24</v>
      </c>
      <c r="B1202" t="s">
        <v>106</v>
      </c>
      <c r="C1202">
        <v>20201</v>
      </c>
      <c r="D1202">
        <v>15285</v>
      </c>
      <c r="E1202">
        <v>16000</v>
      </c>
      <c r="F1202">
        <v>15000</v>
      </c>
      <c r="G1202">
        <v>14000</v>
      </c>
      <c r="H1202">
        <v>10052</v>
      </c>
      <c r="I1202">
        <v>12538</v>
      </c>
      <c r="J1202">
        <v>13049</v>
      </c>
      <c r="K1202">
        <v>13200</v>
      </c>
      <c r="L1202">
        <v>13000</v>
      </c>
      <c r="M1202">
        <v>61839</v>
      </c>
      <c r="N1202" s="2">
        <v>7.2494266776041306E-4</v>
      </c>
    </row>
    <row r="1203" spans="1:14" hidden="1" x14ac:dyDescent="0.25">
      <c r="A1203" t="s">
        <v>24</v>
      </c>
      <c r="B1203" t="s">
        <v>146</v>
      </c>
      <c r="C1203">
        <v>290088</v>
      </c>
      <c r="D1203">
        <v>412966</v>
      </c>
      <c r="E1203">
        <v>314615</v>
      </c>
      <c r="F1203">
        <v>327909</v>
      </c>
      <c r="G1203">
        <v>309469</v>
      </c>
      <c r="H1203">
        <v>316882</v>
      </c>
      <c r="I1203">
        <v>327821</v>
      </c>
      <c r="J1203">
        <v>294315</v>
      </c>
      <c r="K1203">
        <v>342738</v>
      </c>
      <c r="L1203">
        <v>348000</v>
      </c>
      <c r="M1203">
        <v>1629756</v>
      </c>
      <c r="N1203" s="2">
        <v>1.910573687217678E-2</v>
      </c>
    </row>
    <row r="1204" spans="1:14" hidden="1" x14ac:dyDescent="0.25">
      <c r="A1204" t="s">
        <v>24</v>
      </c>
      <c r="B1204" t="s">
        <v>156</v>
      </c>
      <c r="C1204">
        <v>97000</v>
      </c>
      <c r="D1204">
        <v>181900</v>
      </c>
      <c r="E1204">
        <v>153200</v>
      </c>
      <c r="F1204">
        <v>189200</v>
      </c>
      <c r="G1204">
        <v>215000</v>
      </c>
      <c r="H1204">
        <v>240000</v>
      </c>
      <c r="I1204">
        <v>170900</v>
      </c>
      <c r="J1204">
        <v>217800</v>
      </c>
      <c r="K1204">
        <v>247000</v>
      </c>
      <c r="L1204">
        <v>220000</v>
      </c>
      <c r="M1204">
        <v>1095700</v>
      </c>
      <c r="N1204" s="2">
        <v>1.284496322814218E-2</v>
      </c>
    </row>
    <row r="1205" spans="1:14" hidden="1" x14ac:dyDescent="0.25">
      <c r="A1205" t="s">
        <v>24</v>
      </c>
      <c r="B1205" t="s">
        <v>151</v>
      </c>
      <c r="C1205">
        <v>466715</v>
      </c>
      <c r="D1205">
        <v>458789</v>
      </c>
      <c r="E1205">
        <v>503111</v>
      </c>
      <c r="F1205">
        <v>514774</v>
      </c>
      <c r="G1205">
        <v>446902</v>
      </c>
      <c r="H1205">
        <v>457549</v>
      </c>
      <c r="I1205">
        <v>461865</v>
      </c>
      <c r="J1205">
        <v>489242</v>
      </c>
      <c r="K1205">
        <v>462868</v>
      </c>
      <c r="L1205">
        <v>482557</v>
      </c>
      <c r="M1205">
        <v>2354081</v>
      </c>
      <c r="N1205" s="2">
        <v>2.7597046528309011E-2</v>
      </c>
    </row>
    <row r="1206" spans="1:14" hidden="1" x14ac:dyDescent="0.25">
      <c r="A1206" t="s">
        <v>24</v>
      </c>
      <c r="B1206" t="s">
        <v>107</v>
      </c>
      <c r="C1206">
        <v>646000</v>
      </c>
      <c r="D1206">
        <v>650000</v>
      </c>
      <c r="E1206">
        <v>664000</v>
      </c>
      <c r="F1206">
        <v>661000</v>
      </c>
      <c r="G1206">
        <v>665000</v>
      </c>
      <c r="H1206">
        <v>730000</v>
      </c>
      <c r="I1206">
        <v>789000</v>
      </c>
      <c r="J1206">
        <v>790500</v>
      </c>
      <c r="K1206">
        <v>815200</v>
      </c>
      <c r="L1206">
        <v>1000000</v>
      </c>
      <c r="M1206">
        <v>4124700</v>
      </c>
      <c r="N1206" s="2">
        <v>4.8354129622267109E-2</v>
      </c>
    </row>
    <row r="1207" spans="1:14" hidden="1" x14ac:dyDescent="0.25">
      <c r="A1207" t="s">
        <v>24</v>
      </c>
      <c r="B1207" t="s">
        <v>179</v>
      </c>
      <c r="C1207">
        <v>32200</v>
      </c>
      <c r="D1207">
        <v>33300</v>
      </c>
      <c r="E1207">
        <v>30700</v>
      </c>
      <c r="F1207">
        <v>43000</v>
      </c>
      <c r="G1207">
        <v>61000</v>
      </c>
      <c r="H1207">
        <v>68200</v>
      </c>
      <c r="I1207">
        <v>66200</v>
      </c>
      <c r="J1207">
        <v>82400</v>
      </c>
      <c r="K1207">
        <v>88000</v>
      </c>
      <c r="L1207">
        <v>78700</v>
      </c>
      <c r="M1207">
        <v>383500</v>
      </c>
      <c r="N1207" s="2">
        <v>4.4957957451789068E-3</v>
      </c>
    </row>
    <row r="1208" spans="1:14" hidden="1" x14ac:dyDescent="0.25">
      <c r="A1208" t="s">
        <v>24</v>
      </c>
      <c r="B1208" t="s">
        <v>137</v>
      </c>
      <c r="C1208">
        <v>55300</v>
      </c>
      <c r="D1208">
        <v>69900</v>
      </c>
      <c r="E1208">
        <v>58500</v>
      </c>
      <c r="F1208">
        <v>60900</v>
      </c>
      <c r="G1208">
        <v>51000</v>
      </c>
      <c r="H1208">
        <v>52600</v>
      </c>
      <c r="I1208">
        <v>33300</v>
      </c>
      <c r="J1208">
        <v>26000</v>
      </c>
      <c r="K1208">
        <v>13000</v>
      </c>
      <c r="L1208">
        <v>17300</v>
      </c>
      <c r="M1208">
        <v>142200</v>
      </c>
      <c r="N1208" s="2">
        <v>1.667019960793848E-3</v>
      </c>
    </row>
    <row r="1209" spans="1:14" hidden="1" x14ac:dyDescent="0.25">
      <c r="A1209" t="s">
        <v>24</v>
      </c>
      <c r="B1209" t="s">
        <v>121</v>
      </c>
      <c r="C1209">
        <v>270200</v>
      </c>
      <c r="D1209">
        <v>212000</v>
      </c>
      <c r="E1209">
        <v>285400</v>
      </c>
      <c r="F1209">
        <v>286300</v>
      </c>
      <c r="G1209">
        <v>292300</v>
      </c>
      <c r="H1209">
        <v>272000</v>
      </c>
      <c r="I1209">
        <v>284800</v>
      </c>
      <c r="J1209">
        <v>245800</v>
      </c>
      <c r="K1209">
        <v>257700</v>
      </c>
      <c r="L1209">
        <v>278600</v>
      </c>
      <c r="M1209">
        <v>1338900</v>
      </c>
      <c r="N1209" s="2">
        <v>1.569601283760114E-2</v>
      </c>
    </row>
    <row r="1210" spans="1:14" hidden="1" x14ac:dyDescent="0.25">
      <c r="A1210" t="s">
        <v>24</v>
      </c>
      <c r="B1210" t="s">
        <v>138</v>
      </c>
      <c r="C1210">
        <v>151100</v>
      </c>
      <c r="D1210">
        <v>137200</v>
      </c>
      <c r="E1210">
        <v>145300</v>
      </c>
      <c r="F1210">
        <v>137400</v>
      </c>
      <c r="G1210">
        <v>131500</v>
      </c>
      <c r="H1210">
        <v>150000</v>
      </c>
      <c r="I1210">
        <v>150000</v>
      </c>
      <c r="J1210">
        <v>135900</v>
      </c>
      <c r="K1210">
        <v>155000</v>
      </c>
      <c r="L1210">
        <v>155000</v>
      </c>
      <c r="M1210">
        <v>745900</v>
      </c>
      <c r="N1210" s="2">
        <v>8.7442348013792616E-3</v>
      </c>
    </row>
    <row r="1211" spans="1:14" hidden="1" x14ac:dyDescent="0.25">
      <c r="A1211" t="s">
        <v>24</v>
      </c>
      <c r="B1211" t="s">
        <v>111</v>
      </c>
      <c r="D1211">
        <v>4000</v>
      </c>
      <c r="E1211">
        <v>4000</v>
      </c>
      <c r="F1211">
        <v>10000</v>
      </c>
      <c r="G1211">
        <v>10000</v>
      </c>
      <c r="H1211">
        <v>12000</v>
      </c>
      <c r="I1211">
        <v>38000</v>
      </c>
      <c r="J1211">
        <v>17000</v>
      </c>
      <c r="K1211">
        <v>57000</v>
      </c>
      <c r="L1211">
        <v>113000</v>
      </c>
      <c r="M1211">
        <v>237000</v>
      </c>
      <c r="N1211" s="2">
        <v>2.778366601323079E-3</v>
      </c>
    </row>
    <row r="1212" spans="1:14" hidden="1" x14ac:dyDescent="0.25">
      <c r="A1212" t="s">
        <v>24</v>
      </c>
      <c r="B1212" t="s">
        <v>112</v>
      </c>
      <c r="C1212">
        <v>35500</v>
      </c>
      <c r="D1212">
        <v>35800</v>
      </c>
      <c r="E1212">
        <v>40600</v>
      </c>
      <c r="F1212">
        <v>45400</v>
      </c>
      <c r="G1212">
        <v>46200</v>
      </c>
      <c r="H1212">
        <v>53400</v>
      </c>
      <c r="I1212">
        <v>85400</v>
      </c>
      <c r="J1212">
        <v>83700</v>
      </c>
      <c r="K1212">
        <v>78900</v>
      </c>
      <c r="L1212">
        <v>93000</v>
      </c>
      <c r="M1212">
        <v>394400</v>
      </c>
      <c r="N1212" s="2">
        <v>4.623577162708112E-3</v>
      </c>
    </row>
    <row r="1213" spans="1:14" hidden="1" x14ac:dyDescent="0.25">
      <c r="A1213" t="s">
        <v>24</v>
      </c>
      <c r="B1213" t="s">
        <v>113</v>
      </c>
      <c r="C1213">
        <v>485300</v>
      </c>
      <c r="D1213">
        <v>516500</v>
      </c>
      <c r="E1213">
        <v>522000</v>
      </c>
      <c r="F1213">
        <v>527000</v>
      </c>
      <c r="G1213">
        <v>563000</v>
      </c>
      <c r="H1213">
        <v>470000</v>
      </c>
      <c r="I1213">
        <v>536000</v>
      </c>
      <c r="J1213">
        <v>466000</v>
      </c>
      <c r="K1213">
        <v>315000</v>
      </c>
      <c r="L1213">
        <v>360000</v>
      </c>
      <c r="M1213">
        <v>2147000</v>
      </c>
      <c r="N1213" s="2">
        <v>2.5169422333504859E-2</v>
      </c>
    </row>
    <row r="1214" spans="1:14" hidden="1" x14ac:dyDescent="0.25">
      <c r="A1214" t="s">
        <v>24</v>
      </c>
      <c r="B1214" t="s">
        <v>180</v>
      </c>
      <c r="C1214">
        <v>90000</v>
      </c>
      <c r="D1214">
        <v>90000</v>
      </c>
      <c r="E1214">
        <v>100000</v>
      </c>
      <c r="F1214">
        <v>100000</v>
      </c>
      <c r="G1214">
        <v>100000</v>
      </c>
      <c r="H1214">
        <v>100000</v>
      </c>
      <c r="I1214">
        <v>117000</v>
      </c>
      <c r="J1214">
        <v>147300</v>
      </c>
      <c r="K1214">
        <v>148000</v>
      </c>
      <c r="L1214">
        <v>148000</v>
      </c>
      <c r="M1214">
        <v>660300</v>
      </c>
      <c r="N1214" s="2">
        <v>7.7407403664710092E-3</v>
      </c>
    </row>
    <row r="1215" spans="1:14" hidden="1" x14ac:dyDescent="0.25">
      <c r="A1215" t="s">
        <v>24</v>
      </c>
      <c r="B1215" t="s">
        <v>115</v>
      </c>
      <c r="C1215">
        <v>8000</v>
      </c>
      <c r="D1215">
        <v>9700</v>
      </c>
      <c r="E1215">
        <v>11200</v>
      </c>
      <c r="F1215">
        <v>11300</v>
      </c>
      <c r="G1215">
        <v>11600</v>
      </c>
      <c r="H1215">
        <v>11500</v>
      </c>
      <c r="I1215">
        <v>15100</v>
      </c>
      <c r="J1215">
        <v>19200</v>
      </c>
      <c r="K1215">
        <v>19200</v>
      </c>
      <c r="L1215">
        <v>20000</v>
      </c>
      <c r="M1215">
        <v>85000</v>
      </c>
      <c r="N1215" s="2">
        <v>9.9646059541123096E-4</v>
      </c>
    </row>
    <row r="1216" spans="1:14" hidden="1" x14ac:dyDescent="0.25">
      <c r="A1216" t="s">
        <v>24</v>
      </c>
      <c r="B1216" t="s">
        <v>143</v>
      </c>
      <c r="C1216">
        <v>519200</v>
      </c>
      <c r="D1216">
        <v>520300</v>
      </c>
      <c r="E1216">
        <v>525800</v>
      </c>
      <c r="F1216">
        <v>648800</v>
      </c>
      <c r="G1216">
        <v>698100</v>
      </c>
      <c r="H1216">
        <v>787900</v>
      </c>
      <c r="I1216">
        <v>828700</v>
      </c>
      <c r="J1216">
        <v>638500</v>
      </c>
      <c r="K1216">
        <v>750600</v>
      </c>
      <c r="L1216">
        <v>760000</v>
      </c>
      <c r="M1216">
        <v>3765700</v>
      </c>
      <c r="N1216" s="2">
        <v>4.4145548989883203E-2</v>
      </c>
    </row>
    <row r="1217" spans="1:14" hidden="1" x14ac:dyDescent="0.25">
      <c r="A1217" t="s">
        <v>25</v>
      </c>
      <c r="B1217" t="s">
        <v>124</v>
      </c>
      <c r="C1217">
        <v>16000</v>
      </c>
      <c r="D1217">
        <v>16000</v>
      </c>
      <c r="E1217">
        <v>14000</v>
      </c>
      <c r="F1217">
        <v>14000</v>
      </c>
      <c r="G1217">
        <v>14000</v>
      </c>
      <c r="H1217">
        <v>14000</v>
      </c>
      <c r="I1217">
        <v>14000</v>
      </c>
      <c r="J1217">
        <v>14000</v>
      </c>
      <c r="K1217">
        <v>14000</v>
      </c>
      <c r="L1217">
        <v>14000</v>
      </c>
      <c r="M1217">
        <v>70000</v>
      </c>
      <c r="N1217" s="2">
        <v>5.7411392016212717E-4</v>
      </c>
    </row>
    <row r="1218" spans="1:14" hidden="1" x14ac:dyDescent="0.25">
      <c r="A1218" t="s">
        <v>25</v>
      </c>
      <c r="B1218" t="s">
        <v>83</v>
      </c>
      <c r="C1218">
        <v>460390</v>
      </c>
      <c r="D1218">
        <v>480775</v>
      </c>
      <c r="E1218">
        <v>511252</v>
      </c>
      <c r="F1218">
        <v>474963</v>
      </c>
      <c r="G1218">
        <v>474954</v>
      </c>
      <c r="H1218">
        <v>386249</v>
      </c>
      <c r="I1218">
        <v>377036</v>
      </c>
      <c r="J1218">
        <v>426739</v>
      </c>
      <c r="K1218">
        <v>426997</v>
      </c>
      <c r="L1218">
        <v>400250</v>
      </c>
      <c r="M1218">
        <v>2017271</v>
      </c>
      <c r="N1218" s="2">
        <v>1.6544905169133921E-2</v>
      </c>
    </row>
    <row r="1219" spans="1:14" hidden="1" x14ac:dyDescent="0.25">
      <c r="A1219" t="s">
        <v>25</v>
      </c>
      <c r="B1219" t="s">
        <v>181</v>
      </c>
      <c r="C1219">
        <v>113600</v>
      </c>
      <c r="D1219">
        <v>82842</v>
      </c>
      <c r="E1219">
        <v>83200</v>
      </c>
      <c r="F1219">
        <v>102900</v>
      </c>
      <c r="G1219">
        <v>103215</v>
      </c>
      <c r="H1219">
        <v>109800</v>
      </c>
      <c r="I1219">
        <v>107200</v>
      </c>
      <c r="J1219">
        <v>128200</v>
      </c>
      <c r="K1219">
        <v>132000</v>
      </c>
      <c r="L1219">
        <v>133500</v>
      </c>
      <c r="M1219">
        <v>610700</v>
      </c>
      <c r="N1219" s="2">
        <v>5.0087338720430146E-3</v>
      </c>
    </row>
    <row r="1220" spans="1:14" hidden="1" x14ac:dyDescent="0.25">
      <c r="A1220" t="s">
        <v>25</v>
      </c>
      <c r="B1220" t="s">
        <v>163</v>
      </c>
      <c r="C1220">
        <v>397100</v>
      </c>
      <c r="D1220">
        <v>389400</v>
      </c>
      <c r="E1220">
        <v>387300</v>
      </c>
      <c r="F1220">
        <v>378600</v>
      </c>
      <c r="G1220">
        <v>366700</v>
      </c>
      <c r="H1220">
        <v>398900</v>
      </c>
      <c r="I1220">
        <v>390200</v>
      </c>
      <c r="J1220">
        <v>356600</v>
      </c>
      <c r="K1220">
        <v>321400</v>
      </c>
      <c r="L1220">
        <v>400000</v>
      </c>
      <c r="M1220">
        <v>1867100</v>
      </c>
      <c r="N1220" s="2">
        <v>1.5313258576210111E-2</v>
      </c>
    </row>
    <row r="1221" spans="1:14" hidden="1" x14ac:dyDescent="0.25">
      <c r="A1221" t="s">
        <v>25</v>
      </c>
      <c r="B1221" t="s">
        <v>144</v>
      </c>
      <c r="C1221">
        <v>904</v>
      </c>
      <c r="D1221">
        <v>1271</v>
      </c>
      <c r="E1221">
        <v>1810</v>
      </c>
      <c r="F1221">
        <v>1789</v>
      </c>
      <c r="G1221">
        <v>2199</v>
      </c>
      <c r="H1221">
        <v>2269</v>
      </c>
      <c r="I1221">
        <v>3300</v>
      </c>
      <c r="J1221">
        <v>3100</v>
      </c>
      <c r="K1221">
        <v>1800</v>
      </c>
      <c r="L1221">
        <v>1700</v>
      </c>
      <c r="M1221">
        <v>12169</v>
      </c>
      <c r="N1221" s="2">
        <v>9.9805604206470362E-5</v>
      </c>
    </row>
    <row r="1222" spans="1:14" hidden="1" x14ac:dyDescent="0.25">
      <c r="A1222" t="s">
        <v>25</v>
      </c>
      <c r="B1222" t="s">
        <v>85</v>
      </c>
      <c r="C1222">
        <v>210700</v>
      </c>
      <c r="D1222">
        <v>236050</v>
      </c>
      <c r="E1222">
        <v>213085</v>
      </c>
      <c r="F1222">
        <v>241469</v>
      </c>
      <c r="G1222">
        <v>225558</v>
      </c>
      <c r="H1222">
        <v>143000</v>
      </c>
      <c r="I1222">
        <v>147100</v>
      </c>
      <c r="J1222">
        <v>175200</v>
      </c>
      <c r="K1222">
        <v>108600</v>
      </c>
      <c r="L1222">
        <v>61500</v>
      </c>
      <c r="M1222">
        <v>635400</v>
      </c>
      <c r="N1222" s="2">
        <v>5.2113140695859367E-3</v>
      </c>
    </row>
    <row r="1223" spans="1:14" hidden="1" x14ac:dyDescent="0.25">
      <c r="A1223" t="s">
        <v>25</v>
      </c>
      <c r="B1223" t="s">
        <v>147</v>
      </c>
      <c r="C1223">
        <v>226000</v>
      </c>
      <c r="D1223">
        <v>230100</v>
      </c>
      <c r="E1223">
        <v>233274</v>
      </c>
      <c r="F1223">
        <v>229723</v>
      </c>
      <c r="G1223">
        <v>216428</v>
      </c>
      <c r="H1223">
        <v>228457</v>
      </c>
      <c r="I1223">
        <v>224098</v>
      </c>
      <c r="J1223">
        <v>207196</v>
      </c>
      <c r="K1223">
        <v>225000</v>
      </c>
      <c r="L1223">
        <v>219000</v>
      </c>
      <c r="M1223">
        <v>1103751</v>
      </c>
      <c r="N1223" s="2">
        <v>9.0525544784695426E-3</v>
      </c>
    </row>
    <row r="1224" spans="1:14" hidden="1" x14ac:dyDescent="0.25">
      <c r="A1224" t="s">
        <v>25</v>
      </c>
      <c r="B1224" t="s">
        <v>116</v>
      </c>
      <c r="C1224">
        <v>275990</v>
      </c>
      <c r="D1224">
        <v>321511</v>
      </c>
      <c r="E1224">
        <v>325352</v>
      </c>
      <c r="F1224">
        <v>330902</v>
      </c>
      <c r="G1224">
        <v>314183</v>
      </c>
      <c r="H1224">
        <v>330386</v>
      </c>
      <c r="I1224">
        <v>291250</v>
      </c>
      <c r="J1224">
        <v>281176</v>
      </c>
      <c r="K1224">
        <v>276100</v>
      </c>
      <c r="L1224">
        <v>287500</v>
      </c>
      <c r="M1224">
        <v>1466412</v>
      </c>
      <c r="N1224" s="2">
        <v>1.202696488418264E-2</v>
      </c>
    </row>
    <row r="1225" spans="1:14" hidden="1" x14ac:dyDescent="0.25">
      <c r="A1225" t="s">
        <v>25</v>
      </c>
      <c r="B1225" t="s">
        <v>145</v>
      </c>
      <c r="C1225">
        <v>2902000</v>
      </c>
      <c r="D1225">
        <v>2754900</v>
      </c>
      <c r="E1225">
        <v>2729400</v>
      </c>
      <c r="F1225">
        <v>2688400</v>
      </c>
      <c r="G1225">
        <v>2612500</v>
      </c>
      <c r="H1225">
        <v>2429500</v>
      </c>
      <c r="I1225">
        <v>2461200</v>
      </c>
      <c r="J1225">
        <v>2269100</v>
      </c>
      <c r="K1225">
        <v>2329300</v>
      </c>
      <c r="L1225">
        <v>2274000</v>
      </c>
      <c r="M1225">
        <v>11763100</v>
      </c>
      <c r="N1225" s="2">
        <v>9.647656363227311E-2</v>
      </c>
    </row>
    <row r="1226" spans="1:14" hidden="1" x14ac:dyDescent="0.25">
      <c r="A1226" t="s">
        <v>25</v>
      </c>
      <c r="B1226" t="s">
        <v>86</v>
      </c>
      <c r="C1226">
        <v>5879100</v>
      </c>
      <c r="D1226">
        <v>6667096</v>
      </c>
      <c r="E1226">
        <v>7649050</v>
      </c>
      <c r="F1226">
        <v>7968946</v>
      </c>
      <c r="G1226">
        <v>8420611</v>
      </c>
      <c r="H1226">
        <v>8915100</v>
      </c>
      <c r="I1226">
        <v>9023965</v>
      </c>
      <c r="J1226">
        <v>9784238</v>
      </c>
      <c r="K1226">
        <v>10025059</v>
      </c>
      <c r="L1226">
        <v>10490000</v>
      </c>
      <c r="M1226">
        <v>48238362</v>
      </c>
      <c r="N1226" s="2">
        <v>0.39563307300028272</v>
      </c>
    </row>
    <row r="1227" spans="1:14" hidden="1" x14ac:dyDescent="0.25">
      <c r="A1227" t="s">
        <v>25</v>
      </c>
      <c r="B1227" t="s">
        <v>159</v>
      </c>
      <c r="C1227">
        <v>448300</v>
      </c>
      <c r="D1227">
        <v>631800</v>
      </c>
      <c r="E1227">
        <v>786900</v>
      </c>
      <c r="F1227">
        <v>891369</v>
      </c>
      <c r="G1227">
        <v>818925</v>
      </c>
      <c r="H1227">
        <v>825346</v>
      </c>
      <c r="I1227">
        <v>999513</v>
      </c>
      <c r="J1227">
        <v>1160223</v>
      </c>
      <c r="K1227">
        <v>1200000</v>
      </c>
      <c r="L1227">
        <v>1300000</v>
      </c>
      <c r="M1227">
        <v>5485082</v>
      </c>
      <c r="N1227" s="2">
        <v>4.4986598991867438E-2</v>
      </c>
    </row>
    <row r="1228" spans="1:14" hidden="1" x14ac:dyDescent="0.25">
      <c r="A1228" t="s">
        <v>25</v>
      </c>
      <c r="B1228" t="s">
        <v>166</v>
      </c>
      <c r="C1228">
        <v>4328</v>
      </c>
      <c r="D1228">
        <v>3631</v>
      </c>
      <c r="E1228">
        <v>3088</v>
      </c>
      <c r="F1228">
        <v>2121</v>
      </c>
      <c r="G1228">
        <v>1754</v>
      </c>
      <c r="H1228">
        <v>1293</v>
      </c>
      <c r="I1228">
        <v>908</v>
      </c>
      <c r="J1228">
        <v>703</v>
      </c>
      <c r="K1228">
        <v>0</v>
      </c>
      <c r="L1228">
        <v>0</v>
      </c>
      <c r="M1228">
        <v>2904</v>
      </c>
      <c r="N1228" s="2">
        <v>2.381752605929739E-5</v>
      </c>
    </row>
    <row r="1229" spans="1:14" hidden="1" x14ac:dyDescent="0.25">
      <c r="A1229" t="s">
        <v>25</v>
      </c>
      <c r="B1229" t="s">
        <v>128</v>
      </c>
      <c r="C1229">
        <v>4000</v>
      </c>
      <c r="D1229">
        <v>4000</v>
      </c>
      <c r="E1229">
        <v>4000</v>
      </c>
      <c r="F1229">
        <v>4000</v>
      </c>
      <c r="G1229">
        <v>4000</v>
      </c>
      <c r="H1229">
        <v>4000</v>
      </c>
      <c r="I1229">
        <v>4000</v>
      </c>
      <c r="J1229">
        <v>4000</v>
      </c>
      <c r="K1229">
        <v>4000</v>
      </c>
      <c r="L1229">
        <v>4000</v>
      </c>
      <c r="M1229">
        <v>20000</v>
      </c>
      <c r="N1229" s="2">
        <v>1.6403254861775061E-4</v>
      </c>
    </row>
    <row r="1230" spans="1:14" hidden="1" x14ac:dyDescent="0.25">
      <c r="A1230" t="s">
        <v>25</v>
      </c>
      <c r="B1230" t="s">
        <v>154</v>
      </c>
      <c r="C1230">
        <v>129256</v>
      </c>
      <c r="D1230">
        <v>135840</v>
      </c>
      <c r="E1230">
        <v>146542</v>
      </c>
      <c r="F1230">
        <v>141474</v>
      </c>
      <c r="G1230">
        <v>145189</v>
      </c>
      <c r="H1230">
        <v>13552</v>
      </c>
      <c r="I1230">
        <v>18201</v>
      </c>
      <c r="J1230">
        <v>13009</v>
      </c>
      <c r="K1230">
        <v>2591</v>
      </c>
      <c r="L1230">
        <v>2132</v>
      </c>
      <c r="M1230">
        <v>49485</v>
      </c>
      <c r="N1230" s="2">
        <v>4.0585753341746951E-4</v>
      </c>
    </row>
    <row r="1231" spans="1:14" hidden="1" x14ac:dyDescent="0.25">
      <c r="A1231" t="s">
        <v>25</v>
      </c>
      <c r="B1231" t="s">
        <v>117</v>
      </c>
      <c r="C1231">
        <v>682132</v>
      </c>
      <c r="D1231">
        <v>677600</v>
      </c>
      <c r="E1231">
        <v>674000</v>
      </c>
      <c r="F1231">
        <v>678100</v>
      </c>
      <c r="G1231">
        <v>671400</v>
      </c>
      <c r="H1231">
        <v>694400</v>
      </c>
      <c r="I1231">
        <v>672400</v>
      </c>
      <c r="J1231">
        <v>629700</v>
      </c>
      <c r="K1231">
        <v>643000</v>
      </c>
      <c r="L1231">
        <v>614000</v>
      </c>
      <c r="M1231">
        <v>3253500</v>
      </c>
      <c r="N1231" s="2">
        <v>2.668399484639258E-2</v>
      </c>
    </row>
    <row r="1232" spans="1:14" hidden="1" x14ac:dyDescent="0.25">
      <c r="A1232" t="s">
        <v>25</v>
      </c>
      <c r="B1232" t="s">
        <v>97</v>
      </c>
      <c r="C1232">
        <v>493519</v>
      </c>
      <c r="D1232">
        <v>644193</v>
      </c>
      <c r="E1232">
        <v>762176</v>
      </c>
      <c r="F1232">
        <v>790372</v>
      </c>
      <c r="G1232">
        <v>773300</v>
      </c>
      <c r="H1232">
        <v>823100</v>
      </c>
      <c r="I1232">
        <v>550600</v>
      </c>
      <c r="J1232">
        <v>826303</v>
      </c>
      <c r="K1232">
        <v>697109</v>
      </c>
      <c r="L1232">
        <v>491200</v>
      </c>
      <c r="M1232">
        <v>3388312</v>
      </c>
      <c r="N1232" s="2">
        <v>2.7789672643605389E-2</v>
      </c>
    </row>
    <row r="1233" spans="1:14" hidden="1" x14ac:dyDescent="0.25">
      <c r="A1233" t="s">
        <v>25</v>
      </c>
      <c r="B1233" t="s">
        <v>98</v>
      </c>
      <c r="C1233">
        <v>197200</v>
      </c>
      <c r="D1233">
        <v>214300</v>
      </c>
      <c r="E1233">
        <v>233216</v>
      </c>
      <c r="F1233">
        <v>199626</v>
      </c>
      <c r="G1233">
        <v>253460</v>
      </c>
      <c r="H1233">
        <v>270769</v>
      </c>
      <c r="I1233">
        <v>274641</v>
      </c>
      <c r="J1233">
        <v>257977</v>
      </c>
      <c r="K1233">
        <v>278377</v>
      </c>
      <c r="L1233">
        <v>275900</v>
      </c>
      <c r="M1233">
        <v>1357664</v>
      </c>
      <c r="N1233" s="2">
        <v>1.113505430432849E-2</v>
      </c>
    </row>
    <row r="1234" spans="1:14" hidden="1" x14ac:dyDescent="0.25">
      <c r="A1234" t="s">
        <v>25</v>
      </c>
      <c r="B1234" t="s">
        <v>99</v>
      </c>
      <c r="C1234">
        <v>213000</v>
      </c>
      <c r="D1234">
        <v>188000</v>
      </c>
      <c r="E1234">
        <v>193000</v>
      </c>
      <c r="F1234">
        <v>190685</v>
      </c>
      <c r="G1234">
        <v>193028</v>
      </c>
      <c r="H1234">
        <v>160128</v>
      </c>
      <c r="I1234">
        <v>247384</v>
      </c>
      <c r="J1234">
        <v>250130</v>
      </c>
      <c r="K1234">
        <v>280000</v>
      </c>
      <c r="L1234">
        <v>285000</v>
      </c>
      <c r="M1234">
        <v>1222642</v>
      </c>
      <c r="N1234" s="2">
        <v>1.002765416535519E-2</v>
      </c>
    </row>
    <row r="1235" spans="1:14" hidden="1" x14ac:dyDescent="0.25">
      <c r="A1235" t="s">
        <v>25</v>
      </c>
      <c r="B1235" t="s">
        <v>182</v>
      </c>
      <c r="C1235">
        <v>7700</v>
      </c>
      <c r="D1235">
        <v>5000</v>
      </c>
      <c r="E1235">
        <v>7900</v>
      </c>
      <c r="F1235">
        <v>7300</v>
      </c>
      <c r="G1235">
        <v>6600</v>
      </c>
      <c r="H1235">
        <v>8700</v>
      </c>
      <c r="I1235">
        <v>7500</v>
      </c>
      <c r="J1235">
        <v>9800</v>
      </c>
      <c r="K1235">
        <v>15000</v>
      </c>
      <c r="L1235">
        <v>15400</v>
      </c>
      <c r="M1235">
        <v>56400</v>
      </c>
      <c r="N1235" s="2">
        <v>4.6257178710205671E-4</v>
      </c>
    </row>
    <row r="1236" spans="1:14" hidden="1" x14ac:dyDescent="0.25">
      <c r="A1236" t="s">
        <v>25</v>
      </c>
      <c r="B1236" t="s">
        <v>119</v>
      </c>
      <c r="C1236">
        <v>1516354</v>
      </c>
      <c r="D1236">
        <v>1468123</v>
      </c>
      <c r="E1236">
        <v>1554224</v>
      </c>
      <c r="F1236">
        <v>1483131</v>
      </c>
      <c r="G1236">
        <v>1553133</v>
      </c>
      <c r="H1236">
        <v>1488080</v>
      </c>
      <c r="I1236">
        <v>1594517</v>
      </c>
      <c r="J1236">
        <v>1495359</v>
      </c>
      <c r="K1236">
        <v>1580086</v>
      </c>
      <c r="L1236">
        <v>1516684</v>
      </c>
      <c r="M1236">
        <v>7674726</v>
      </c>
      <c r="N1236" s="2">
        <v>6.294524328614573E-2</v>
      </c>
    </row>
    <row r="1237" spans="1:14" hidden="1" x14ac:dyDescent="0.25">
      <c r="A1237" t="s">
        <v>25</v>
      </c>
      <c r="B1237" t="s">
        <v>102</v>
      </c>
      <c r="C1237">
        <v>367161</v>
      </c>
      <c r="D1237">
        <v>350837</v>
      </c>
      <c r="E1237">
        <v>294808</v>
      </c>
      <c r="F1237">
        <v>394641</v>
      </c>
      <c r="G1237">
        <v>408435</v>
      </c>
      <c r="H1237">
        <v>426191</v>
      </c>
      <c r="I1237">
        <v>438115</v>
      </c>
      <c r="J1237">
        <v>472327</v>
      </c>
      <c r="K1237">
        <v>477016</v>
      </c>
      <c r="L1237">
        <v>401883</v>
      </c>
      <c r="M1237">
        <v>2215532</v>
      </c>
      <c r="N1237" s="2">
        <v>1.8170968025209112E-2</v>
      </c>
    </row>
    <row r="1238" spans="1:14" hidden="1" x14ac:dyDescent="0.25">
      <c r="A1238" t="s">
        <v>25</v>
      </c>
      <c r="B1238" t="s">
        <v>148</v>
      </c>
      <c r="C1238">
        <v>591000</v>
      </c>
      <c r="D1238">
        <v>604000</v>
      </c>
      <c r="E1238">
        <v>604000</v>
      </c>
      <c r="F1238">
        <v>644603</v>
      </c>
      <c r="G1238">
        <v>644788</v>
      </c>
      <c r="H1238">
        <v>663327</v>
      </c>
      <c r="I1238">
        <v>673364</v>
      </c>
      <c r="J1238">
        <v>665727</v>
      </c>
      <c r="K1238">
        <v>657000</v>
      </c>
      <c r="L1238">
        <v>606000</v>
      </c>
      <c r="M1238">
        <v>3265418</v>
      </c>
      <c r="N1238" s="2">
        <v>2.6781741842113901E-2</v>
      </c>
    </row>
    <row r="1239" spans="1:14" hidden="1" x14ac:dyDescent="0.25">
      <c r="A1239" t="s">
        <v>25</v>
      </c>
      <c r="B1239" t="s">
        <v>171</v>
      </c>
      <c r="C1239">
        <v>86295</v>
      </c>
      <c r="D1239">
        <v>90030</v>
      </c>
      <c r="E1239">
        <v>88541</v>
      </c>
      <c r="F1239">
        <v>89253</v>
      </c>
      <c r="G1239">
        <v>78492</v>
      </c>
      <c r="H1239">
        <v>62941</v>
      </c>
      <c r="I1239">
        <v>71268</v>
      </c>
      <c r="J1239">
        <v>71651</v>
      </c>
      <c r="K1239">
        <v>39730</v>
      </c>
      <c r="L1239">
        <v>5964</v>
      </c>
      <c r="M1239">
        <v>251554</v>
      </c>
      <c r="N1239" s="2">
        <v>2.0631521867494822E-3</v>
      </c>
    </row>
    <row r="1240" spans="1:14" hidden="1" x14ac:dyDescent="0.25">
      <c r="A1240" t="s">
        <v>25</v>
      </c>
      <c r="B1240" t="s">
        <v>150</v>
      </c>
      <c r="C1240">
        <v>376900</v>
      </c>
      <c r="D1240">
        <v>355100</v>
      </c>
      <c r="E1240">
        <v>397700</v>
      </c>
      <c r="F1240">
        <v>434100</v>
      </c>
      <c r="G1240">
        <v>462300</v>
      </c>
      <c r="H1240">
        <v>463349</v>
      </c>
      <c r="I1240">
        <v>473612</v>
      </c>
      <c r="J1240">
        <v>486903</v>
      </c>
      <c r="K1240">
        <v>491926</v>
      </c>
      <c r="L1240">
        <v>472767</v>
      </c>
      <c r="M1240">
        <v>2388557</v>
      </c>
      <c r="N1240" s="2">
        <v>1.959005461143843E-2</v>
      </c>
    </row>
    <row r="1241" spans="1:14" hidden="1" x14ac:dyDescent="0.25">
      <c r="A1241" t="s">
        <v>25</v>
      </c>
      <c r="B1241" t="s">
        <v>173</v>
      </c>
      <c r="C1241">
        <v>2282</v>
      </c>
      <c r="D1241">
        <v>2344</v>
      </c>
      <c r="E1241">
        <v>6992</v>
      </c>
      <c r="F1241">
        <v>14990</v>
      </c>
      <c r="G1241">
        <v>15010</v>
      </c>
      <c r="H1241">
        <v>14689</v>
      </c>
      <c r="I1241">
        <v>14175</v>
      </c>
      <c r="J1241">
        <v>11758</v>
      </c>
      <c r="K1241">
        <v>9488</v>
      </c>
      <c r="L1241">
        <v>9689</v>
      </c>
      <c r="M1241">
        <v>59799</v>
      </c>
      <c r="N1241" s="2">
        <v>4.9044911873964345E-4</v>
      </c>
    </row>
    <row r="1242" spans="1:14" hidden="1" x14ac:dyDescent="0.25">
      <c r="A1242" t="s">
        <v>25</v>
      </c>
      <c r="B1242" t="s">
        <v>174</v>
      </c>
      <c r="C1242">
        <v>19000</v>
      </c>
      <c r="D1242">
        <v>25000</v>
      </c>
      <c r="E1242">
        <v>33200</v>
      </c>
      <c r="F1242">
        <v>65041</v>
      </c>
      <c r="G1242">
        <v>92560</v>
      </c>
      <c r="H1242">
        <v>115100</v>
      </c>
      <c r="I1242">
        <v>179000</v>
      </c>
      <c r="J1242">
        <v>218000</v>
      </c>
      <c r="K1242">
        <v>185000</v>
      </c>
      <c r="L1242">
        <v>67000</v>
      </c>
      <c r="M1242">
        <v>764100</v>
      </c>
      <c r="N1242" s="2">
        <v>6.2668635199411623E-3</v>
      </c>
    </row>
    <row r="1243" spans="1:14" hidden="1" x14ac:dyDescent="0.25">
      <c r="A1243" t="s">
        <v>25</v>
      </c>
      <c r="B1243" t="s">
        <v>175</v>
      </c>
      <c r="C1243">
        <v>0</v>
      </c>
      <c r="D1243">
        <v>0</v>
      </c>
      <c r="E1243">
        <v>0</v>
      </c>
      <c r="F1243">
        <v>10659</v>
      </c>
      <c r="G1243">
        <v>16391</v>
      </c>
      <c r="H1243">
        <v>15466</v>
      </c>
      <c r="I1243">
        <v>15177</v>
      </c>
      <c r="J1243">
        <v>15743</v>
      </c>
      <c r="K1243">
        <v>10641</v>
      </c>
      <c r="L1243">
        <v>2700</v>
      </c>
      <c r="M1243">
        <v>59727</v>
      </c>
      <c r="N1243" s="2">
        <v>4.8985860156461954E-4</v>
      </c>
    </row>
    <row r="1244" spans="1:14" hidden="1" x14ac:dyDescent="0.25">
      <c r="A1244" t="s">
        <v>25</v>
      </c>
      <c r="B1244" t="s">
        <v>176</v>
      </c>
      <c r="C1244">
        <v>1100</v>
      </c>
      <c r="D1244">
        <v>1900</v>
      </c>
      <c r="E1244">
        <v>1700</v>
      </c>
      <c r="F1244">
        <v>2268</v>
      </c>
      <c r="G1244">
        <v>1396</v>
      </c>
      <c r="H1244">
        <v>958</v>
      </c>
      <c r="I1244">
        <v>768</v>
      </c>
      <c r="J1244">
        <v>719</v>
      </c>
      <c r="K1244">
        <v>722</v>
      </c>
      <c r="L1244">
        <v>700</v>
      </c>
      <c r="M1244">
        <v>3867</v>
      </c>
      <c r="N1244" s="2">
        <v>3.1715693275242082E-5</v>
      </c>
    </row>
    <row r="1245" spans="1:14" hidden="1" x14ac:dyDescent="0.25">
      <c r="A1245" t="s">
        <v>25</v>
      </c>
      <c r="B1245" t="s">
        <v>132</v>
      </c>
      <c r="C1245">
        <v>37891</v>
      </c>
      <c r="D1245">
        <v>37461</v>
      </c>
      <c r="E1245">
        <v>35813</v>
      </c>
      <c r="F1245">
        <v>35477</v>
      </c>
      <c r="G1245">
        <v>28123</v>
      </c>
      <c r="H1245">
        <v>22695</v>
      </c>
      <c r="I1245">
        <v>20590</v>
      </c>
      <c r="J1245">
        <v>21962</v>
      </c>
      <c r="K1245">
        <v>20535</v>
      </c>
      <c r="L1245">
        <v>20125</v>
      </c>
      <c r="M1245">
        <v>105907</v>
      </c>
      <c r="N1245" s="2">
        <v>8.6860975632300575E-4</v>
      </c>
    </row>
    <row r="1246" spans="1:14" hidden="1" x14ac:dyDescent="0.25">
      <c r="A1246" t="s">
        <v>25</v>
      </c>
      <c r="B1246" t="s">
        <v>133</v>
      </c>
      <c r="C1246">
        <v>721</v>
      </c>
      <c r="D1246">
        <v>4200</v>
      </c>
      <c r="E1246">
        <v>2300</v>
      </c>
      <c r="F1246">
        <v>1300</v>
      </c>
      <c r="G1246">
        <v>3481</v>
      </c>
      <c r="H1246">
        <v>264</v>
      </c>
      <c r="I1246">
        <v>0</v>
      </c>
      <c r="J1246">
        <v>0</v>
      </c>
      <c r="K1246">
        <v>0</v>
      </c>
      <c r="L1246">
        <v>0</v>
      </c>
      <c r="M1246">
        <v>264</v>
      </c>
      <c r="N1246" s="2">
        <v>2.1652296417543081E-6</v>
      </c>
    </row>
    <row r="1247" spans="1:14" hidden="1" x14ac:dyDescent="0.25">
      <c r="A1247" t="s">
        <v>25</v>
      </c>
      <c r="B1247" t="s">
        <v>146</v>
      </c>
      <c r="C1247">
        <v>311293</v>
      </c>
      <c r="D1247">
        <v>361450</v>
      </c>
      <c r="E1247">
        <v>347398</v>
      </c>
      <c r="F1247">
        <v>352960</v>
      </c>
      <c r="G1247">
        <v>331324</v>
      </c>
      <c r="H1247">
        <v>335329</v>
      </c>
      <c r="I1247">
        <v>336798</v>
      </c>
      <c r="J1247">
        <v>307862</v>
      </c>
      <c r="K1247">
        <v>323580</v>
      </c>
      <c r="L1247">
        <v>324000</v>
      </c>
      <c r="M1247">
        <v>1627569</v>
      </c>
      <c r="N1247" s="2">
        <v>1.334871455606219E-2</v>
      </c>
    </row>
    <row r="1248" spans="1:14" hidden="1" x14ac:dyDescent="0.25">
      <c r="A1248" t="s">
        <v>25</v>
      </c>
      <c r="B1248" t="s">
        <v>156</v>
      </c>
      <c r="C1248">
        <v>98400</v>
      </c>
      <c r="D1248">
        <v>153000</v>
      </c>
      <c r="E1248">
        <v>130000</v>
      </c>
      <c r="F1248">
        <v>153000</v>
      </c>
      <c r="G1248">
        <v>185100</v>
      </c>
      <c r="H1248">
        <v>205000</v>
      </c>
      <c r="I1248">
        <v>170800</v>
      </c>
      <c r="J1248">
        <v>217300</v>
      </c>
      <c r="K1248">
        <v>220900</v>
      </c>
      <c r="L1248">
        <v>214684</v>
      </c>
      <c r="M1248">
        <v>1028684</v>
      </c>
      <c r="N1248" s="2">
        <v>8.4368829121151089E-3</v>
      </c>
    </row>
    <row r="1249" spans="1:14" hidden="1" x14ac:dyDescent="0.25">
      <c r="A1249" t="s">
        <v>25</v>
      </c>
      <c r="B1249" t="s">
        <v>151</v>
      </c>
      <c r="C1249">
        <v>565834</v>
      </c>
      <c r="D1249">
        <v>565155</v>
      </c>
      <c r="E1249">
        <v>576876</v>
      </c>
      <c r="F1249">
        <v>574310</v>
      </c>
      <c r="G1249">
        <v>535597</v>
      </c>
      <c r="H1249">
        <v>522022</v>
      </c>
      <c r="I1249">
        <v>501817</v>
      </c>
      <c r="J1249">
        <v>565588</v>
      </c>
      <c r="K1249">
        <v>560364</v>
      </c>
      <c r="L1249">
        <v>577575</v>
      </c>
      <c r="M1249">
        <v>2727366</v>
      </c>
      <c r="N1249" s="2">
        <v>2.2368839799669998E-2</v>
      </c>
    </row>
    <row r="1250" spans="1:14" hidden="1" x14ac:dyDescent="0.25">
      <c r="A1250" t="s">
        <v>25</v>
      </c>
      <c r="B1250" t="s">
        <v>107</v>
      </c>
      <c r="C1250">
        <v>887400</v>
      </c>
      <c r="D1250">
        <v>873600</v>
      </c>
      <c r="E1250">
        <v>889300</v>
      </c>
      <c r="F1250">
        <v>874300</v>
      </c>
      <c r="G1250">
        <v>860100</v>
      </c>
      <c r="H1250">
        <v>949000</v>
      </c>
      <c r="I1250">
        <v>1016000</v>
      </c>
      <c r="J1250">
        <v>1028000</v>
      </c>
      <c r="K1250">
        <v>1055000</v>
      </c>
      <c r="L1250">
        <v>1100000</v>
      </c>
      <c r="M1250">
        <v>5148000</v>
      </c>
      <c r="N1250" s="2">
        <v>4.2221978014209009E-2</v>
      </c>
    </row>
    <row r="1251" spans="1:14" hidden="1" x14ac:dyDescent="0.25">
      <c r="A1251" t="s">
        <v>25</v>
      </c>
      <c r="B1251" t="s">
        <v>179</v>
      </c>
      <c r="C1251">
        <v>34700</v>
      </c>
      <c r="D1251">
        <v>35800</v>
      </c>
      <c r="E1251">
        <v>33175</v>
      </c>
      <c r="F1251">
        <v>44000</v>
      </c>
      <c r="G1251">
        <v>61309</v>
      </c>
      <c r="H1251">
        <v>67179</v>
      </c>
      <c r="I1251">
        <v>72087</v>
      </c>
      <c r="J1251">
        <v>74000</v>
      </c>
      <c r="K1251">
        <v>46937</v>
      </c>
      <c r="L1251">
        <v>58344</v>
      </c>
      <c r="M1251">
        <v>318547</v>
      </c>
      <c r="N1251" s="2">
        <v>2.61260381322693E-3</v>
      </c>
    </row>
    <row r="1252" spans="1:14" hidden="1" x14ac:dyDescent="0.25">
      <c r="A1252" t="s">
        <v>25</v>
      </c>
      <c r="B1252" t="s">
        <v>137</v>
      </c>
      <c r="C1252">
        <v>66416</v>
      </c>
      <c r="D1252">
        <v>75400</v>
      </c>
      <c r="E1252">
        <v>57700</v>
      </c>
      <c r="F1252">
        <v>64400</v>
      </c>
      <c r="G1252">
        <v>53900</v>
      </c>
      <c r="H1252">
        <v>66200</v>
      </c>
      <c r="I1252">
        <v>43900</v>
      </c>
      <c r="J1252">
        <v>20000</v>
      </c>
      <c r="K1252">
        <v>10000</v>
      </c>
      <c r="L1252">
        <v>20400</v>
      </c>
      <c r="M1252">
        <v>160500</v>
      </c>
      <c r="N1252" s="2">
        <v>1.316361202657449E-3</v>
      </c>
    </row>
    <row r="1253" spans="1:14" hidden="1" x14ac:dyDescent="0.25">
      <c r="A1253" t="s">
        <v>25</v>
      </c>
      <c r="B1253" t="s">
        <v>121</v>
      </c>
      <c r="C1253">
        <v>406600</v>
      </c>
      <c r="D1253">
        <v>351000</v>
      </c>
      <c r="E1253">
        <v>418500</v>
      </c>
      <c r="F1253">
        <v>419900</v>
      </c>
      <c r="G1253">
        <v>429400</v>
      </c>
      <c r="H1253">
        <v>415200</v>
      </c>
      <c r="I1253">
        <v>423800</v>
      </c>
      <c r="J1253">
        <v>386700</v>
      </c>
      <c r="K1253">
        <v>399700</v>
      </c>
      <c r="L1253">
        <v>361500</v>
      </c>
      <c r="M1253">
        <v>1986900</v>
      </c>
      <c r="N1253" s="2">
        <v>1.629581354243043E-2</v>
      </c>
    </row>
    <row r="1254" spans="1:14" hidden="1" x14ac:dyDescent="0.25">
      <c r="A1254" t="s">
        <v>25</v>
      </c>
      <c r="B1254" t="s">
        <v>138</v>
      </c>
      <c r="C1254">
        <v>214050</v>
      </c>
      <c r="D1254">
        <v>206193</v>
      </c>
      <c r="E1254">
        <v>217337</v>
      </c>
      <c r="F1254">
        <v>206059</v>
      </c>
      <c r="G1254">
        <v>207220</v>
      </c>
      <c r="H1254">
        <v>219462</v>
      </c>
      <c r="I1254">
        <v>224487</v>
      </c>
      <c r="J1254">
        <v>201345</v>
      </c>
      <c r="K1254">
        <v>225987</v>
      </c>
      <c r="L1254">
        <v>223038</v>
      </c>
      <c r="M1254">
        <v>1094319</v>
      </c>
      <c r="N1254" s="2">
        <v>8.9751967285414125E-3</v>
      </c>
    </row>
    <row r="1255" spans="1:14" hidden="1" x14ac:dyDescent="0.25">
      <c r="A1255" t="s">
        <v>25</v>
      </c>
      <c r="B1255" t="s">
        <v>112</v>
      </c>
      <c r="C1255">
        <v>59673</v>
      </c>
      <c r="D1255">
        <v>74000</v>
      </c>
      <c r="E1255">
        <v>71300</v>
      </c>
      <c r="F1255">
        <v>84000</v>
      </c>
      <c r="G1255">
        <v>52400</v>
      </c>
      <c r="H1255">
        <v>95000</v>
      </c>
      <c r="I1255">
        <v>126300</v>
      </c>
      <c r="J1255">
        <v>116000</v>
      </c>
      <c r="K1255">
        <v>126100</v>
      </c>
      <c r="L1255">
        <v>126500</v>
      </c>
      <c r="M1255">
        <v>589900</v>
      </c>
      <c r="N1255" s="2">
        <v>4.8381400214805546E-3</v>
      </c>
    </row>
    <row r="1256" spans="1:14" hidden="1" x14ac:dyDescent="0.25">
      <c r="A1256" t="s">
        <v>25</v>
      </c>
      <c r="B1256" t="s">
        <v>113</v>
      </c>
      <c r="C1256">
        <v>1001000</v>
      </c>
      <c r="D1256">
        <v>1040000</v>
      </c>
      <c r="E1256">
        <v>1090000</v>
      </c>
      <c r="F1256">
        <v>1139000</v>
      </c>
      <c r="G1256">
        <v>1226000</v>
      </c>
      <c r="H1256">
        <v>1080000</v>
      </c>
      <c r="I1256">
        <v>1110000</v>
      </c>
      <c r="J1256">
        <v>1030000</v>
      </c>
      <c r="K1256">
        <v>918000</v>
      </c>
      <c r="L1256">
        <v>923000</v>
      </c>
      <c r="M1256">
        <v>5061000</v>
      </c>
      <c r="N1256" s="2">
        <v>4.1508436427721791E-2</v>
      </c>
    </row>
    <row r="1257" spans="1:14" hidden="1" x14ac:dyDescent="0.25">
      <c r="A1257" t="s">
        <v>25</v>
      </c>
      <c r="B1257" t="s">
        <v>122</v>
      </c>
      <c r="C1257">
        <v>24000</v>
      </c>
      <c r="D1257">
        <v>16500</v>
      </c>
      <c r="E1257">
        <v>15200</v>
      </c>
      <c r="F1257">
        <v>18500</v>
      </c>
      <c r="G1257">
        <v>27100</v>
      </c>
      <c r="H1257">
        <v>25186</v>
      </c>
      <c r="I1257">
        <v>24901</v>
      </c>
      <c r="J1257">
        <v>20409</v>
      </c>
      <c r="K1257">
        <v>24335</v>
      </c>
      <c r="L1257">
        <v>26600</v>
      </c>
      <c r="M1257">
        <v>121431</v>
      </c>
      <c r="N1257" s="2">
        <v>9.9593182056010384E-4</v>
      </c>
    </row>
    <row r="1258" spans="1:14" hidden="1" x14ac:dyDescent="0.25">
      <c r="A1258" t="s">
        <v>25</v>
      </c>
      <c r="B1258" t="s">
        <v>180</v>
      </c>
      <c r="C1258">
        <v>90000</v>
      </c>
      <c r="D1258">
        <v>90000</v>
      </c>
      <c r="E1258">
        <v>100000</v>
      </c>
      <c r="F1258">
        <v>100000</v>
      </c>
      <c r="G1258">
        <v>100000</v>
      </c>
      <c r="H1258">
        <v>100000</v>
      </c>
      <c r="I1258">
        <v>107400</v>
      </c>
      <c r="J1258">
        <v>147300</v>
      </c>
      <c r="K1258">
        <v>148000</v>
      </c>
      <c r="L1258">
        <v>148000</v>
      </c>
      <c r="M1258">
        <v>650700</v>
      </c>
      <c r="N1258" s="2">
        <v>5.3367989692785162E-3</v>
      </c>
    </row>
    <row r="1259" spans="1:14" hidden="1" x14ac:dyDescent="0.25">
      <c r="A1259" t="s">
        <v>25</v>
      </c>
      <c r="B1259" t="s">
        <v>115</v>
      </c>
      <c r="C1259">
        <v>8000</v>
      </c>
      <c r="D1259">
        <v>9700</v>
      </c>
      <c r="E1259">
        <v>11200</v>
      </c>
      <c r="F1259">
        <v>11300</v>
      </c>
      <c r="G1259">
        <v>11600</v>
      </c>
      <c r="H1259">
        <v>11500</v>
      </c>
      <c r="I1259">
        <v>15100</v>
      </c>
      <c r="J1259">
        <v>19200</v>
      </c>
      <c r="K1259">
        <v>19200</v>
      </c>
      <c r="L1259">
        <v>20000</v>
      </c>
      <c r="M1259">
        <v>85000</v>
      </c>
      <c r="N1259" s="2">
        <v>6.9713833162544014E-4</v>
      </c>
    </row>
    <row r="1260" spans="1:14" hidden="1" x14ac:dyDescent="0.25">
      <c r="A1260" t="s">
        <v>25</v>
      </c>
      <c r="B1260" t="s">
        <v>143</v>
      </c>
      <c r="C1260">
        <v>530200</v>
      </c>
      <c r="D1260">
        <v>567800</v>
      </c>
      <c r="E1260">
        <v>499400</v>
      </c>
      <c r="F1260">
        <v>495600</v>
      </c>
      <c r="G1260">
        <v>426400</v>
      </c>
      <c r="H1260">
        <v>466200</v>
      </c>
      <c r="I1260">
        <v>458200</v>
      </c>
      <c r="J1260">
        <v>264500</v>
      </c>
      <c r="K1260">
        <v>378400</v>
      </c>
      <c r="L1260">
        <v>350000</v>
      </c>
      <c r="M1260">
        <v>1917300</v>
      </c>
      <c r="N1260" s="2">
        <v>1.5724980273240659E-2</v>
      </c>
    </row>
    <row r="1261" spans="1:14" hidden="1" x14ac:dyDescent="0.25">
      <c r="A1261" t="s">
        <v>25</v>
      </c>
      <c r="B1261" t="s">
        <v>158</v>
      </c>
      <c r="C1261">
        <v>5000</v>
      </c>
      <c r="D1261">
        <v>5000</v>
      </c>
      <c r="E1261">
        <v>5000</v>
      </c>
      <c r="F1261">
        <v>0</v>
      </c>
      <c r="G1261">
        <v>0</v>
      </c>
      <c r="H1261">
        <v>0</v>
      </c>
      <c r="I1261">
        <v>100</v>
      </c>
      <c r="J1261">
        <v>0</v>
      </c>
      <c r="K1261">
        <v>0</v>
      </c>
      <c r="L1261">
        <v>0</v>
      </c>
      <c r="M1261">
        <v>100</v>
      </c>
      <c r="N1261" s="2">
        <v>8.2016274308875302E-7</v>
      </c>
    </row>
    <row r="1262" spans="1:14" hidden="1" x14ac:dyDescent="0.25">
      <c r="A1262" t="s">
        <v>23</v>
      </c>
      <c r="B1262" t="s">
        <v>153</v>
      </c>
      <c r="C1262">
        <v>5691</v>
      </c>
      <c r="D1262">
        <v>5087</v>
      </c>
      <c r="E1262">
        <v>3503</v>
      </c>
      <c r="F1262">
        <v>2106</v>
      </c>
      <c r="G1262">
        <v>218</v>
      </c>
      <c r="H1262">
        <v>0</v>
      </c>
      <c r="I1262">
        <v>2601</v>
      </c>
      <c r="J1262">
        <v>3551</v>
      </c>
      <c r="K1262">
        <v>3070</v>
      </c>
      <c r="L1262">
        <v>5134</v>
      </c>
      <c r="M1262">
        <v>14356</v>
      </c>
      <c r="N1262" s="2">
        <v>1.3794409583943749E-4</v>
      </c>
    </row>
    <row r="1263" spans="1:14" hidden="1" x14ac:dyDescent="0.25">
      <c r="A1263" t="s">
        <v>23</v>
      </c>
      <c r="B1263" t="s">
        <v>124</v>
      </c>
      <c r="C1263">
        <v>135700</v>
      </c>
      <c r="D1263">
        <v>109600</v>
      </c>
      <c r="E1263">
        <v>102600</v>
      </c>
      <c r="F1263">
        <v>61800</v>
      </c>
      <c r="G1263">
        <v>81900</v>
      </c>
      <c r="H1263">
        <v>33300</v>
      </c>
      <c r="I1263">
        <v>17400</v>
      </c>
      <c r="J1263">
        <v>0</v>
      </c>
      <c r="K1263">
        <v>0</v>
      </c>
      <c r="L1263">
        <v>0</v>
      </c>
      <c r="M1263">
        <v>50700</v>
      </c>
      <c r="N1263" s="2">
        <v>4.8716673579405712E-4</v>
      </c>
    </row>
    <row r="1264" spans="1:14" hidden="1" x14ac:dyDescent="0.25">
      <c r="A1264" t="s">
        <v>23</v>
      </c>
      <c r="B1264" t="s">
        <v>164</v>
      </c>
      <c r="C1264">
        <v>40908</v>
      </c>
      <c r="D1264">
        <v>48891</v>
      </c>
      <c r="E1264">
        <v>50952</v>
      </c>
      <c r="F1264">
        <v>71957</v>
      </c>
      <c r="G1264">
        <v>93248</v>
      </c>
      <c r="H1264">
        <v>102847</v>
      </c>
      <c r="I1264">
        <v>76166</v>
      </c>
      <c r="J1264">
        <v>97870</v>
      </c>
      <c r="K1264">
        <v>90154</v>
      </c>
      <c r="L1264">
        <v>89145</v>
      </c>
      <c r="M1264">
        <v>456182</v>
      </c>
      <c r="N1264" s="2">
        <v>4.3833667824064006E-3</v>
      </c>
    </row>
    <row r="1265" spans="1:14" hidden="1" x14ac:dyDescent="0.25">
      <c r="A1265" t="s">
        <v>23</v>
      </c>
      <c r="B1265" t="s">
        <v>83</v>
      </c>
      <c r="C1265">
        <v>921390</v>
      </c>
      <c r="D1265">
        <v>1000999</v>
      </c>
      <c r="E1265">
        <v>978534</v>
      </c>
      <c r="F1265">
        <v>995881</v>
      </c>
      <c r="G1265">
        <v>947555</v>
      </c>
      <c r="H1265">
        <v>849121</v>
      </c>
      <c r="I1265">
        <v>910896</v>
      </c>
      <c r="J1265">
        <v>925157</v>
      </c>
      <c r="K1265">
        <v>868019</v>
      </c>
      <c r="L1265">
        <v>795955</v>
      </c>
      <c r="M1265">
        <v>4349148</v>
      </c>
      <c r="N1265" s="2">
        <v>4.1790142695172623E-2</v>
      </c>
    </row>
    <row r="1266" spans="1:14" hidden="1" x14ac:dyDescent="0.25">
      <c r="A1266" t="s">
        <v>23</v>
      </c>
      <c r="B1266" t="s">
        <v>125</v>
      </c>
      <c r="C1266">
        <v>502</v>
      </c>
      <c r="D1266">
        <v>327</v>
      </c>
      <c r="E1266">
        <v>784</v>
      </c>
      <c r="F1266">
        <v>969</v>
      </c>
      <c r="G1266">
        <v>1941</v>
      </c>
      <c r="H1266">
        <v>1991</v>
      </c>
      <c r="I1266">
        <v>1645</v>
      </c>
      <c r="J1266">
        <v>2210</v>
      </c>
      <c r="K1266">
        <v>2591</v>
      </c>
      <c r="L1266">
        <v>2649</v>
      </c>
      <c r="M1266">
        <v>11086</v>
      </c>
      <c r="N1266" s="2">
        <v>1.065232827024244E-4</v>
      </c>
    </row>
    <row r="1267" spans="1:14" hidden="1" x14ac:dyDescent="0.25">
      <c r="A1267" t="s">
        <v>23</v>
      </c>
      <c r="B1267" t="s">
        <v>144</v>
      </c>
      <c r="C1267">
        <v>8700</v>
      </c>
      <c r="D1267">
        <v>7549</v>
      </c>
      <c r="E1267">
        <v>10746</v>
      </c>
      <c r="F1267">
        <v>9479</v>
      </c>
      <c r="G1267">
        <v>8718</v>
      </c>
      <c r="H1267">
        <v>7219</v>
      </c>
      <c r="I1267">
        <v>5216</v>
      </c>
      <c r="J1267">
        <v>4478</v>
      </c>
      <c r="K1267">
        <v>2822</v>
      </c>
      <c r="L1267">
        <v>3310</v>
      </c>
      <c r="M1267">
        <v>23045</v>
      </c>
      <c r="N1267" s="2">
        <v>2.2143505771940919E-4</v>
      </c>
    </row>
    <row r="1268" spans="1:14" hidden="1" x14ac:dyDescent="0.25">
      <c r="A1268" t="s">
        <v>23</v>
      </c>
      <c r="B1268" t="s">
        <v>165</v>
      </c>
      <c r="C1268">
        <v>35768</v>
      </c>
      <c r="D1268">
        <v>48500</v>
      </c>
      <c r="E1268">
        <v>38000</v>
      </c>
      <c r="F1268">
        <v>9162</v>
      </c>
      <c r="G1268">
        <v>12415</v>
      </c>
      <c r="H1268">
        <v>1239</v>
      </c>
      <c r="I1268">
        <v>1462</v>
      </c>
      <c r="J1268">
        <v>0</v>
      </c>
      <c r="K1268">
        <v>0</v>
      </c>
      <c r="L1268">
        <v>11742</v>
      </c>
      <c r="M1268">
        <v>14443</v>
      </c>
      <c r="N1268" s="2">
        <v>1.3878006242748649E-4</v>
      </c>
    </row>
    <row r="1269" spans="1:14" hidden="1" x14ac:dyDescent="0.25">
      <c r="A1269" t="s">
        <v>23</v>
      </c>
      <c r="B1269" t="s">
        <v>85</v>
      </c>
      <c r="C1269">
        <v>223141</v>
      </c>
      <c r="D1269">
        <v>270979</v>
      </c>
      <c r="E1269">
        <v>301197</v>
      </c>
      <c r="F1269">
        <v>359463</v>
      </c>
      <c r="G1269">
        <v>337600</v>
      </c>
      <c r="H1269">
        <v>384542</v>
      </c>
      <c r="I1269">
        <v>385800</v>
      </c>
      <c r="J1269">
        <v>363300</v>
      </c>
      <c r="K1269">
        <v>352600</v>
      </c>
      <c r="L1269">
        <v>335761</v>
      </c>
      <c r="M1269">
        <v>1822003</v>
      </c>
      <c r="N1269" s="2">
        <v>1.750728311867809E-2</v>
      </c>
    </row>
    <row r="1270" spans="1:14" hidden="1" x14ac:dyDescent="0.25">
      <c r="A1270" t="s">
        <v>23</v>
      </c>
      <c r="B1270" t="s">
        <v>147</v>
      </c>
      <c r="C1270">
        <v>118255</v>
      </c>
      <c r="D1270">
        <v>115149</v>
      </c>
      <c r="E1270">
        <v>108323</v>
      </c>
      <c r="F1270">
        <v>71748</v>
      </c>
      <c r="G1270">
        <v>70573</v>
      </c>
      <c r="H1270">
        <v>73003</v>
      </c>
      <c r="I1270">
        <v>69841</v>
      </c>
      <c r="J1270">
        <v>70927</v>
      </c>
      <c r="K1270">
        <v>73500</v>
      </c>
      <c r="L1270">
        <v>70000</v>
      </c>
      <c r="M1270">
        <v>357271</v>
      </c>
      <c r="N1270" s="2">
        <v>3.4329496422855731E-3</v>
      </c>
    </row>
    <row r="1271" spans="1:14" hidden="1" x14ac:dyDescent="0.25">
      <c r="A1271" t="s">
        <v>23</v>
      </c>
      <c r="B1271" t="s">
        <v>116</v>
      </c>
      <c r="C1271">
        <v>580082</v>
      </c>
      <c r="D1271">
        <v>652595</v>
      </c>
      <c r="E1271">
        <v>672729</v>
      </c>
      <c r="F1271">
        <v>714647</v>
      </c>
      <c r="G1271">
        <v>693059</v>
      </c>
      <c r="H1271">
        <v>597194</v>
      </c>
      <c r="I1271">
        <v>548011</v>
      </c>
      <c r="J1271">
        <v>560781</v>
      </c>
      <c r="K1271">
        <v>584608</v>
      </c>
      <c r="L1271">
        <v>550418</v>
      </c>
      <c r="M1271">
        <v>2841012</v>
      </c>
      <c r="N1271" s="2">
        <v>2.7298748370645869E-2</v>
      </c>
    </row>
    <row r="1272" spans="1:14" hidden="1" x14ac:dyDescent="0.25">
      <c r="A1272" t="s">
        <v>23</v>
      </c>
      <c r="B1272" t="s">
        <v>145</v>
      </c>
      <c r="C1272">
        <v>5433900</v>
      </c>
      <c r="D1272">
        <v>5776000</v>
      </c>
      <c r="E1272">
        <v>5761100</v>
      </c>
      <c r="F1272">
        <v>5772100</v>
      </c>
      <c r="G1272">
        <v>5552600</v>
      </c>
      <c r="H1272">
        <v>5503500</v>
      </c>
      <c r="I1272">
        <v>5831600</v>
      </c>
      <c r="J1272">
        <v>5787400</v>
      </c>
      <c r="K1272">
        <v>5733100</v>
      </c>
      <c r="L1272">
        <v>5624900</v>
      </c>
      <c r="M1272">
        <v>28480500</v>
      </c>
      <c r="N1272" s="2">
        <v>0.27366375184975622</v>
      </c>
    </row>
    <row r="1273" spans="1:14" hidden="1" x14ac:dyDescent="0.25">
      <c r="A1273" t="s">
        <v>23</v>
      </c>
      <c r="B1273" t="s">
        <v>86</v>
      </c>
      <c r="C1273">
        <v>1576800</v>
      </c>
      <c r="D1273">
        <v>1715150</v>
      </c>
      <c r="E1273">
        <v>1776794</v>
      </c>
      <c r="F1273">
        <v>1712065</v>
      </c>
      <c r="G1273">
        <v>1900188</v>
      </c>
      <c r="H1273">
        <v>1706400</v>
      </c>
      <c r="I1273">
        <v>1615234</v>
      </c>
      <c r="J1273">
        <v>1683700</v>
      </c>
      <c r="K1273">
        <v>1723100</v>
      </c>
      <c r="L1273">
        <v>1750000</v>
      </c>
      <c r="M1273">
        <v>8478434</v>
      </c>
      <c r="N1273" s="2">
        <v>8.1467672907797828E-2</v>
      </c>
    </row>
    <row r="1274" spans="1:14" hidden="1" x14ac:dyDescent="0.25">
      <c r="A1274" t="s">
        <v>23</v>
      </c>
      <c r="B1274" t="s">
        <v>87</v>
      </c>
      <c r="C1274">
        <v>781</v>
      </c>
      <c r="D1274">
        <v>659</v>
      </c>
      <c r="E1274">
        <v>4118</v>
      </c>
      <c r="F1274">
        <v>5463</v>
      </c>
      <c r="G1274">
        <v>8493</v>
      </c>
      <c r="H1274">
        <v>9355</v>
      </c>
      <c r="I1274">
        <v>9918</v>
      </c>
      <c r="J1274">
        <v>7641</v>
      </c>
      <c r="K1274">
        <v>9356</v>
      </c>
      <c r="L1274">
        <v>8195</v>
      </c>
      <c r="M1274">
        <v>44465</v>
      </c>
      <c r="N1274" s="2">
        <v>4.2725579698388061E-4</v>
      </c>
    </row>
    <row r="1275" spans="1:14" hidden="1" x14ac:dyDescent="0.25">
      <c r="A1275" t="s">
        <v>23</v>
      </c>
      <c r="B1275" t="s">
        <v>159</v>
      </c>
      <c r="C1275">
        <v>619942</v>
      </c>
      <c r="D1275">
        <v>922016</v>
      </c>
      <c r="E1275">
        <v>1030129</v>
      </c>
      <c r="F1275">
        <v>1039007</v>
      </c>
      <c r="G1275">
        <v>1023687</v>
      </c>
      <c r="H1275">
        <v>1094638</v>
      </c>
      <c r="I1275">
        <v>1225227</v>
      </c>
      <c r="J1275">
        <v>1420386</v>
      </c>
      <c r="K1275">
        <v>1601208</v>
      </c>
      <c r="L1275">
        <v>1797836</v>
      </c>
      <c r="M1275">
        <v>7139295</v>
      </c>
      <c r="N1275" s="2">
        <v>6.8600138876150546E-2</v>
      </c>
    </row>
    <row r="1276" spans="1:14" hidden="1" x14ac:dyDescent="0.25">
      <c r="A1276" t="s">
        <v>23</v>
      </c>
      <c r="B1276" t="s">
        <v>166</v>
      </c>
      <c r="C1276">
        <v>4328</v>
      </c>
      <c r="D1276">
        <v>3631</v>
      </c>
      <c r="E1276">
        <v>3088</v>
      </c>
      <c r="F1276">
        <v>2121</v>
      </c>
      <c r="G1276">
        <v>1754</v>
      </c>
      <c r="H1276">
        <v>1293</v>
      </c>
      <c r="I1276">
        <v>908</v>
      </c>
      <c r="J1276">
        <v>703</v>
      </c>
      <c r="K1276">
        <v>0</v>
      </c>
      <c r="L1276">
        <v>0</v>
      </c>
      <c r="M1276">
        <v>2904</v>
      </c>
      <c r="N1276" s="2">
        <v>2.7903988180393321E-5</v>
      </c>
    </row>
    <row r="1277" spans="1:14" hidden="1" x14ac:dyDescent="0.25">
      <c r="A1277" t="s">
        <v>23</v>
      </c>
      <c r="B1277" t="s">
        <v>89</v>
      </c>
      <c r="C1277">
        <v>11737</v>
      </c>
      <c r="D1277">
        <v>10379</v>
      </c>
      <c r="E1277">
        <v>9262</v>
      </c>
      <c r="F1277">
        <v>7324</v>
      </c>
      <c r="G1277">
        <v>9725</v>
      </c>
      <c r="H1277">
        <v>9618</v>
      </c>
      <c r="I1277">
        <v>8588</v>
      </c>
      <c r="J1277">
        <v>6047</v>
      </c>
      <c r="K1277">
        <v>2193</v>
      </c>
      <c r="L1277">
        <v>4774</v>
      </c>
      <c r="M1277">
        <v>31220</v>
      </c>
      <c r="N1277" s="2">
        <v>2.9998709056194199E-4</v>
      </c>
    </row>
    <row r="1278" spans="1:14" hidden="1" x14ac:dyDescent="0.25">
      <c r="A1278" t="s">
        <v>23</v>
      </c>
      <c r="B1278" t="s">
        <v>167</v>
      </c>
      <c r="C1278">
        <v>1800</v>
      </c>
      <c r="D1278">
        <v>4700</v>
      </c>
      <c r="E1278">
        <v>3000</v>
      </c>
      <c r="F1278">
        <v>1800</v>
      </c>
      <c r="G1278">
        <v>2009</v>
      </c>
      <c r="H1278">
        <v>410</v>
      </c>
      <c r="I1278">
        <v>2112</v>
      </c>
      <c r="J1278">
        <v>495</v>
      </c>
      <c r="K1278">
        <v>2170</v>
      </c>
      <c r="L1278">
        <v>4220</v>
      </c>
      <c r="M1278">
        <v>9407</v>
      </c>
      <c r="N1278" s="2">
        <v>9.0390088434214887E-5</v>
      </c>
    </row>
    <row r="1279" spans="1:14" hidden="1" x14ac:dyDescent="0.25">
      <c r="A1279" t="s">
        <v>23</v>
      </c>
      <c r="B1279" t="s">
        <v>168</v>
      </c>
      <c r="C1279">
        <v>0</v>
      </c>
      <c r="D1279">
        <v>21800</v>
      </c>
      <c r="E1279">
        <v>88900</v>
      </c>
      <c r="F1279">
        <v>61600</v>
      </c>
      <c r="G1279">
        <v>25300</v>
      </c>
      <c r="H1279">
        <v>7900</v>
      </c>
      <c r="I1279">
        <v>17300</v>
      </c>
      <c r="J1279">
        <v>16008</v>
      </c>
      <c r="K1279">
        <v>21725</v>
      </c>
      <c r="L1279">
        <v>20224</v>
      </c>
      <c r="M1279">
        <v>83157</v>
      </c>
      <c r="N1279" s="2">
        <v>7.9903992600446547E-4</v>
      </c>
    </row>
    <row r="1280" spans="1:14" hidden="1" x14ac:dyDescent="0.25">
      <c r="A1280" t="s">
        <v>23</v>
      </c>
      <c r="B1280" t="s">
        <v>154</v>
      </c>
      <c r="C1280">
        <v>25446</v>
      </c>
      <c r="D1280">
        <v>38763</v>
      </c>
      <c r="E1280">
        <v>42790</v>
      </c>
      <c r="F1280">
        <v>41085</v>
      </c>
      <c r="G1280">
        <v>47488</v>
      </c>
      <c r="H1280">
        <v>53144</v>
      </c>
      <c r="I1280">
        <v>46755</v>
      </c>
      <c r="J1280">
        <v>32592</v>
      </c>
      <c r="K1280">
        <v>35494</v>
      </c>
      <c r="L1280">
        <v>32017</v>
      </c>
      <c r="M1280">
        <v>200002</v>
      </c>
      <c r="N1280" s="2">
        <v>1.921781488999665E-3</v>
      </c>
    </row>
    <row r="1281" spans="1:14" hidden="1" x14ac:dyDescent="0.25">
      <c r="A1281" t="s">
        <v>23</v>
      </c>
      <c r="B1281" t="s">
        <v>169</v>
      </c>
      <c r="C1281">
        <v>6800</v>
      </c>
      <c r="D1281">
        <v>10000</v>
      </c>
      <c r="E1281">
        <v>6800</v>
      </c>
      <c r="F1281">
        <v>13000</v>
      </c>
      <c r="G1281">
        <v>14000</v>
      </c>
      <c r="H1281">
        <v>15000</v>
      </c>
      <c r="I1281">
        <v>15704</v>
      </c>
      <c r="J1281">
        <v>9547</v>
      </c>
      <c r="K1281">
        <v>8031</v>
      </c>
      <c r="L1281">
        <v>8147</v>
      </c>
      <c r="M1281">
        <v>56429</v>
      </c>
      <c r="N1281" s="2">
        <v>5.4221561605764974E-4</v>
      </c>
    </row>
    <row r="1282" spans="1:14" hidden="1" x14ac:dyDescent="0.25">
      <c r="A1282" t="s">
        <v>23</v>
      </c>
      <c r="B1282" t="s">
        <v>97</v>
      </c>
      <c r="C1282">
        <v>29281</v>
      </c>
      <c r="D1282">
        <v>32194</v>
      </c>
      <c r="E1282">
        <v>24889</v>
      </c>
      <c r="F1282">
        <v>32493</v>
      </c>
      <c r="G1282">
        <v>30500</v>
      </c>
      <c r="H1282">
        <v>31800</v>
      </c>
      <c r="I1282">
        <v>34100</v>
      </c>
      <c r="J1282">
        <v>28000</v>
      </c>
      <c r="K1282">
        <v>22837</v>
      </c>
      <c r="L1282">
        <v>24741</v>
      </c>
      <c r="M1282">
        <v>141478</v>
      </c>
      <c r="N1282" s="2">
        <v>1.3594354131493409E-3</v>
      </c>
    </row>
    <row r="1283" spans="1:14" hidden="1" x14ac:dyDescent="0.25">
      <c r="A1283" t="s">
        <v>23</v>
      </c>
      <c r="B1283" t="s">
        <v>98</v>
      </c>
      <c r="C1283">
        <v>398100</v>
      </c>
      <c r="D1283">
        <v>509300</v>
      </c>
      <c r="E1283">
        <v>378500</v>
      </c>
      <c r="F1283">
        <v>578600</v>
      </c>
      <c r="G1283">
        <v>728000</v>
      </c>
      <c r="H1283">
        <v>622030</v>
      </c>
      <c r="I1283">
        <v>651136</v>
      </c>
      <c r="J1283">
        <v>351000</v>
      </c>
      <c r="K1283">
        <v>507000</v>
      </c>
      <c r="L1283">
        <v>775000</v>
      </c>
      <c r="M1283">
        <v>2906166</v>
      </c>
      <c r="N1283" s="2">
        <v>2.792480086579234E-2</v>
      </c>
    </row>
    <row r="1284" spans="1:14" hidden="1" x14ac:dyDescent="0.25">
      <c r="A1284" t="s">
        <v>23</v>
      </c>
      <c r="B1284" t="s">
        <v>99</v>
      </c>
      <c r="C1284">
        <v>245500</v>
      </c>
      <c r="D1284">
        <v>222900</v>
      </c>
      <c r="E1284">
        <v>216800</v>
      </c>
      <c r="F1284">
        <v>257000</v>
      </c>
      <c r="G1284">
        <v>282000</v>
      </c>
      <c r="H1284">
        <v>295621</v>
      </c>
      <c r="I1284">
        <v>310000</v>
      </c>
      <c r="J1284">
        <v>310000</v>
      </c>
      <c r="K1284">
        <v>315000</v>
      </c>
      <c r="L1284">
        <v>316000</v>
      </c>
      <c r="M1284">
        <v>1546621</v>
      </c>
      <c r="N1284" s="2">
        <v>1.4861189429596459E-2</v>
      </c>
    </row>
    <row r="1285" spans="1:14" hidden="1" x14ac:dyDescent="0.25">
      <c r="A1285" t="s">
        <v>23</v>
      </c>
      <c r="B1285" t="s">
        <v>102</v>
      </c>
      <c r="C1285">
        <v>426800</v>
      </c>
      <c r="D1285">
        <v>454400</v>
      </c>
      <c r="E1285">
        <v>471700</v>
      </c>
      <c r="F1285">
        <v>473600</v>
      </c>
      <c r="G1285">
        <v>474800</v>
      </c>
      <c r="H1285">
        <v>557800</v>
      </c>
      <c r="I1285">
        <v>635500</v>
      </c>
      <c r="J1285">
        <v>562100</v>
      </c>
      <c r="K1285">
        <v>551800</v>
      </c>
      <c r="L1285">
        <v>511900</v>
      </c>
      <c r="M1285">
        <v>2819100</v>
      </c>
      <c r="N1285" s="2">
        <v>2.708820009619381E-2</v>
      </c>
    </row>
    <row r="1286" spans="1:14" hidden="1" x14ac:dyDescent="0.25">
      <c r="A1286" t="s">
        <v>23</v>
      </c>
      <c r="B1286" t="s">
        <v>149</v>
      </c>
      <c r="C1286">
        <v>17000</v>
      </c>
      <c r="D1286">
        <v>6700</v>
      </c>
      <c r="E1286">
        <v>7700</v>
      </c>
      <c r="F1286">
        <v>8600</v>
      </c>
      <c r="G1286">
        <v>12600</v>
      </c>
      <c r="H1286">
        <v>1800</v>
      </c>
      <c r="I1286">
        <v>2000</v>
      </c>
      <c r="J1286">
        <v>2000</v>
      </c>
      <c r="K1286">
        <v>2000</v>
      </c>
      <c r="L1286">
        <v>2000</v>
      </c>
      <c r="M1286">
        <v>9800</v>
      </c>
      <c r="N1286" s="2">
        <v>9.4166351297470584E-5</v>
      </c>
    </row>
    <row r="1287" spans="1:14" hidden="1" x14ac:dyDescent="0.25">
      <c r="A1287" t="s">
        <v>23</v>
      </c>
      <c r="B1287" t="s">
        <v>170</v>
      </c>
      <c r="C1287">
        <v>0</v>
      </c>
      <c r="D1287">
        <v>0</v>
      </c>
      <c r="E1287">
        <v>700</v>
      </c>
      <c r="F1287">
        <v>3100</v>
      </c>
      <c r="G1287">
        <v>8200</v>
      </c>
      <c r="H1287">
        <v>7500</v>
      </c>
      <c r="I1287">
        <v>7200</v>
      </c>
      <c r="J1287">
        <v>7000</v>
      </c>
      <c r="K1287">
        <v>5100</v>
      </c>
      <c r="L1287">
        <v>6600</v>
      </c>
      <c r="M1287">
        <v>33400</v>
      </c>
      <c r="N1287" s="2">
        <v>3.2093429931995081E-4</v>
      </c>
    </row>
    <row r="1288" spans="1:14" hidden="1" x14ac:dyDescent="0.25">
      <c r="A1288" t="s">
        <v>23</v>
      </c>
      <c r="B1288" t="s">
        <v>171</v>
      </c>
      <c r="C1288">
        <v>149580</v>
      </c>
      <c r="D1288">
        <v>154915</v>
      </c>
      <c r="E1288">
        <v>159696</v>
      </c>
      <c r="F1288">
        <v>167702</v>
      </c>
      <c r="G1288">
        <v>177939</v>
      </c>
      <c r="H1288">
        <v>153304</v>
      </c>
      <c r="I1288">
        <v>146967</v>
      </c>
      <c r="J1288">
        <v>140935</v>
      </c>
      <c r="K1288">
        <v>239449</v>
      </c>
      <c r="L1288">
        <v>221184</v>
      </c>
      <c r="M1288">
        <v>901839</v>
      </c>
      <c r="N1288" s="2">
        <v>8.6656008252815903E-3</v>
      </c>
    </row>
    <row r="1289" spans="1:14" hidden="1" x14ac:dyDescent="0.25">
      <c r="A1289" t="s">
        <v>23</v>
      </c>
      <c r="B1289" t="s">
        <v>172</v>
      </c>
      <c r="C1289">
        <v>37670</v>
      </c>
      <c r="D1289">
        <v>37970</v>
      </c>
      <c r="E1289">
        <v>33079</v>
      </c>
      <c r="F1289">
        <v>45001</v>
      </c>
      <c r="G1289">
        <v>32820</v>
      </c>
      <c r="H1289">
        <v>28791</v>
      </c>
      <c r="I1289">
        <v>28138</v>
      </c>
      <c r="J1289">
        <v>29620</v>
      </c>
      <c r="K1289">
        <v>28491</v>
      </c>
      <c r="L1289">
        <v>18846</v>
      </c>
      <c r="M1289">
        <v>133886</v>
      </c>
      <c r="N1289" s="2">
        <v>1.2864853173278721E-3</v>
      </c>
    </row>
    <row r="1290" spans="1:14" hidden="1" x14ac:dyDescent="0.25">
      <c r="A1290" t="s">
        <v>23</v>
      </c>
      <c r="B1290" t="s">
        <v>150</v>
      </c>
      <c r="C1290">
        <v>500275</v>
      </c>
      <c r="D1290">
        <v>480124</v>
      </c>
      <c r="E1290">
        <v>515025</v>
      </c>
      <c r="F1290">
        <v>594451</v>
      </c>
      <c r="G1290">
        <v>766129</v>
      </c>
      <c r="H1290">
        <v>742246</v>
      </c>
      <c r="I1290">
        <v>696580</v>
      </c>
      <c r="J1290">
        <v>713704</v>
      </c>
      <c r="K1290">
        <v>800316</v>
      </c>
      <c r="L1290">
        <v>734100</v>
      </c>
      <c r="M1290">
        <v>3686946</v>
      </c>
      <c r="N1290" s="2">
        <v>3.5427168597020817E-2</v>
      </c>
    </row>
    <row r="1291" spans="1:14" hidden="1" x14ac:dyDescent="0.25">
      <c r="A1291" t="s">
        <v>23</v>
      </c>
      <c r="B1291" t="s">
        <v>173</v>
      </c>
      <c r="C1291">
        <v>123900</v>
      </c>
      <c r="D1291">
        <v>189000</v>
      </c>
      <c r="E1291">
        <v>253000</v>
      </c>
      <c r="F1291">
        <v>318300</v>
      </c>
      <c r="G1291">
        <v>335700</v>
      </c>
      <c r="H1291">
        <v>461160</v>
      </c>
      <c r="I1291">
        <v>458780</v>
      </c>
      <c r="J1291">
        <v>441840</v>
      </c>
      <c r="K1291">
        <v>446845</v>
      </c>
      <c r="L1291">
        <v>464205</v>
      </c>
      <c r="M1291">
        <v>2272830</v>
      </c>
      <c r="N1291" s="2">
        <v>2.1839194716268381E-2</v>
      </c>
    </row>
    <row r="1292" spans="1:14" hidden="1" x14ac:dyDescent="0.25">
      <c r="A1292" t="s">
        <v>23</v>
      </c>
      <c r="B1292" t="s">
        <v>161</v>
      </c>
      <c r="C1292">
        <v>14750</v>
      </c>
      <c r="D1292">
        <v>11575</v>
      </c>
      <c r="E1292">
        <v>16579</v>
      </c>
      <c r="F1292">
        <v>26900</v>
      </c>
      <c r="G1292">
        <v>31800</v>
      </c>
      <c r="H1292">
        <v>35400</v>
      </c>
      <c r="I1292">
        <v>32400</v>
      </c>
      <c r="J1292">
        <v>30700</v>
      </c>
      <c r="K1292">
        <v>31800</v>
      </c>
      <c r="L1292">
        <v>36500</v>
      </c>
      <c r="M1292">
        <v>166800</v>
      </c>
      <c r="N1292" s="2">
        <v>1.6027497343283771E-3</v>
      </c>
    </row>
    <row r="1293" spans="1:14" hidden="1" x14ac:dyDescent="0.25">
      <c r="A1293" t="s">
        <v>23</v>
      </c>
      <c r="B1293" t="s">
        <v>174</v>
      </c>
      <c r="C1293">
        <v>25000</v>
      </c>
      <c r="D1293">
        <v>33000</v>
      </c>
      <c r="E1293">
        <v>42000</v>
      </c>
      <c r="F1293">
        <v>71000</v>
      </c>
      <c r="G1293">
        <v>95000</v>
      </c>
      <c r="H1293">
        <v>116000</v>
      </c>
      <c r="I1293">
        <v>180000</v>
      </c>
      <c r="J1293">
        <v>219000</v>
      </c>
      <c r="K1293">
        <v>186000</v>
      </c>
      <c r="L1293">
        <v>68000</v>
      </c>
      <c r="M1293">
        <v>769000</v>
      </c>
      <c r="N1293" s="2">
        <v>7.389175933444376E-3</v>
      </c>
    </row>
    <row r="1294" spans="1:14" hidden="1" x14ac:dyDescent="0.25">
      <c r="A1294" t="s">
        <v>23</v>
      </c>
      <c r="B1294" t="s">
        <v>175</v>
      </c>
      <c r="C1294">
        <v>5304</v>
      </c>
      <c r="D1294">
        <v>4896</v>
      </c>
      <c r="E1294">
        <v>5249</v>
      </c>
      <c r="F1294">
        <v>14010</v>
      </c>
      <c r="G1294">
        <v>16653</v>
      </c>
      <c r="H1294">
        <v>15534</v>
      </c>
      <c r="I1294">
        <v>15177</v>
      </c>
      <c r="J1294">
        <v>15743</v>
      </c>
      <c r="K1294">
        <v>10853</v>
      </c>
      <c r="L1294">
        <v>3000</v>
      </c>
      <c r="M1294">
        <v>60307</v>
      </c>
      <c r="N1294" s="2">
        <v>5.7947858649964889E-4</v>
      </c>
    </row>
    <row r="1295" spans="1:14" hidden="1" x14ac:dyDescent="0.25">
      <c r="A1295" t="s">
        <v>23</v>
      </c>
      <c r="B1295" t="s">
        <v>176</v>
      </c>
      <c r="C1295">
        <v>10600</v>
      </c>
      <c r="D1295">
        <v>11700</v>
      </c>
      <c r="E1295">
        <v>9600</v>
      </c>
      <c r="F1295">
        <v>11400</v>
      </c>
      <c r="G1295">
        <v>10200</v>
      </c>
      <c r="H1295">
        <v>9000</v>
      </c>
      <c r="I1295">
        <v>8000</v>
      </c>
      <c r="J1295">
        <v>7100</v>
      </c>
      <c r="K1295">
        <v>5982</v>
      </c>
      <c r="L1295">
        <v>6213</v>
      </c>
      <c r="M1295">
        <v>36295</v>
      </c>
      <c r="N1295" s="2">
        <v>3.4875180819813218E-4</v>
      </c>
    </row>
    <row r="1296" spans="1:14" hidden="1" x14ac:dyDescent="0.25">
      <c r="A1296" t="s">
        <v>23</v>
      </c>
      <c r="B1296" t="s">
        <v>106</v>
      </c>
      <c r="C1296">
        <v>23900</v>
      </c>
      <c r="D1296">
        <v>20700</v>
      </c>
      <c r="E1296">
        <v>18000</v>
      </c>
      <c r="F1296">
        <v>16000</v>
      </c>
      <c r="G1296">
        <v>14000</v>
      </c>
      <c r="H1296">
        <v>10052</v>
      </c>
      <c r="I1296">
        <v>12538</v>
      </c>
      <c r="J1296">
        <v>13049</v>
      </c>
      <c r="K1296">
        <v>13200</v>
      </c>
      <c r="L1296">
        <v>18800</v>
      </c>
      <c r="M1296">
        <v>67639</v>
      </c>
      <c r="N1296" s="2">
        <v>6.4993039136832789E-4</v>
      </c>
    </row>
    <row r="1297" spans="1:14" hidden="1" x14ac:dyDescent="0.25">
      <c r="A1297" t="s">
        <v>23</v>
      </c>
      <c r="B1297" t="s">
        <v>177</v>
      </c>
      <c r="F1297">
        <v>0</v>
      </c>
      <c r="G1297">
        <v>0</v>
      </c>
      <c r="H1297">
        <v>0</v>
      </c>
      <c r="I1297">
        <v>0</v>
      </c>
      <c r="J1297">
        <v>147480</v>
      </c>
      <c r="K1297">
        <v>205548</v>
      </c>
      <c r="L1297">
        <v>331000</v>
      </c>
      <c r="M1297">
        <v>684028</v>
      </c>
      <c r="N1297" s="2">
        <v>6.5726960148271649E-3</v>
      </c>
    </row>
    <row r="1298" spans="1:14" hidden="1" x14ac:dyDescent="0.25">
      <c r="A1298" t="s">
        <v>23</v>
      </c>
      <c r="B1298" t="s">
        <v>155</v>
      </c>
      <c r="C1298">
        <v>125326</v>
      </c>
      <c r="D1298">
        <v>105523</v>
      </c>
      <c r="E1298">
        <v>75901</v>
      </c>
      <c r="F1298">
        <v>45185</v>
      </c>
      <c r="G1298">
        <v>80022</v>
      </c>
      <c r="H1298">
        <v>105419</v>
      </c>
      <c r="I1298">
        <v>96287</v>
      </c>
      <c r="J1298">
        <v>99398</v>
      </c>
      <c r="K1298">
        <v>82500</v>
      </c>
      <c r="L1298">
        <v>63200</v>
      </c>
      <c r="M1298">
        <v>446804</v>
      </c>
      <c r="N1298" s="2">
        <v>4.2932553495015364E-3</v>
      </c>
    </row>
    <row r="1299" spans="1:14" hidden="1" x14ac:dyDescent="0.25">
      <c r="A1299" t="s">
        <v>23</v>
      </c>
      <c r="B1299" t="s">
        <v>146</v>
      </c>
      <c r="C1299">
        <v>1298761</v>
      </c>
      <c r="D1299">
        <v>1375641</v>
      </c>
      <c r="E1299">
        <v>1377642</v>
      </c>
      <c r="F1299">
        <v>1700817</v>
      </c>
      <c r="G1299">
        <v>2353859</v>
      </c>
      <c r="H1299">
        <v>2445585</v>
      </c>
      <c r="I1299">
        <v>2437035</v>
      </c>
      <c r="J1299">
        <v>2455440</v>
      </c>
      <c r="K1299">
        <v>2150126</v>
      </c>
      <c r="L1299">
        <v>2299277</v>
      </c>
      <c r="M1299">
        <v>11787463</v>
      </c>
      <c r="N1299" s="2">
        <v>0.1132635083432588</v>
      </c>
    </row>
    <row r="1300" spans="1:14" hidden="1" x14ac:dyDescent="0.25">
      <c r="A1300" t="s">
        <v>23</v>
      </c>
      <c r="B1300" t="s">
        <v>156</v>
      </c>
      <c r="C1300">
        <v>65444</v>
      </c>
      <c r="D1300">
        <v>90861</v>
      </c>
      <c r="E1300">
        <v>91824</v>
      </c>
      <c r="F1300">
        <v>83835</v>
      </c>
      <c r="G1300">
        <v>83649</v>
      </c>
      <c r="H1300">
        <v>68156</v>
      </c>
      <c r="I1300">
        <v>69933</v>
      </c>
      <c r="J1300">
        <v>71892</v>
      </c>
      <c r="K1300">
        <v>60856</v>
      </c>
      <c r="L1300">
        <v>51586</v>
      </c>
      <c r="M1300">
        <v>322423</v>
      </c>
      <c r="N1300" s="2">
        <v>3.0981017841208531E-3</v>
      </c>
    </row>
    <row r="1301" spans="1:14" hidden="1" x14ac:dyDescent="0.25">
      <c r="A1301" t="s">
        <v>23</v>
      </c>
      <c r="B1301" t="s">
        <v>151</v>
      </c>
      <c r="C1301">
        <v>427064</v>
      </c>
      <c r="D1301">
        <v>428879</v>
      </c>
      <c r="E1301">
        <v>421285</v>
      </c>
      <c r="F1301">
        <v>426196</v>
      </c>
      <c r="G1301">
        <v>424000</v>
      </c>
      <c r="H1301">
        <v>419000</v>
      </c>
      <c r="I1301">
        <v>401300</v>
      </c>
      <c r="J1301">
        <v>449000</v>
      </c>
      <c r="K1301">
        <v>442000</v>
      </c>
      <c r="L1301">
        <v>443000</v>
      </c>
      <c r="M1301">
        <v>2154300</v>
      </c>
      <c r="N1301" s="2">
        <v>2.0700262306136821E-2</v>
      </c>
    </row>
    <row r="1302" spans="1:14" hidden="1" x14ac:dyDescent="0.25">
      <c r="A1302" t="s">
        <v>23</v>
      </c>
      <c r="B1302" t="s">
        <v>178</v>
      </c>
      <c r="C1302">
        <v>74043</v>
      </c>
      <c r="D1302">
        <v>77236</v>
      </c>
      <c r="E1302">
        <v>75433</v>
      </c>
      <c r="F1302">
        <v>83081</v>
      </c>
      <c r="G1302">
        <v>74453</v>
      </c>
      <c r="H1302">
        <v>63812</v>
      </c>
      <c r="I1302">
        <v>49064</v>
      </c>
      <c r="J1302">
        <v>41553</v>
      </c>
      <c r="K1302">
        <v>32032</v>
      </c>
      <c r="L1302">
        <v>37941</v>
      </c>
      <c r="M1302">
        <v>224402</v>
      </c>
      <c r="N1302" s="2">
        <v>2.156236486107653E-3</v>
      </c>
    </row>
    <row r="1303" spans="1:14" hidden="1" x14ac:dyDescent="0.25">
      <c r="A1303" t="s">
        <v>23</v>
      </c>
      <c r="B1303" t="s">
        <v>120</v>
      </c>
      <c r="C1303">
        <v>5902</v>
      </c>
      <c r="D1303">
        <v>6800</v>
      </c>
      <c r="E1303">
        <v>7200</v>
      </c>
      <c r="F1303">
        <v>3600</v>
      </c>
      <c r="G1303">
        <v>7300</v>
      </c>
      <c r="H1303">
        <v>7400</v>
      </c>
      <c r="I1303">
        <v>8722</v>
      </c>
      <c r="J1303">
        <v>9200</v>
      </c>
      <c r="K1303">
        <v>9100</v>
      </c>
      <c r="L1303">
        <v>9100</v>
      </c>
      <c r="M1303">
        <v>43522</v>
      </c>
      <c r="N1303" s="2">
        <v>4.1819468787433832E-4</v>
      </c>
    </row>
    <row r="1304" spans="1:14" hidden="1" x14ac:dyDescent="0.25">
      <c r="A1304" t="s">
        <v>23</v>
      </c>
      <c r="B1304" t="s">
        <v>107</v>
      </c>
      <c r="C1304">
        <v>582900</v>
      </c>
      <c r="D1304">
        <v>655900</v>
      </c>
      <c r="E1304">
        <v>691500</v>
      </c>
      <c r="F1304">
        <v>711400</v>
      </c>
      <c r="G1304">
        <v>702300</v>
      </c>
      <c r="H1304">
        <v>761100</v>
      </c>
      <c r="I1304">
        <v>870500</v>
      </c>
      <c r="J1304">
        <v>812400</v>
      </c>
      <c r="K1304">
        <v>924100</v>
      </c>
      <c r="L1304">
        <v>900000</v>
      </c>
      <c r="M1304">
        <v>4268100</v>
      </c>
      <c r="N1304" s="2">
        <v>4.1011367752319818E-2</v>
      </c>
    </row>
    <row r="1305" spans="1:14" hidden="1" x14ac:dyDescent="0.25">
      <c r="A1305" t="s">
        <v>23</v>
      </c>
      <c r="B1305" t="s">
        <v>108</v>
      </c>
      <c r="C1305">
        <v>4410</v>
      </c>
      <c r="D1305">
        <v>5095</v>
      </c>
      <c r="E1305">
        <v>10848</v>
      </c>
      <c r="F1305">
        <v>11563</v>
      </c>
      <c r="G1305">
        <v>27500</v>
      </c>
      <c r="H1305">
        <v>36279</v>
      </c>
      <c r="I1305">
        <v>57300</v>
      </c>
      <c r="J1305">
        <v>67300</v>
      </c>
      <c r="K1305">
        <v>75400</v>
      </c>
      <c r="L1305">
        <v>76350</v>
      </c>
      <c r="M1305">
        <v>312629</v>
      </c>
      <c r="N1305" s="2">
        <v>3.0039930856915241E-3</v>
      </c>
    </row>
    <row r="1306" spans="1:14" hidden="1" x14ac:dyDescent="0.25">
      <c r="A1306" t="s">
        <v>23</v>
      </c>
      <c r="B1306" t="s">
        <v>179</v>
      </c>
      <c r="C1306">
        <v>32200</v>
      </c>
      <c r="D1306">
        <v>36200</v>
      </c>
      <c r="E1306">
        <v>33739</v>
      </c>
      <c r="F1306">
        <v>29827</v>
      </c>
      <c r="G1306">
        <v>41300</v>
      </c>
      <c r="H1306">
        <v>44800</v>
      </c>
      <c r="I1306">
        <v>44100</v>
      </c>
      <c r="J1306">
        <v>43550</v>
      </c>
      <c r="K1306">
        <v>52207</v>
      </c>
      <c r="L1306">
        <v>121150</v>
      </c>
      <c r="M1306">
        <v>305807</v>
      </c>
      <c r="N1306" s="2">
        <v>2.9384417746148562E-3</v>
      </c>
    </row>
    <row r="1307" spans="1:14" hidden="1" x14ac:dyDescent="0.25">
      <c r="A1307" t="s">
        <v>23</v>
      </c>
      <c r="B1307" t="s">
        <v>135</v>
      </c>
      <c r="C1307">
        <v>31</v>
      </c>
      <c r="D1307">
        <v>40</v>
      </c>
      <c r="E1307">
        <v>46</v>
      </c>
      <c r="F1307">
        <v>58</v>
      </c>
      <c r="G1307">
        <v>39</v>
      </c>
      <c r="H1307">
        <v>32</v>
      </c>
      <c r="I1307">
        <v>21</v>
      </c>
      <c r="J1307">
        <v>17</v>
      </c>
      <c r="K1307">
        <v>20</v>
      </c>
      <c r="L1307">
        <v>76</v>
      </c>
      <c r="M1307">
        <v>166</v>
      </c>
      <c r="N1307" s="2">
        <v>1.595062685242869E-6</v>
      </c>
    </row>
    <row r="1308" spans="1:14" hidden="1" x14ac:dyDescent="0.25">
      <c r="A1308" t="s">
        <v>23</v>
      </c>
      <c r="B1308" t="s">
        <v>137</v>
      </c>
      <c r="C1308">
        <v>88800</v>
      </c>
      <c r="D1308">
        <v>80821</v>
      </c>
      <c r="E1308">
        <v>78697</v>
      </c>
      <c r="F1308">
        <v>77360</v>
      </c>
      <c r="G1308">
        <v>65257</v>
      </c>
      <c r="H1308">
        <v>65503</v>
      </c>
      <c r="I1308">
        <v>46900</v>
      </c>
      <c r="J1308">
        <v>52501</v>
      </c>
      <c r="K1308">
        <v>29068</v>
      </c>
      <c r="L1308">
        <v>28307</v>
      </c>
      <c r="M1308">
        <v>222279</v>
      </c>
      <c r="N1308" s="2">
        <v>2.1358369795969859E-3</v>
      </c>
    </row>
    <row r="1309" spans="1:14" hidden="1" x14ac:dyDescent="0.25">
      <c r="A1309" t="s">
        <v>23</v>
      </c>
      <c r="B1309" t="s">
        <v>121</v>
      </c>
      <c r="C1309">
        <v>99894</v>
      </c>
      <c r="D1309">
        <v>104600</v>
      </c>
      <c r="E1309">
        <v>103900</v>
      </c>
      <c r="F1309">
        <v>112690</v>
      </c>
      <c r="G1309">
        <v>167736</v>
      </c>
      <c r="H1309">
        <v>198353</v>
      </c>
      <c r="I1309">
        <v>187714</v>
      </c>
      <c r="J1309">
        <v>170556</v>
      </c>
      <c r="K1309">
        <v>182678</v>
      </c>
      <c r="L1309">
        <v>142381</v>
      </c>
      <c r="M1309">
        <v>881682</v>
      </c>
      <c r="N1309" s="2">
        <v>8.4719160147608639E-3</v>
      </c>
    </row>
    <row r="1310" spans="1:14" hidden="1" x14ac:dyDescent="0.25">
      <c r="A1310" t="s">
        <v>23</v>
      </c>
      <c r="B1310" t="s">
        <v>138</v>
      </c>
      <c r="C1310">
        <v>82422</v>
      </c>
      <c r="D1310">
        <v>82904</v>
      </c>
      <c r="E1310">
        <v>79345</v>
      </c>
      <c r="F1310">
        <v>75125</v>
      </c>
      <c r="G1310">
        <v>78992</v>
      </c>
      <c r="H1310">
        <v>104450</v>
      </c>
      <c r="I1310">
        <v>106142</v>
      </c>
      <c r="J1310">
        <v>99332</v>
      </c>
      <c r="K1310">
        <v>100065</v>
      </c>
      <c r="L1310">
        <v>88108</v>
      </c>
      <c r="M1310">
        <v>498097</v>
      </c>
      <c r="N1310" s="2">
        <v>4.7861201104302253E-3</v>
      </c>
    </row>
    <row r="1311" spans="1:14" hidden="1" x14ac:dyDescent="0.25">
      <c r="A1311" t="s">
        <v>23</v>
      </c>
      <c r="B1311" t="s">
        <v>139</v>
      </c>
      <c r="D1311">
        <v>600</v>
      </c>
      <c r="E1311">
        <v>100</v>
      </c>
      <c r="F1311">
        <v>1788</v>
      </c>
      <c r="G1311">
        <v>2493</v>
      </c>
      <c r="H1311">
        <v>2953</v>
      </c>
      <c r="I1311">
        <v>3210</v>
      </c>
      <c r="J1311">
        <v>2330</v>
      </c>
      <c r="K1311">
        <v>978</v>
      </c>
      <c r="L1311">
        <v>1845</v>
      </c>
      <c r="M1311">
        <v>11316</v>
      </c>
      <c r="N1311" s="2">
        <v>1.087333093145079E-4</v>
      </c>
    </row>
    <row r="1312" spans="1:14" hidden="1" x14ac:dyDescent="0.25">
      <c r="A1312" t="s">
        <v>23</v>
      </c>
      <c r="B1312" t="s">
        <v>111</v>
      </c>
      <c r="C1312">
        <v>5840</v>
      </c>
      <c r="D1312">
        <v>21140</v>
      </c>
      <c r="E1312">
        <v>16400</v>
      </c>
      <c r="F1312">
        <v>16800</v>
      </c>
      <c r="G1312">
        <v>17400</v>
      </c>
      <c r="H1312">
        <v>13000</v>
      </c>
      <c r="I1312">
        <v>38000</v>
      </c>
      <c r="J1312">
        <v>17000</v>
      </c>
      <c r="K1312">
        <v>59000</v>
      </c>
      <c r="L1312">
        <v>115000</v>
      </c>
      <c r="M1312">
        <v>242000</v>
      </c>
      <c r="N1312" s="2">
        <v>2.325332348366111E-3</v>
      </c>
    </row>
    <row r="1313" spans="1:14" hidden="1" x14ac:dyDescent="0.25">
      <c r="A1313" t="s">
        <v>23</v>
      </c>
      <c r="B1313" t="s">
        <v>112</v>
      </c>
      <c r="C1313">
        <v>104300</v>
      </c>
      <c r="D1313">
        <v>120500</v>
      </c>
      <c r="E1313">
        <v>122000</v>
      </c>
      <c r="F1313">
        <v>108000</v>
      </c>
      <c r="G1313">
        <v>100000</v>
      </c>
      <c r="H1313">
        <v>83000</v>
      </c>
      <c r="I1313">
        <v>79600</v>
      </c>
      <c r="J1313">
        <v>73500</v>
      </c>
      <c r="K1313">
        <v>107000</v>
      </c>
      <c r="L1313">
        <v>108100</v>
      </c>
      <c r="M1313">
        <v>451200</v>
      </c>
      <c r="N1313" s="2">
        <v>4.3354956842264012E-3</v>
      </c>
    </row>
    <row r="1314" spans="1:14" hidden="1" x14ac:dyDescent="0.25">
      <c r="A1314" t="s">
        <v>23</v>
      </c>
      <c r="B1314" t="s">
        <v>113</v>
      </c>
      <c r="C1314">
        <v>1166800</v>
      </c>
      <c r="D1314">
        <v>1278200</v>
      </c>
      <c r="E1314">
        <v>1384700</v>
      </c>
      <c r="F1314">
        <v>1380000</v>
      </c>
      <c r="G1314">
        <v>1430000</v>
      </c>
      <c r="H1314">
        <v>1260000</v>
      </c>
      <c r="I1314">
        <v>1220000</v>
      </c>
      <c r="J1314">
        <v>1260000</v>
      </c>
      <c r="K1314">
        <v>1200000</v>
      </c>
      <c r="L1314">
        <v>1230000</v>
      </c>
      <c r="M1314">
        <v>6170000</v>
      </c>
      <c r="N1314" s="2">
        <v>5.928636607197893E-2</v>
      </c>
    </row>
    <row r="1315" spans="1:14" hidden="1" x14ac:dyDescent="0.25">
      <c r="A1315" t="s">
        <v>23</v>
      </c>
      <c r="B1315" t="s">
        <v>180</v>
      </c>
      <c r="C1315">
        <v>95600</v>
      </c>
      <c r="D1315">
        <v>100000</v>
      </c>
      <c r="E1315">
        <v>100000</v>
      </c>
      <c r="F1315">
        <v>103000</v>
      </c>
      <c r="G1315">
        <v>135000</v>
      </c>
      <c r="H1315">
        <v>140100</v>
      </c>
      <c r="I1315">
        <v>141200</v>
      </c>
      <c r="J1315">
        <v>137300</v>
      </c>
      <c r="K1315">
        <v>142800</v>
      </c>
      <c r="L1315">
        <v>148500</v>
      </c>
      <c r="M1315">
        <v>709900</v>
      </c>
      <c r="N1315" s="2">
        <v>6.8212951822524872E-3</v>
      </c>
    </row>
    <row r="1316" spans="1:14" hidden="1" x14ac:dyDescent="0.25">
      <c r="A1316" t="s">
        <v>23</v>
      </c>
      <c r="B1316" t="s">
        <v>115</v>
      </c>
      <c r="C1316">
        <v>12716</v>
      </c>
      <c r="D1316">
        <v>12958</v>
      </c>
      <c r="E1316">
        <v>20296</v>
      </c>
      <c r="F1316">
        <v>22524</v>
      </c>
      <c r="G1316">
        <v>22636</v>
      </c>
      <c r="H1316">
        <v>21451</v>
      </c>
      <c r="I1316">
        <v>26235</v>
      </c>
      <c r="J1316">
        <v>30192</v>
      </c>
      <c r="K1316">
        <v>30782</v>
      </c>
      <c r="L1316">
        <v>33579</v>
      </c>
      <c r="M1316">
        <v>142239</v>
      </c>
      <c r="N1316" s="2">
        <v>1.3667477185919309E-3</v>
      </c>
    </row>
    <row r="1317" spans="1:14" hidden="1" x14ac:dyDescent="0.25">
      <c r="A1317" t="s">
        <v>23</v>
      </c>
      <c r="B1317" t="s">
        <v>143</v>
      </c>
      <c r="C1317">
        <v>695200</v>
      </c>
      <c r="D1317">
        <v>759800</v>
      </c>
      <c r="E1317">
        <v>708259</v>
      </c>
      <c r="F1317">
        <v>710860</v>
      </c>
      <c r="G1317">
        <v>725359</v>
      </c>
      <c r="H1317">
        <v>797266</v>
      </c>
      <c r="I1317">
        <v>875848</v>
      </c>
      <c r="J1317">
        <v>789942</v>
      </c>
      <c r="K1317">
        <v>868671</v>
      </c>
      <c r="L1317">
        <v>800696</v>
      </c>
      <c r="M1317">
        <v>4132423</v>
      </c>
      <c r="N1317" s="2">
        <v>3.9707673053851769E-2</v>
      </c>
    </row>
    <row r="1318" spans="1:14" hidden="1" x14ac:dyDescent="0.25">
      <c r="A1318" t="s">
        <v>23</v>
      </c>
      <c r="B1318" t="s">
        <v>158</v>
      </c>
      <c r="C1318">
        <v>6665</v>
      </c>
      <c r="D1318">
        <v>8285</v>
      </c>
      <c r="E1318">
        <v>8261</v>
      </c>
      <c r="F1318">
        <v>8218</v>
      </c>
      <c r="G1318">
        <v>9101</v>
      </c>
      <c r="H1318">
        <v>8839</v>
      </c>
      <c r="I1318">
        <v>9077</v>
      </c>
      <c r="J1318">
        <v>8700</v>
      </c>
      <c r="K1318">
        <v>7933</v>
      </c>
      <c r="L1318">
        <v>8650</v>
      </c>
      <c r="M1318">
        <v>43199</v>
      </c>
      <c r="N1318" s="2">
        <v>4.150910418060645E-4</v>
      </c>
    </row>
    <row r="1319" spans="1:14" hidden="1" x14ac:dyDescent="0.25">
      <c r="A1319" t="s">
        <v>22</v>
      </c>
      <c r="B1319" t="s">
        <v>83</v>
      </c>
      <c r="C1319">
        <v>4769</v>
      </c>
      <c r="D1319">
        <v>4981</v>
      </c>
      <c r="E1319">
        <v>5419</v>
      </c>
      <c r="F1319">
        <v>5150</v>
      </c>
      <c r="G1319">
        <v>3200</v>
      </c>
      <c r="H1319">
        <v>3042</v>
      </c>
      <c r="I1319">
        <v>3244</v>
      </c>
      <c r="J1319">
        <v>3700</v>
      </c>
      <c r="K1319">
        <v>3300</v>
      </c>
      <c r="L1319">
        <v>2800</v>
      </c>
      <c r="M1319">
        <v>16086</v>
      </c>
      <c r="N1319" s="2">
        <v>2.4369514927577728E-2</v>
      </c>
    </row>
    <row r="1320" spans="1:14" hidden="1" x14ac:dyDescent="0.25">
      <c r="A1320" t="s">
        <v>22</v>
      </c>
      <c r="B1320" t="s">
        <v>163</v>
      </c>
      <c r="C1320">
        <v>4200</v>
      </c>
      <c r="D1320">
        <v>5415</v>
      </c>
      <c r="E1320">
        <v>5850</v>
      </c>
      <c r="F1320">
        <v>6306</v>
      </c>
      <c r="G1320">
        <v>6329</v>
      </c>
      <c r="H1320">
        <v>1600</v>
      </c>
      <c r="I1320">
        <v>1650</v>
      </c>
      <c r="J1320">
        <v>1500</v>
      </c>
      <c r="K1320">
        <v>1300</v>
      </c>
      <c r="L1320">
        <v>1300</v>
      </c>
      <c r="M1320">
        <v>7350</v>
      </c>
      <c r="N1320" s="2">
        <v>1.1134895854637341E-2</v>
      </c>
    </row>
    <row r="1321" spans="1:14" hidden="1" x14ac:dyDescent="0.25">
      <c r="A1321" t="s">
        <v>22</v>
      </c>
      <c r="B1321" t="s">
        <v>85</v>
      </c>
      <c r="C1321">
        <v>1750</v>
      </c>
      <c r="D1321">
        <v>1871</v>
      </c>
      <c r="E1321">
        <v>1350</v>
      </c>
      <c r="F1321">
        <v>1300</v>
      </c>
      <c r="G1321">
        <v>400</v>
      </c>
      <c r="H1321">
        <v>185</v>
      </c>
      <c r="I1321">
        <v>8</v>
      </c>
      <c r="J1321">
        <v>0</v>
      </c>
      <c r="K1321">
        <v>0</v>
      </c>
      <c r="L1321">
        <v>0</v>
      </c>
      <c r="M1321">
        <v>193</v>
      </c>
      <c r="N1321" s="2">
        <v>2.9238570067279012E-4</v>
      </c>
    </row>
    <row r="1322" spans="1:14" hidden="1" x14ac:dyDescent="0.25">
      <c r="A1322" t="s">
        <v>22</v>
      </c>
      <c r="B1322" t="s">
        <v>116</v>
      </c>
      <c r="C1322">
        <v>5994</v>
      </c>
      <c r="D1322">
        <v>5602</v>
      </c>
      <c r="E1322">
        <v>5491</v>
      </c>
      <c r="F1322">
        <v>6126</v>
      </c>
      <c r="G1322">
        <v>6302</v>
      </c>
      <c r="H1322">
        <v>5152</v>
      </c>
      <c r="I1322">
        <v>6349</v>
      </c>
      <c r="J1322">
        <v>6075</v>
      </c>
      <c r="K1322">
        <v>5965</v>
      </c>
      <c r="L1322">
        <v>6000</v>
      </c>
      <c r="M1322">
        <v>29541</v>
      </c>
      <c r="N1322" s="2">
        <v>4.4753191624740382E-2</v>
      </c>
    </row>
    <row r="1323" spans="1:14" hidden="1" x14ac:dyDescent="0.25">
      <c r="A1323" t="s">
        <v>22</v>
      </c>
      <c r="B1323" t="s">
        <v>86</v>
      </c>
      <c r="C1323">
        <v>29784</v>
      </c>
      <c r="D1323">
        <v>36062</v>
      </c>
      <c r="E1323">
        <v>39292</v>
      </c>
      <c r="F1323">
        <v>48719</v>
      </c>
      <c r="G1323">
        <v>45046</v>
      </c>
      <c r="H1323">
        <v>69600</v>
      </c>
      <c r="I1323">
        <v>78360</v>
      </c>
      <c r="J1323">
        <v>86000</v>
      </c>
      <c r="K1323">
        <v>86000</v>
      </c>
      <c r="L1323">
        <v>128000</v>
      </c>
      <c r="M1323">
        <v>447960</v>
      </c>
      <c r="N1323" s="2">
        <v>0.67863781592426453</v>
      </c>
    </row>
    <row r="1324" spans="1:14" hidden="1" x14ac:dyDescent="0.25">
      <c r="A1324" t="s">
        <v>22</v>
      </c>
      <c r="B1324" t="s">
        <v>159</v>
      </c>
      <c r="C1324">
        <v>2999</v>
      </c>
      <c r="D1324">
        <v>2777</v>
      </c>
      <c r="E1324">
        <v>2859</v>
      </c>
      <c r="F1324">
        <v>3195</v>
      </c>
      <c r="G1324">
        <v>82</v>
      </c>
      <c r="H1324">
        <v>120</v>
      </c>
      <c r="I1324">
        <v>68</v>
      </c>
      <c r="J1324">
        <v>0</v>
      </c>
      <c r="K1324">
        <v>0</v>
      </c>
      <c r="L1324">
        <v>0</v>
      </c>
      <c r="M1324">
        <v>188</v>
      </c>
      <c r="N1324" s="2">
        <v>2.848109415880028E-4</v>
      </c>
    </row>
    <row r="1325" spans="1:14" hidden="1" x14ac:dyDescent="0.25">
      <c r="A1325" t="s">
        <v>22</v>
      </c>
      <c r="B1325" t="s">
        <v>154</v>
      </c>
      <c r="C1325">
        <v>10562</v>
      </c>
      <c r="D1325">
        <v>10798</v>
      </c>
      <c r="E1325">
        <v>12551</v>
      </c>
      <c r="F1325">
        <v>9615</v>
      </c>
      <c r="G1325">
        <v>12393</v>
      </c>
      <c r="H1325">
        <v>13585</v>
      </c>
      <c r="I1325">
        <v>14295</v>
      </c>
      <c r="J1325">
        <v>14283</v>
      </c>
      <c r="K1325">
        <v>15148</v>
      </c>
      <c r="L1325">
        <v>14287</v>
      </c>
      <c r="M1325">
        <v>71598</v>
      </c>
      <c r="N1325" s="2">
        <v>0.10846752019052031</v>
      </c>
    </row>
    <row r="1326" spans="1:14" hidden="1" x14ac:dyDescent="0.25">
      <c r="A1326" t="s">
        <v>22</v>
      </c>
      <c r="B1326" t="s">
        <v>91</v>
      </c>
      <c r="C1326">
        <v>326</v>
      </c>
      <c r="D1326">
        <v>308</v>
      </c>
      <c r="E1326">
        <v>219</v>
      </c>
      <c r="F1326">
        <v>133</v>
      </c>
      <c r="G1326">
        <v>119</v>
      </c>
      <c r="H1326">
        <v>277</v>
      </c>
      <c r="I1326">
        <v>48</v>
      </c>
      <c r="J1326">
        <v>0</v>
      </c>
      <c r="K1326">
        <v>0</v>
      </c>
      <c r="L1326">
        <v>0</v>
      </c>
      <c r="M1326">
        <v>325</v>
      </c>
      <c r="N1326" s="2">
        <v>4.9235934051117508E-4</v>
      </c>
    </row>
    <row r="1327" spans="1:14" hidden="1" x14ac:dyDescent="0.25">
      <c r="A1327" t="s">
        <v>22</v>
      </c>
      <c r="B1327" t="s">
        <v>97</v>
      </c>
      <c r="C1327">
        <v>800</v>
      </c>
      <c r="D1327">
        <v>295</v>
      </c>
      <c r="E1327">
        <v>100</v>
      </c>
      <c r="F1327">
        <v>150</v>
      </c>
      <c r="G1327">
        <v>100</v>
      </c>
      <c r="H1327">
        <v>100</v>
      </c>
      <c r="I1327">
        <v>0</v>
      </c>
      <c r="J1327">
        <v>0</v>
      </c>
      <c r="K1327">
        <v>0</v>
      </c>
      <c r="L1327">
        <v>0</v>
      </c>
      <c r="M1327">
        <v>100</v>
      </c>
      <c r="N1327" s="2">
        <v>1.514951816957462E-4</v>
      </c>
    </row>
    <row r="1328" spans="1:14" hidden="1" x14ac:dyDescent="0.25">
      <c r="A1328" t="s">
        <v>22</v>
      </c>
      <c r="B1328" t="s">
        <v>119</v>
      </c>
      <c r="C1328">
        <v>2542</v>
      </c>
      <c r="D1328">
        <v>2747</v>
      </c>
      <c r="E1328">
        <v>3654</v>
      </c>
      <c r="F1328">
        <v>4259</v>
      </c>
      <c r="G1328">
        <v>4305</v>
      </c>
      <c r="H1328">
        <v>4159</v>
      </c>
      <c r="I1328">
        <v>3669</v>
      </c>
      <c r="J1328">
        <v>3680</v>
      </c>
      <c r="K1328">
        <v>3467</v>
      </c>
      <c r="L1328">
        <v>3852</v>
      </c>
      <c r="M1328">
        <v>18827</v>
      </c>
      <c r="N1328" s="2">
        <v>2.8521997857858129E-2</v>
      </c>
    </row>
    <row r="1329" spans="1:14" hidden="1" x14ac:dyDescent="0.25">
      <c r="A1329" t="s">
        <v>22</v>
      </c>
      <c r="B1329" t="s">
        <v>141</v>
      </c>
      <c r="C1329">
        <v>493</v>
      </c>
      <c r="D1329">
        <v>2083</v>
      </c>
      <c r="E1329">
        <v>2915</v>
      </c>
      <c r="F1329">
        <v>3464</v>
      </c>
      <c r="G1329">
        <v>3273</v>
      </c>
      <c r="H1329">
        <v>3053</v>
      </c>
      <c r="I1329">
        <v>2850</v>
      </c>
      <c r="J1329">
        <v>2897</v>
      </c>
      <c r="K1329">
        <v>963</v>
      </c>
      <c r="L1329">
        <v>1986</v>
      </c>
      <c r="M1329">
        <v>11749</v>
      </c>
      <c r="N1329" s="2">
        <v>1.7799168897433219E-2</v>
      </c>
    </row>
    <row r="1330" spans="1:14" hidden="1" x14ac:dyDescent="0.25">
      <c r="A1330" t="s">
        <v>22</v>
      </c>
      <c r="B1330" t="s">
        <v>161</v>
      </c>
      <c r="C1330">
        <v>1314</v>
      </c>
      <c r="D1330">
        <v>1353</v>
      </c>
      <c r="E1330">
        <v>1391</v>
      </c>
      <c r="F1330">
        <v>1982</v>
      </c>
      <c r="G1330">
        <v>2081</v>
      </c>
      <c r="H1330">
        <v>1924</v>
      </c>
      <c r="I1330">
        <v>1806</v>
      </c>
      <c r="J1330">
        <v>2397</v>
      </c>
      <c r="K1330">
        <v>2416</v>
      </c>
      <c r="L1330">
        <v>1796</v>
      </c>
      <c r="M1330">
        <v>10339</v>
      </c>
      <c r="N1330" s="2">
        <v>1.5663086835523199E-2</v>
      </c>
    </row>
    <row r="1331" spans="1:14" hidden="1" x14ac:dyDescent="0.25">
      <c r="A1331" t="s">
        <v>22</v>
      </c>
      <c r="B1331" t="s">
        <v>162</v>
      </c>
      <c r="C1331">
        <v>151</v>
      </c>
      <c r="D1331">
        <v>503</v>
      </c>
      <c r="E1331">
        <v>435</v>
      </c>
      <c r="F1331">
        <v>1568</v>
      </c>
      <c r="G1331">
        <v>2531</v>
      </c>
      <c r="H1331">
        <v>2302</v>
      </c>
      <c r="I1331">
        <v>1662</v>
      </c>
      <c r="J1331">
        <v>1240</v>
      </c>
      <c r="K1331">
        <v>681</v>
      </c>
      <c r="L1331">
        <v>0</v>
      </c>
      <c r="M1331">
        <v>5885</v>
      </c>
      <c r="N1331" s="2">
        <v>8.9154914427946614E-3</v>
      </c>
    </row>
    <row r="1332" spans="1:14" hidden="1" x14ac:dyDescent="0.25">
      <c r="A1332" t="s">
        <v>22</v>
      </c>
      <c r="B1332" t="s">
        <v>132</v>
      </c>
      <c r="C1332">
        <v>2969</v>
      </c>
      <c r="D1332">
        <v>3348</v>
      </c>
      <c r="E1332">
        <v>3582</v>
      </c>
      <c r="F1332">
        <v>3117</v>
      </c>
      <c r="G1332">
        <v>3541</v>
      </c>
      <c r="H1332">
        <v>3473</v>
      </c>
      <c r="I1332">
        <v>4166</v>
      </c>
      <c r="J1332">
        <v>4354</v>
      </c>
      <c r="K1332">
        <v>4384</v>
      </c>
      <c r="L1332">
        <v>3982</v>
      </c>
      <c r="M1332">
        <v>20359</v>
      </c>
      <c r="N1332" s="2">
        <v>3.0842904041436959E-2</v>
      </c>
    </row>
    <row r="1333" spans="1:14" hidden="1" x14ac:dyDescent="0.25">
      <c r="A1333" t="s">
        <v>22</v>
      </c>
      <c r="B1333" t="s">
        <v>107</v>
      </c>
      <c r="C1333">
        <v>2186</v>
      </c>
      <c r="D1333">
        <v>2368</v>
      </c>
      <c r="E1333">
        <v>2302</v>
      </c>
      <c r="F1333">
        <v>2040</v>
      </c>
      <c r="G1333">
        <v>3092</v>
      </c>
      <c r="H1333">
        <v>2077</v>
      </c>
      <c r="I1333">
        <v>1800</v>
      </c>
      <c r="J1333">
        <v>1900</v>
      </c>
      <c r="K1333">
        <v>1800</v>
      </c>
      <c r="L1333">
        <v>1800</v>
      </c>
      <c r="M1333">
        <v>9377</v>
      </c>
      <c r="N1333" s="2">
        <v>1.420570318761012E-2</v>
      </c>
    </row>
    <row r="1334" spans="1:14" hidden="1" x14ac:dyDescent="0.25">
      <c r="A1334" t="s">
        <v>22</v>
      </c>
      <c r="B1334" t="s">
        <v>137</v>
      </c>
      <c r="C1334">
        <v>1102</v>
      </c>
      <c r="D1334">
        <v>1294</v>
      </c>
      <c r="E1334">
        <v>1332</v>
      </c>
      <c r="F1334">
        <v>1362</v>
      </c>
      <c r="G1334">
        <v>1101</v>
      </c>
      <c r="H1334">
        <v>1062</v>
      </c>
      <c r="I1334">
        <v>1007</v>
      </c>
      <c r="J1334">
        <v>1027</v>
      </c>
      <c r="K1334">
        <v>897</v>
      </c>
      <c r="L1334">
        <v>531</v>
      </c>
      <c r="M1334">
        <v>4524</v>
      </c>
      <c r="N1334" s="2">
        <v>6.8536420199155563E-3</v>
      </c>
    </row>
    <row r="1335" spans="1:14" hidden="1" x14ac:dyDescent="0.25">
      <c r="A1335" t="s">
        <v>22</v>
      </c>
      <c r="B1335" t="s">
        <v>143</v>
      </c>
      <c r="C1335">
        <v>5665</v>
      </c>
      <c r="D1335">
        <v>5658</v>
      </c>
      <c r="E1335">
        <v>4562</v>
      </c>
      <c r="F1335">
        <v>2979</v>
      </c>
      <c r="G1335">
        <v>4725</v>
      </c>
      <c r="H1335">
        <v>2649</v>
      </c>
      <c r="I1335">
        <v>1766</v>
      </c>
      <c r="J1335">
        <v>1271</v>
      </c>
      <c r="K1335">
        <v>0</v>
      </c>
      <c r="L1335">
        <v>0</v>
      </c>
      <c r="M1335">
        <v>5686</v>
      </c>
      <c r="N1335" s="2">
        <v>8.6140160312201276E-3</v>
      </c>
    </row>
    <row r="1336" spans="1:14" hidden="1" x14ac:dyDescent="0.25">
      <c r="A1336" t="s">
        <v>21</v>
      </c>
      <c r="B1336" t="s">
        <v>83</v>
      </c>
      <c r="C1336">
        <v>5411</v>
      </c>
      <c r="D1336">
        <v>6837</v>
      </c>
      <c r="E1336">
        <v>6252</v>
      </c>
      <c r="F1336">
        <v>6777</v>
      </c>
      <c r="G1336">
        <v>6020</v>
      </c>
      <c r="H1336">
        <v>5221</v>
      </c>
      <c r="I1336">
        <v>5616</v>
      </c>
      <c r="J1336">
        <v>5693</v>
      </c>
      <c r="K1336">
        <v>5626</v>
      </c>
      <c r="L1336">
        <v>5232</v>
      </c>
      <c r="M1336">
        <v>27388</v>
      </c>
      <c r="N1336" s="2">
        <v>4.1208758140038763E-2</v>
      </c>
    </row>
    <row r="1337" spans="1:14" hidden="1" x14ac:dyDescent="0.25">
      <c r="A1337" t="s">
        <v>21</v>
      </c>
      <c r="B1337" t="s">
        <v>85</v>
      </c>
      <c r="C1337">
        <v>2900</v>
      </c>
      <c r="D1337">
        <v>3500</v>
      </c>
      <c r="E1337">
        <v>3838</v>
      </c>
      <c r="F1337">
        <v>2771</v>
      </c>
      <c r="G1337">
        <v>852</v>
      </c>
      <c r="H1337">
        <v>185</v>
      </c>
      <c r="I1337">
        <v>8</v>
      </c>
      <c r="J1337">
        <v>30</v>
      </c>
      <c r="K1337">
        <v>20</v>
      </c>
      <c r="L1337">
        <v>20</v>
      </c>
      <c r="M1337">
        <v>263</v>
      </c>
      <c r="N1337" s="2">
        <v>3.9571722618775361E-4</v>
      </c>
    </row>
    <row r="1338" spans="1:14" hidden="1" x14ac:dyDescent="0.25">
      <c r="A1338" t="s">
        <v>21</v>
      </c>
      <c r="B1338" t="s">
        <v>116</v>
      </c>
      <c r="C1338">
        <v>6676</v>
      </c>
      <c r="D1338">
        <v>7168</v>
      </c>
      <c r="E1338">
        <v>6907</v>
      </c>
      <c r="F1338">
        <v>7489</v>
      </c>
      <c r="G1338">
        <v>7148</v>
      </c>
      <c r="H1338">
        <v>6058</v>
      </c>
      <c r="I1338">
        <v>5608</v>
      </c>
      <c r="J1338">
        <v>5132</v>
      </c>
      <c r="K1338">
        <v>4279</v>
      </c>
      <c r="L1338">
        <v>3834</v>
      </c>
      <c r="M1338">
        <v>24911</v>
      </c>
      <c r="N1338" s="2">
        <v>3.748179399833889E-2</v>
      </c>
    </row>
    <row r="1339" spans="1:14" hidden="1" x14ac:dyDescent="0.25">
      <c r="A1339" t="s">
        <v>21</v>
      </c>
      <c r="B1339" t="s">
        <v>86</v>
      </c>
      <c r="C1339">
        <v>7498</v>
      </c>
      <c r="D1339">
        <v>8580</v>
      </c>
      <c r="E1339">
        <v>9619</v>
      </c>
      <c r="F1339">
        <v>10093</v>
      </c>
      <c r="G1339">
        <v>9293</v>
      </c>
      <c r="H1339">
        <v>10237</v>
      </c>
      <c r="I1339">
        <v>2241</v>
      </c>
      <c r="J1339">
        <v>2000</v>
      </c>
      <c r="K1339">
        <v>1750</v>
      </c>
      <c r="L1339">
        <v>1750</v>
      </c>
      <c r="M1339">
        <v>17978</v>
      </c>
      <c r="N1339" s="2">
        <v>2.7050206434994041E-2</v>
      </c>
    </row>
    <row r="1340" spans="1:14" hidden="1" x14ac:dyDescent="0.25">
      <c r="A1340" t="s">
        <v>21</v>
      </c>
      <c r="B1340" t="s">
        <v>159</v>
      </c>
      <c r="C1340">
        <v>86433</v>
      </c>
      <c r="D1340">
        <v>76593</v>
      </c>
      <c r="E1340">
        <v>75560</v>
      </c>
      <c r="F1340">
        <v>83529</v>
      </c>
      <c r="G1340">
        <v>68822</v>
      </c>
      <c r="H1340">
        <v>82461</v>
      </c>
      <c r="I1340">
        <v>109402</v>
      </c>
      <c r="J1340">
        <v>77964</v>
      </c>
      <c r="K1340">
        <v>86591</v>
      </c>
      <c r="L1340">
        <v>93011</v>
      </c>
      <c r="M1340">
        <v>449429</v>
      </c>
      <c r="N1340" s="2">
        <v>0.67622356368188552</v>
      </c>
    </row>
    <row r="1341" spans="1:14" hidden="1" x14ac:dyDescent="0.25">
      <c r="A1341" t="s">
        <v>21</v>
      </c>
      <c r="B1341" t="s">
        <v>160</v>
      </c>
      <c r="C1341">
        <v>4631</v>
      </c>
      <c r="D1341">
        <v>4097</v>
      </c>
      <c r="E1341">
        <v>4143</v>
      </c>
      <c r="F1341">
        <v>4729</v>
      </c>
      <c r="G1341">
        <v>4700</v>
      </c>
      <c r="H1341">
        <v>4900</v>
      </c>
      <c r="I1341">
        <v>5000</v>
      </c>
      <c r="J1341">
        <v>5200</v>
      </c>
      <c r="K1341">
        <v>5500</v>
      </c>
      <c r="L1341">
        <v>4400</v>
      </c>
      <c r="M1341">
        <v>25000</v>
      </c>
      <c r="N1341" s="2">
        <v>3.7615705911383412E-2</v>
      </c>
    </row>
    <row r="1342" spans="1:14" hidden="1" x14ac:dyDescent="0.25">
      <c r="A1342" t="s">
        <v>21</v>
      </c>
      <c r="B1342" t="s">
        <v>154</v>
      </c>
      <c r="C1342">
        <v>1381</v>
      </c>
      <c r="D1342">
        <v>2061</v>
      </c>
      <c r="E1342">
        <v>2104</v>
      </c>
      <c r="F1342">
        <v>2119</v>
      </c>
      <c r="G1342">
        <v>2260</v>
      </c>
      <c r="H1342">
        <v>1900</v>
      </c>
      <c r="I1342">
        <v>1377</v>
      </c>
      <c r="J1342">
        <v>1454</v>
      </c>
      <c r="K1342">
        <v>1559</v>
      </c>
      <c r="L1342">
        <v>1084</v>
      </c>
      <c r="M1342">
        <v>7374</v>
      </c>
      <c r="N1342" s="2">
        <v>1.109512861562165E-2</v>
      </c>
    </row>
    <row r="1343" spans="1:14" hidden="1" x14ac:dyDescent="0.25">
      <c r="A1343" t="s">
        <v>21</v>
      </c>
      <c r="B1343" t="s">
        <v>98</v>
      </c>
      <c r="C1343">
        <v>3600</v>
      </c>
      <c r="D1343">
        <v>4700</v>
      </c>
      <c r="E1343">
        <v>329</v>
      </c>
      <c r="F1343">
        <v>350</v>
      </c>
      <c r="G1343">
        <v>350</v>
      </c>
      <c r="H1343">
        <v>350</v>
      </c>
      <c r="I1343">
        <v>350</v>
      </c>
      <c r="J1343">
        <v>350</v>
      </c>
      <c r="K1343">
        <v>350</v>
      </c>
      <c r="L1343">
        <v>350</v>
      </c>
      <c r="M1343">
        <v>1750</v>
      </c>
      <c r="N1343" s="2">
        <v>2.6330994137968391E-3</v>
      </c>
    </row>
    <row r="1344" spans="1:14" hidden="1" x14ac:dyDescent="0.25">
      <c r="A1344" t="s">
        <v>21</v>
      </c>
      <c r="B1344" t="s">
        <v>141</v>
      </c>
      <c r="C1344">
        <v>718</v>
      </c>
      <c r="D1344">
        <v>2340</v>
      </c>
      <c r="E1344">
        <v>3221</v>
      </c>
      <c r="F1344">
        <v>3920</v>
      </c>
      <c r="G1344">
        <v>3660</v>
      </c>
      <c r="H1344">
        <v>3090</v>
      </c>
      <c r="I1344">
        <v>2890</v>
      </c>
      <c r="J1344">
        <v>2930</v>
      </c>
      <c r="K1344">
        <v>833</v>
      </c>
      <c r="L1344">
        <v>2111</v>
      </c>
      <c r="M1344">
        <v>11854</v>
      </c>
      <c r="N1344" s="2">
        <v>1.783586311494156E-2</v>
      </c>
    </row>
    <row r="1345" spans="1:14" hidden="1" x14ac:dyDescent="0.25">
      <c r="A1345" t="s">
        <v>21</v>
      </c>
      <c r="B1345" t="s">
        <v>161</v>
      </c>
      <c r="C1345">
        <v>1314</v>
      </c>
      <c r="D1345">
        <v>1353</v>
      </c>
      <c r="E1345">
        <v>1391</v>
      </c>
      <c r="F1345">
        <v>1722</v>
      </c>
      <c r="G1345">
        <v>2081</v>
      </c>
      <c r="H1345">
        <v>1924</v>
      </c>
      <c r="I1345">
        <v>1806</v>
      </c>
      <c r="J1345">
        <v>2397</v>
      </c>
      <c r="K1345">
        <v>2416</v>
      </c>
      <c r="L1345">
        <v>1796</v>
      </c>
      <c r="M1345">
        <v>10339</v>
      </c>
      <c r="N1345" s="2">
        <v>1.5556351336711729E-2</v>
      </c>
    </row>
    <row r="1346" spans="1:14" hidden="1" x14ac:dyDescent="0.25">
      <c r="A1346" t="s">
        <v>21</v>
      </c>
      <c r="B1346" t="s">
        <v>162</v>
      </c>
      <c r="C1346">
        <v>3026</v>
      </c>
      <c r="D1346">
        <v>7414</v>
      </c>
      <c r="E1346">
        <v>8239</v>
      </c>
      <c r="F1346">
        <v>2391</v>
      </c>
      <c r="G1346">
        <v>3188</v>
      </c>
      <c r="H1346">
        <v>2780</v>
      </c>
      <c r="I1346">
        <v>2104</v>
      </c>
      <c r="J1346">
        <v>1703</v>
      </c>
      <c r="K1346">
        <v>2197</v>
      </c>
      <c r="L1346">
        <v>1500</v>
      </c>
      <c r="M1346">
        <v>10284</v>
      </c>
      <c r="N1346" s="2">
        <v>1.547359678370668E-2</v>
      </c>
    </row>
    <row r="1347" spans="1:14" hidden="1" x14ac:dyDescent="0.25">
      <c r="A1347" t="s">
        <v>21</v>
      </c>
      <c r="B1347" t="s">
        <v>155</v>
      </c>
      <c r="C1347">
        <v>469</v>
      </c>
      <c r="D1347">
        <v>1013</v>
      </c>
      <c r="E1347">
        <v>2134</v>
      </c>
      <c r="F1347">
        <v>2505</v>
      </c>
      <c r="G1347">
        <v>2191</v>
      </c>
      <c r="H1347">
        <v>3308</v>
      </c>
      <c r="I1347">
        <v>3275</v>
      </c>
      <c r="J1347">
        <v>2911</v>
      </c>
      <c r="K1347">
        <v>2941</v>
      </c>
      <c r="L1347">
        <v>2955</v>
      </c>
      <c r="M1347">
        <v>15390</v>
      </c>
      <c r="N1347" s="2">
        <v>2.3156228559047629E-2</v>
      </c>
    </row>
    <row r="1348" spans="1:14" hidden="1" x14ac:dyDescent="0.25">
      <c r="A1348" t="s">
        <v>21</v>
      </c>
      <c r="B1348" t="s">
        <v>156</v>
      </c>
      <c r="C1348">
        <v>2269</v>
      </c>
      <c r="D1348">
        <v>2126</v>
      </c>
      <c r="E1348">
        <v>4094</v>
      </c>
      <c r="F1348">
        <v>4140</v>
      </c>
      <c r="G1348">
        <v>4400</v>
      </c>
      <c r="H1348">
        <v>3700</v>
      </c>
      <c r="I1348">
        <v>5400</v>
      </c>
      <c r="J1348">
        <v>3750</v>
      </c>
      <c r="K1348">
        <v>3600</v>
      </c>
      <c r="L1348">
        <v>3200</v>
      </c>
      <c r="M1348">
        <v>19650</v>
      </c>
      <c r="N1348" s="2">
        <v>2.9565944846347361E-2</v>
      </c>
    </row>
    <row r="1349" spans="1:14" hidden="1" x14ac:dyDescent="0.25">
      <c r="A1349" t="s">
        <v>21</v>
      </c>
      <c r="B1349" t="s">
        <v>107</v>
      </c>
      <c r="C1349">
        <v>2186</v>
      </c>
      <c r="D1349">
        <v>2368</v>
      </c>
      <c r="E1349">
        <v>5400</v>
      </c>
      <c r="F1349">
        <v>5800</v>
      </c>
      <c r="G1349">
        <v>8600</v>
      </c>
      <c r="H1349">
        <v>4900</v>
      </c>
      <c r="I1349">
        <v>5450</v>
      </c>
      <c r="J1349">
        <v>5500</v>
      </c>
      <c r="K1349">
        <v>5700</v>
      </c>
      <c r="L1349">
        <v>8000</v>
      </c>
      <c r="M1349">
        <v>29550</v>
      </c>
      <c r="N1349" s="2">
        <v>4.4461764387255187E-2</v>
      </c>
    </row>
    <row r="1350" spans="1:14" hidden="1" x14ac:dyDescent="0.25">
      <c r="A1350" t="s">
        <v>21</v>
      </c>
      <c r="B1350" t="s">
        <v>137</v>
      </c>
      <c r="C1350">
        <v>1102</v>
      </c>
      <c r="D1350">
        <v>1294</v>
      </c>
      <c r="E1350">
        <v>1332</v>
      </c>
      <c r="F1350">
        <v>1362</v>
      </c>
      <c r="G1350">
        <v>1101</v>
      </c>
      <c r="H1350">
        <v>1062</v>
      </c>
      <c r="I1350">
        <v>1007</v>
      </c>
      <c r="J1350">
        <v>1027</v>
      </c>
      <c r="K1350">
        <v>960</v>
      </c>
      <c r="L1350">
        <v>355</v>
      </c>
      <c r="M1350">
        <v>4411</v>
      </c>
      <c r="N1350" s="2">
        <v>6.6369151510044886E-3</v>
      </c>
    </row>
    <row r="1351" spans="1:14" hidden="1" x14ac:dyDescent="0.25">
      <c r="A1351" t="s">
        <v>21</v>
      </c>
      <c r="B1351" t="s">
        <v>112</v>
      </c>
      <c r="H1351">
        <v>220</v>
      </c>
      <c r="I1351">
        <v>259</v>
      </c>
      <c r="J1351">
        <v>115</v>
      </c>
      <c r="K1351">
        <v>250</v>
      </c>
      <c r="L1351">
        <v>200</v>
      </c>
      <c r="M1351">
        <v>1044</v>
      </c>
      <c r="N1351" s="2">
        <v>1.570831878859372E-3</v>
      </c>
    </row>
    <row r="1352" spans="1:14" hidden="1" x14ac:dyDescent="0.25">
      <c r="A1352" t="s">
        <v>21</v>
      </c>
      <c r="B1352" t="s">
        <v>113</v>
      </c>
      <c r="C1352">
        <v>0</v>
      </c>
      <c r="D1352">
        <v>0</v>
      </c>
      <c r="E1352">
        <v>120</v>
      </c>
      <c r="F1352">
        <v>760</v>
      </c>
      <c r="G1352">
        <v>690</v>
      </c>
      <c r="H1352">
        <v>640</v>
      </c>
      <c r="I1352">
        <v>590</v>
      </c>
      <c r="J1352">
        <v>500</v>
      </c>
      <c r="K1352">
        <v>600</v>
      </c>
      <c r="L1352">
        <v>700</v>
      </c>
      <c r="M1352">
        <v>3030</v>
      </c>
      <c r="N1352" s="2">
        <v>4.5590235564596697E-3</v>
      </c>
    </row>
    <row r="1353" spans="1:14" hidden="1" x14ac:dyDescent="0.25">
      <c r="A1353" t="s">
        <v>21</v>
      </c>
      <c r="B1353" t="s">
        <v>143</v>
      </c>
      <c r="C1353">
        <v>5665</v>
      </c>
      <c r="D1353">
        <v>5658</v>
      </c>
      <c r="E1353">
        <v>4562</v>
      </c>
      <c r="F1353">
        <v>2979</v>
      </c>
      <c r="G1353">
        <v>5276</v>
      </c>
      <c r="H1353">
        <v>760</v>
      </c>
      <c r="I1353">
        <v>835</v>
      </c>
      <c r="J1353">
        <v>379</v>
      </c>
      <c r="K1353">
        <v>316</v>
      </c>
      <c r="L1353">
        <v>247</v>
      </c>
      <c r="M1353">
        <v>2537</v>
      </c>
      <c r="N1353" s="2">
        <v>3.8172418358871892E-3</v>
      </c>
    </row>
    <row r="1354" spans="1:14" hidden="1" x14ac:dyDescent="0.25">
      <c r="A1354" t="s">
        <v>21</v>
      </c>
      <c r="B1354" t="s">
        <v>158</v>
      </c>
      <c r="C1354">
        <v>195</v>
      </c>
      <c r="D1354">
        <v>319</v>
      </c>
      <c r="E1354">
        <v>358</v>
      </c>
      <c r="F1354">
        <v>355</v>
      </c>
      <c r="G1354">
        <v>409</v>
      </c>
      <c r="H1354">
        <v>445</v>
      </c>
      <c r="I1354">
        <v>403</v>
      </c>
      <c r="J1354">
        <v>400</v>
      </c>
      <c r="K1354">
        <v>956</v>
      </c>
      <c r="L1354">
        <v>230</v>
      </c>
      <c r="M1354">
        <v>2434</v>
      </c>
      <c r="N1354" s="2">
        <v>3.662265127532289E-3</v>
      </c>
    </row>
    <row r="1355" spans="1:14" hidden="1" x14ac:dyDescent="0.25">
      <c r="A1355" t="s">
        <v>20</v>
      </c>
      <c r="B1355" t="s">
        <v>152</v>
      </c>
      <c r="C1355">
        <v>4678</v>
      </c>
      <c r="D1355">
        <v>5040</v>
      </c>
      <c r="E1355">
        <v>6369</v>
      </c>
      <c r="F1355">
        <v>5682</v>
      </c>
      <c r="G1355">
        <v>4545</v>
      </c>
      <c r="H1355">
        <v>4500</v>
      </c>
      <c r="I1355">
        <v>4500</v>
      </c>
      <c r="J1355">
        <v>4500</v>
      </c>
      <c r="K1355">
        <v>4500</v>
      </c>
      <c r="L1355">
        <v>4000</v>
      </c>
      <c r="M1355">
        <v>22000</v>
      </c>
      <c r="N1355" s="2">
        <v>1.2629649451162799E-4</v>
      </c>
    </row>
    <row r="1356" spans="1:14" hidden="1" x14ac:dyDescent="0.25">
      <c r="A1356" t="s">
        <v>20</v>
      </c>
      <c r="B1356" t="s">
        <v>153</v>
      </c>
      <c r="C1356">
        <v>365749</v>
      </c>
      <c r="D1356">
        <v>529592</v>
      </c>
      <c r="E1356">
        <v>683874</v>
      </c>
      <c r="F1356">
        <v>639909</v>
      </c>
      <c r="G1356">
        <v>726671</v>
      </c>
      <c r="H1356">
        <v>808016</v>
      </c>
      <c r="I1356">
        <v>1142719</v>
      </c>
      <c r="J1356">
        <v>1288315</v>
      </c>
      <c r="K1356">
        <v>626627</v>
      </c>
      <c r="L1356">
        <v>650200</v>
      </c>
      <c r="M1356">
        <v>4515877</v>
      </c>
      <c r="N1356" s="2">
        <v>2.5924519761167591E-2</v>
      </c>
    </row>
    <row r="1357" spans="1:14" hidden="1" x14ac:dyDescent="0.25">
      <c r="A1357" t="s">
        <v>20</v>
      </c>
      <c r="B1357" t="s">
        <v>85</v>
      </c>
      <c r="C1357">
        <v>472501</v>
      </c>
      <c r="D1357">
        <v>485951</v>
      </c>
      <c r="E1357">
        <v>716674</v>
      </c>
      <c r="F1357">
        <v>526700</v>
      </c>
      <c r="G1357">
        <v>426300</v>
      </c>
      <c r="H1357">
        <v>245200</v>
      </c>
      <c r="I1357">
        <v>219700</v>
      </c>
      <c r="J1357">
        <v>199300</v>
      </c>
      <c r="K1357">
        <v>226800</v>
      </c>
      <c r="L1357">
        <v>200000</v>
      </c>
      <c r="M1357">
        <v>1091000</v>
      </c>
      <c r="N1357" s="2">
        <v>6.2631579778266409E-3</v>
      </c>
    </row>
    <row r="1358" spans="1:14" hidden="1" x14ac:dyDescent="0.25">
      <c r="A1358" t="s">
        <v>20</v>
      </c>
      <c r="B1358" t="s">
        <v>86</v>
      </c>
      <c r="C1358">
        <v>123000</v>
      </c>
      <c r="D1358">
        <v>105000</v>
      </c>
      <c r="E1358">
        <v>24000</v>
      </c>
      <c r="F1358">
        <v>22700</v>
      </c>
      <c r="G1358">
        <v>25444</v>
      </c>
      <c r="H1358">
        <v>30000</v>
      </c>
      <c r="I1358">
        <v>30000</v>
      </c>
      <c r="J1358">
        <v>30000</v>
      </c>
      <c r="K1358">
        <v>30000</v>
      </c>
      <c r="L1358">
        <v>30000</v>
      </c>
      <c r="M1358">
        <v>150000</v>
      </c>
      <c r="N1358" s="2">
        <v>8.6111246257928155E-4</v>
      </c>
    </row>
    <row r="1359" spans="1:14" hidden="1" x14ac:dyDescent="0.25">
      <c r="A1359" t="s">
        <v>20</v>
      </c>
      <c r="B1359" t="s">
        <v>87</v>
      </c>
      <c r="C1359">
        <v>17</v>
      </c>
      <c r="D1359">
        <v>187</v>
      </c>
      <c r="E1359">
        <v>128</v>
      </c>
      <c r="F1359">
        <v>30</v>
      </c>
      <c r="H1359">
        <v>0</v>
      </c>
      <c r="I1359">
        <v>0</v>
      </c>
      <c r="J1359">
        <v>60</v>
      </c>
      <c r="K1359">
        <v>0</v>
      </c>
      <c r="L1359">
        <v>0</v>
      </c>
      <c r="M1359">
        <v>60</v>
      </c>
      <c r="N1359" s="2">
        <v>3.4444498503171261E-7</v>
      </c>
    </row>
    <row r="1360" spans="1:14" hidden="1" x14ac:dyDescent="0.25">
      <c r="A1360" t="s">
        <v>20</v>
      </c>
      <c r="B1360" t="s">
        <v>154</v>
      </c>
      <c r="C1360">
        <v>425217</v>
      </c>
      <c r="D1360">
        <v>981752</v>
      </c>
      <c r="E1360">
        <v>1034750</v>
      </c>
      <c r="F1360">
        <v>946188</v>
      </c>
      <c r="G1360">
        <v>1070281</v>
      </c>
      <c r="H1360">
        <v>972028</v>
      </c>
      <c r="I1360">
        <v>1099438</v>
      </c>
      <c r="J1360">
        <v>1183862</v>
      </c>
      <c r="K1360">
        <v>1131336</v>
      </c>
      <c r="L1360">
        <v>1141184</v>
      </c>
      <c r="M1360">
        <v>5527848</v>
      </c>
      <c r="N1360" s="2">
        <v>3.1733992026959708E-2</v>
      </c>
    </row>
    <row r="1361" spans="1:14" hidden="1" x14ac:dyDescent="0.25">
      <c r="A1361" t="s">
        <v>20</v>
      </c>
      <c r="B1361" t="s">
        <v>97</v>
      </c>
      <c r="C1361">
        <v>2833895</v>
      </c>
      <c r="D1361">
        <v>2878320</v>
      </c>
      <c r="E1361">
        <v>2164163</v>
      </c>
      <c r="F1361">
        <v>2915584</v>
      </c>
      <c r="G1361">
        <v>3727780</v>
      </c>
      <c r="H1361">
        <v>3480941</v>
      </c>
      <c r="I1361">
        <v>3970691</v>
      </c>
      <c r="J1361">
        <v>3929260</v>
      </c>
      <c r="K1361">
        <v>2863869</v>
      </c>
      <c r="L1361">
        <v>2560000</v>
      </c>
      <c r="M1361">
        <v>16804761</v>
      </c>
      <c r="N1361" s="2">
        <v>9.6471927518441802E-2</v>
      </c>
    </row>
    <row r="1362" spans="1:14" hidden="1" x14ac:dyDescent="0.25">
      <c r="A1362" t="s">
        <v>20</v>
      </c>
      <c r="B1362" t="s">
        <v>99</v>
      </c>
      <c r="C1362">
        <v>411566</v>
      </c>
      <c r="D1362">
        <v>344169</v>
      </c>
      <c r="E1362">
        <v>359332</v>
      </c>
      <c r="F1362">
        <v>276570</v>
      </c>
      <c r="G1362">
        <v>342332</v>
      </c>
      <c r="H1362">
        <v>301119</v>
      </c>
      <c r="I1362">
        <v>259918</v>
      </c>
      <c r="J1362">
        <v>244656</v>
      </c>
      <c r="K1362">
        <v>251292</v>
      </c>
      <c r="L1362">
        <v>250000</v>
      </c>
      <c r="M1362">
        <v>1306985</v>
      </c>
      <c r="N1362" s="2">
        <v>7.5030738126945487E-3</v>
      </c>
    </row>
    <row r="1363" spans="1:14" hidden="1" x14ac:dyDescent="0.25">
      <c r="A1363" t="s">
        <v>20</v>
      </c>
      <c r="B1363" t="s">
        <v>102</v>
      </c>
      <c r="C1363">
        <v>5233000</v>
      </c>
      <c r="D1363">
        <v>5255000</v>
      </c>
      <c r="E1363">
        <v>5410700</v>
      </c>
      <c r="F1363">
        <v>5382800</v>
      </c>
      <c r="G1363">
        <v>5542900</v>
      </c>
      <c r="H1363">
        <v>6313300</v>
      </c>
      <c r="I1363">
        <v>6888800</v>
      </c>
      <c r="J1363">
        <v>7019000</v>
      </c>
      <c r="K1363">
        <v>6327000</v>
      </c>
      <c r="L1363">
        <v>6192000</v>
      </c>
      <c r="M1363">
        <v>32740100</v>
      </c>
      <c r="N1363" s="2">
        <v>0.1879527209072796</v>
      </c>
    </row>
    <row r="1364" spans="1:14" hidden="1" x14ac:dyDescent="0.25">
      <c r="A1364" t="s">
        <v>20</v>
      </c>
      <c r="B1364" t="s">
        <v>141</v>
      </c>
      <c r="C1364">
        <v>110000</v>
      </c>
      <c r="D1364">
        <v>58100</v>
      </c>
      <c r="E1364">
        <v>53657</v>
      </c>
      <c r="F1364">
        <v>88560</v>
      </c>
      <c r="G1364">
        <v>71043</v>
      </c>
      <c r="H1364">
        <v>64200</v>
      </c>
      <c r="I1364">
        <v>35381</v>
      </c>
      <c r="J1364">
        <v>76100</v>
      </c>
      <c r="K1364">
        <v>12400</v>
      </c>
      <c r="L1364">
        <v>13500</v>
      </c>
      <c r="M1364">
        <v>201581</v>
      </c>
      <c r="N1364" s="2">
        <v>1.157226075461294E-3</v>
      </c>
    </row>
    <row r="1365" spans="1:14" hidden="1" x14ac:dyDescent="0.25">
      <c r="A1365" t="s">
        <v>20</v>
      </c>
      <c r="B1365" t="s">
        <v>133</v>
      </c>
      <c r="C1365">
        <v>554800</v>
      </c>
      <c r="D1365">
        <v>787700</v>
      </c>
      <c r="E1365">
        <v>751200</v>
      </c>
      <c r="F1365">
        <v>442600</v>
      </c>
      <c r="G1365">
        <v>450800</v>
      </c>
      <c r="H1365">
        <v>631600</v>
      </c>
      <c r="I1365">
        <v>884900</v>
      </c>
      <c r="J1365">
        <v>732600</v>
      </c>
      <c r="K1365">
        <v>456800</v>
      </c>
      <c r="L1365">
        <v>269000</v>
      </c>
      <c r="M1365">
        <v>2974900</v>
      </c>
      <c r="N1365" s="2">
        <v>1.707815643284737E-2</v>
      </c>
    </row>
    <row r="1366" spans="1:14" hidden="1" x14ac:dyDescent="0.25">
      <c r="A1366" t="s">
        <v>20</v>
      </c>
      <c r="B1366" t="s">
        <v>106</v>
      </c>
      <c r="C1366">
        <v>500000</v>
      </c>
      <c r="D1366">
        <v>490000</v>
      </c>
      <c r="E1366">
        <v>350000</v>
      </c>
      <c r="F1366">
        <v>330000</v>
      </c>
      <c r="G1366">
        <v>230000</v>
      </c>
      <c r="H1366">
        <v>350000</v>
      </c>
      <c r="I1366">
        <v>324700</v>
      </c>
      <c r="J1366">
        <v>467400</v>
      </c>
      <c r="K1366">
        <v>404800</v>
      </c>
      <c r="L1366">
        <v>467100</v>
      </c>
      <c r="M1366">
        <v>2014000</v>
      </c>
      <c r="N1366" s="2">
        <v>1.156186999756449E-2</v>
      </c>
    </row>
    <row r="1367" spans="1:14" hidden="1" x14ac:dyDescent="0.25">
      <c r="A1367" t="s">
        <v>20</v>
      </c>
      <c r="B1367" t="s">
        <v>155</v>
      </c>
      <c r="D1367">
        <v>0</v>
      </c>
      <c r="E1367">
        <v>0</v>
      </c>
      <c r="F1367">
        <v>0</v>
      </c>
      <c r="G1367">
        <v>0</v>
      </c>
      <c r="H1367">
        <v>90121</v>
      </c>
      <c r="I1367">
        <v>92139</v>
      </c>
      <c r="J1367">
        <v>112749</v>
      </c>
      <c r="K1367">
        <v>113000</v>
      </c>
      <c r="L1367">
        <v>113000</v>
      </c>
      <c r="M1367">
        <v>521009</v>
      </c>
      <c r="N1367" s="2">
        <v>2.9909822867731262E-3</v>
      </c>
    </row>
    <row r="1368" spans="1:14" hidden="1" x14ac:dyDescent="0.25">
      <c r="A1368" t="s">
        <v>20</v>
      </c>
      <c r="B1368" t="s">
        <v>156</v>
      </c>
      <c r="C1368">
        <v>36628</v>
      </c>
      <c r="D1368">
        <v>26164</v>
      </c>
      <c r="E1368">
        <v>47056</v>
      </c>
      <c r="F1368">
        <v>15502</v>
      </c>
      <c r="G1368">
        <v>25745</v>
      </c>
      <c r="H1368">
        <v>20849</v>
      </c>
      <c r="I1368">
        <v>50650</v>
      </c>
      <c r="J1368">
        <v>36423</v>
      </c>
      <c r="K1368">
        <v>35112</v>
      </c>
      <c r="L1368">
        <v>30721</v>
      </c>
      <c r="M1368">
        <v>173755</v>
      </c>
      <c r="N1368" s="2">
        <v>9.9748397290308705E-4</v>
      </c>
    </row>
    <row r="1369" spans="1:14" hidden="1" x14ac:dyDescent="0.25">
      <c r="A1369" t="s">
        <v>20</v>
      </c>
      <c r="B1369" t="s">
        <v>107</v>
      </c>
      <c r="C1369">
        <v>552000</v>
      </c>
      <c r="D1369">
        <v>360000</v>
      </c>
      <c r="E1369">
        <v>380000</v>
      </c>
      <c r="F1369">
        <v>503000</v>
      </c>
      <c r="G1369">
        <v>485000</v>
      </c>
      <c r="H1369">
        <v>434000</v>
      </c>
      <c r="I1369">
        <v>469000</v>
      </c>
      <c r="J1369">
        <v>698000</v>
      </c>
      <c r="K1369">
        <v>689000</v>
      </c>
      <c r="L1369">
        <v>689000</v>
      </c>
      <c r="M1369">
        <v>2979000</v>
      </c>
      <c r="N1369" s="2">
        <v>1.7101693506824531E-2</v>
      </c>
    </row>
    <row r="1370" spans="1:14" hidden="1" x14ac:dyDescent="0.25">
      <c r="A1370" t="s">
        <v>20</v>
      </c>
      <c r="B1370" t="s">
        <v>137</v>
      </c>
      <c r="C1370">
        <v>11310223</v>
      </c>
      <c r="D1370">
        <v>13644699</v>
      </c>
      <c r="E1370">
        <v>14037722</v>
      </c>
      <c r="F1370">
        <v>15684481</v>
      </c>
      <c r="G1370">
        <v>14705180</v>
      </c>
      <c r="H1370">
        <v>16586863</v>
      </c>
      <c r="I1370">
        <v>17829038</v>
      </c>
      <c r="J1370">
        <v>17664239</v>
      </c>
      <c r="K1370">
        <v>13196880</v>
      </c>
      <c r="L1370">
        <v>18435250</v>
      </c>
      <c r="M1370">
        <v>83712270</v>
      </c>
      <c r="N1370" s="2">
        <v>0.48057119311867807</v>
      </c>
    </row>
    <row r="1371" spans="1:14" hidden="1" x14ac:dyDescent="0.25">
      <c r="A1371" t="s">
        <v>20</v>
      </c>
      <c r="B1371" t="s">
        <v>157</v>
      </c>
      <c r="C1371">
        <v>18300</v>
      </c>
      <c r="D1371">
        <v>30870</v>
      </c>
      <c r="E1371">
        <v>60000</v>
      </c>
      <c r="F1371">
        <v>15143</v>
      </c>
      <c r="G1371">
        <v>45000</v>
      </c>
      <c r="H1371">
        <v>32000</v>
      </c>
      <c r="I1371">
        <v>27000</v>
      </c>
      <c r="J1371">
        <v>12728</v>
      </c>
      <c r="K1371">
        <v>9000</v>
      </c>
      <c r="L1371">
        <v>4600</v>
      </c>
      <c r="M1371">
        <v>85328</v>
      </c>
      <c r="N1371" s="2">
        <v>4.898466947130996E-4</v>
      </c>
    </row>
    <row r="1372" spans="1:14" hidden="1" x14ac:dyDescent="0.25">
      <c r="A1372" t="s">
        <v>20</v>
      </c>
      <c r="B1372" t="s">
        <v>112</v>
      </c>
      <c r="C1372">
        <v>3295398</v>
      </c>
      <c r="D1372">
        <v>4140655</v>
      </c>
      <c r="E1372">
        <v>6611394</v>
      </c>
      <c r="F1372">
        <v>2515188</v>
      </c>
      <c r="G1372">
        <v>2024821</v>
      </c>
      <c r="H1372">
        <v>2554222</v>
      </c>
      <c r="I1372">
        <v>2896651</v>
      </c>
      <c r="J1372">
        <v>3363791</v>
      </c>
      <c r="K1372">
        <v>2128669</v>
      </c>
      <c r="L1372">
        <v>2779467</v>
      </c>
      <c r="M1372">
        <v>13722800</v>
      </c>
      <c r="N1372" s="2">
        <v>7.8779160676553092E-2</v>
      </c>
    </row>
    <row r="1373" spans="1:14" hidden="1" x14ac:dyDescent="0.25">
      <c r="A1373" t="s">
        <v>20</v>
      </c>
      <c r="B1373" t="s">
        <v>158</v>
      </c>
      <c r="C1373">
        <v>408476</v>
      </c>
      <c r="D1373">
        <v>355142</v>
      </c>
      <c r="E1373">
        <v>408422</v>
      </c>
      <c r="F1373">
        <v>208328</v>
      </c>
      <c r="G1373">
        <v>112026</v>
      </c>
      <c r="H1373">
        <v>688838</v>
      </c>
      <c r="I1373">
        <v>894660</v>
      </c>
      <c r="J1373">
        <v>1550064</v>
      </c>
      <c r="K1373">
        <v>1272139</v>
      </c>
      <c r="L1373">
        <v>1244300</v>
      </c>
      <c r="M1373">
        <v>5650001</v>
      </c>
      <c r="N1373" s="2">
        <v>3.2435241831236021E-2</v>
      </c>
    </row>
    <row r="1374" spans="1:14" hidden="1" x14ac:dyDescent="0.25">
      <c r="A1374" t="s">
        <v>19</v>
      </c>
      <c r="B1374" t="s">
        <v>124</v>
      </c>
      <c r="C1374">
        <v>37</v>
      </c>
      <c r="D1374">
        <v>28</v>
      </c>
      <c r="E1374">
        <v>30</v>
      </c>
      <c r="F1374">
        <v>107</v>
      </c>
      <c r="G1374">
        <v>91</v>
      </c>
      <c r="H1374">
        <v>96</v>
      </c>
      <c r="I1374">
        <v>74</v>
      </c>
      <c r="J1374">
        <v>80</v>
      </c>
      <c r="K1374">
        <v>46</v>
      </c>
      <c r="L1374">
        <v>50</v>
      </c>
      <c r="M1374">
        <v>346</v>
      </c>
      <c r="N1374" s="2">
        <v>2.6873368957375421E-3</v>
      </c>
    </row>
    <row r="1375" spans="1:14" hidden="1" x14ac:dyDescent="0.25">
      <c r="A1375" t="s">
        <v>19</v>
      </c>
      <c r="B1375" t="s">
        <v>85</v>
      </c>
      <c r="C1375">
        <v>200</v>
      </c>
      <c r="D1375">
        <v>200</v>
      </c>
      <c r="E1375">
        <v>200</v>
      </c>
      <c r="F1375">
        <v>200</v>
      </c>
      <c r="G1375">
        <v>200</v>
      </c>
      <c r="H1375">
        <v>200</v>
      </c>
      <c r="I1375">
        <v>300</v>
      </c>
      <c r="J1375">
        <v>450</v>
      </c>
      <c r="K1375">
        <v>25</v>
      </c>
      <c r="L1375">
        <v>16</v>
      </c>
      <c r="M1375">
        <v>991</v>
      </c>
      <c r="N1375" s="2">
        <v>7.6969678140922076E-3</v>
      </c>
    </row>
    <row r="1376" spans="1:14" hidden="1" x14ac:dyDescent="0.25">
      <c r="A1376" t="s">
        <v>19</v>
      </c>
      <c r="B1376" t="s">
        <v>147</v>
      </c>
      <c r="C1376">
        <v>360</v>
      </c>
      <c r="D1376">
        <v>411</v>
      </c>
      <c r="E1376">
        <v>382</v>
      </c>
      <c r="F1376">
        <v>344</v>
      </c>
      <c r="G1376">
        <v>362</v>
      </c>
      <c r="H1376">
        <v>333</v>
      </c>
      <c r="I1376">
        <v>313</v>
      </c>
      <c r="J1376">
        <v>315</v>
      </c>
      <c r="K1376">
        <v>315</v>
      </c>
      <c r="L1376">
        <v>315</v>
      </c>
      <c r="M1376">
        <v>1591</v>
      </c>
      <c r="N1376" s="2">
        <v>1.235708959860818E-2</v>
      </c>
    </row>
    <row r="1377" spans="1:14" hidden="1" x14ac:dyDescent="0.25">
      <c r="A1377" t="s">
        <v>19</v>
      </c>
      <c r="B1377" t="s">
        <v>116</v>
      </c>
      <c r="C1377">
        <v>1286</v>
      </c>
      <c r="D1377">
        <v>1313</v>
      </c>
      <c r="E1377">
        <v>1187</v>
      </c>
      <c r="F1377">
        <v>1159</v>
      </c>
      <c r="G1377">
        <v>2305</v>
      </c>
      <c r="H1377">
        <v>1802</v>
      </c>
      <c r="I1377">
        <v>1857</v>
      </c>
      <c r="J1377">
        <v>1803</v>
      </c>
      <c r="K1377">
        <v>140</v>
      </c>
      <c r="L1377">
        <v>1800</v>
      </c>
      <c r="M1377">
        <v>7402</v>
      </c>
      <c r="N1377" s="2">
        <v>5.7490369081645343E-2</v>
      </c>
    </row>
    <row r="1378" spans="1:14" hidden="1" x14ac:dyDescent="0.25">
      <c r="A1378" t="s">
        <v>19</v>
      </c>
      <c r="B1378" t="s">
        <v>86</v>
      </c>
      <c r="C1378">
        <v>7265</v>
      </c>
      <c r="D1378">
        <v>7496</v>
      </c>
      <c r="E1378">
        <v>8201</v>
      </c>
      <c r="F1378">
        <v>8162</v>
      </c>
      <c r="G1378">
        <v>8222</v>
      </c>
      <c r="H1378">
        <v>8411</v>
      </c>
      <c r="I1378">
        <v>10349</v>
      </c>
      <c r="J1378">
        <v>10300</v>
      </c>
      <c r="K1378">
        <v>10300</v>
      </c>
      <c r="L1378">
        <v>10349</v>
      </c>
      <c r="M1378">
        <v>49709</v>
      </c>
      <c r="N1378" s="2">
        <v>0.38608332297750708</v>
      </c>
    </row>
    <row r="1379" spans="1:14" hidden="1" x14ac:dyDescent="0.25">
      <c r="A1379" t="s">
        <v>19</v>
      </c>
      <c r="B1379" t="s">
        <v>117</v>
      </c>
      <c r="C1379">
        <v>400</v>
      </c>
      <c r="D1379">
        <v>400</v>
      </c>
      <c r="E1379">
        <v>400</v>
      </c>
      <c r="F1379">
        <v>400</v>
      </c>
      <c r="G1379">
        <v>400</v>
      </c>
      <c r="H1379">
        <v>500</v>
      </c>
      <c r="I1379">
        <v>500</v>
      </c>
      <c r="J1379">
        <v>450</v>
      </c>
      <c r="K1379">
        <v>450</v>
      </c>
      <c r="L1379">
        <v>400</v>
      </c>
      <c r="M1379">
        <v>2300</v>
      </c>
      <c r="N1379" s="2">
        <v>1.786380017397788E-2</v>
      </c>
    </row>
    <row r="1380" spans="1:14" hidden="1" x14ac:dyDescent="0.25">
      <c r="A1380" t="s">
        <v>19</v>
      </c>
      <c r="B1380" t="s">
        <v>97</v>
      </c>
      <c r="C1380">
        <v>391</v>
      </c>
      <c r="D1380">
        <v>228</v>
      </c>
      <c r="E1380">
        <v>69</v>
      </c>
      <c r="F1380">
        <v>0</v>
      </c>
      <c r="G1380">
        <v>35</v>
      </c>
      <c r="H1380">
        <v>47</v>
      </c>
      <c r="I1380">
        <v>0</v>
      </c>
      <c r="J1380">
        <v>0</v>
      </c>
      <c r="K1380">
        <v>0</v>
      </c>
      <c r="L1380">
        <v>0</v>
      </c>
      <c r="M1380">
        <v>47</v>
      </c>
      <c r="N1380" s="2">
        <v>3.6504287312041748E-4</v>
      </c>
    </row>
    <row r="1381" spans="1:14" hidden="1" x14ac:dyDescent="0.25">
      <c r="A1381" t="s">
        <v>19</v>
      </c>
      <c r="B1381" t="s">
        <v>119</v>
      </c>
      <c r="C1381">
        <v>1856</v>
      </c>
      <c r="D1381">
        <v>1821</v>
      </c>
      <c r="E1381">
        <v>2039</v>
      </c>
      <c r="F1381">
        <v>2188</v>
      </c>
      <c r="G1381">
        <v>1989</v>
      </c>
      <c r="H1381">
        <v>2142</v>
      </c>
      <c r="I1381">
        <v>1980</v>
      </c>
      <c r="J1381">
        <v>2000</v>
      </c>
      <c r="K1381">
        <v>1880</v>
      </c>
      <c r="L1381">
        <v>1900</v>
      </c>
      <c r="M1381">
        <v>9902</v>
      </c>
      <c r="N1381" s="2">
        <v>7.690754318379521E-2</v>
      </c>
    </row>
    <row r="1382" spans="1:14" hidden="1" x14ac:dyDescent="0.25">
      <c r="A1382" t="s">
        <v>19</v>
      </c>
      <c r="B1382" t="s">
        <v>102</v>
      </c>
      <c r="C1382">
        <v>1166</v>
      </c>
      <c r="D1382">
        <v>1335</v>
      </c>
      <c r="E1382">
        <v>1633</v>
      </c>
      <c r="F1382">
        <v>1475</v>
      </c>
      <c r="G1382">
        <v>2682</v>
      </c>
      <c r="H1382">
        <v>1500</v>
      </c>
      <c r="I1382">
        <v>1500</v>
      </c>
      <c r="J1382">
        <v>1400</v>
      </c>
      <c r="K1382">
        <v>1500</v>
      </c>
      <c r="L1382">
        <v>1500</v>
      </c>
      <c r="M1382">
        <v>7400</v>
      </c>
      <c r="N1382" s="2">
        <v>5.7474835342363612E-2</v>
      </c>
    </row>
    <row r="1383" spans="1:14" hidden="1" x14ac:dyDescent="0.25">
      <c r="A1383" t="s">
        <v>19</v>
      </c>
      <c r="B1383" t="s">
        <v>148</v>
      </c>
      <c r="C1383">
        <v>3904</v>
      </c>
      <c r="D1383">
        <v>3904</v>
      </c>
      <c r="E1383">
        <v>5645</v>
      </c>
      <c r="F1383">
        <v>5600</v>
      </c>
      <c r="G1383">
        <v>4000</v>
      </c>
      <c r="H1383">
        <v>4000</v>
      </c>
      <c r="I1383">
        <v>4905</v>
      </c>
      <c r="J1383">
        <v>4500</v>
      </c>
      <c r="K1383">
        <v>4500</v>
      </c>
      <c r="L1383">
        <v>4500</v>
      </c>
      <c r="M1383">
        <v>22405</v>
      </c>
      <c r="N1383" s="2">
        <v>0.1740167143034671</v>
      </c>
    </row>
    <row r="1384" spans="1:14" hidden="1" x14ac:dyDescent="0.25">
      <c r="A1384" t="s">
        <v>19</v>
      </c>
      <c r="B1384" t="s">
        <v>149</v>
      </c>
      <c r="C1384">
        <v>200</v>
      </c>
      <c r="D1384">
        <v>200</v>
      </c>
      <c r="E1384">
        <v>200</v>
      </c>
      <c r="F1384">
        <v>200</v>
      </c>
      <c r="G1384">
        <v>200</v>
      </c>
      <c r="H1384">
        <v>200</v>
      </c>
      <c r="I1384">
        <v>200</v>
      </c>
      <c r="J1384">
        <v>200</v>
      </c>
      <c r="K1384">
        <v>200</v>
      </c>
      <c r="L1384">
        <v>200</v>
      </c>
      <c r="M1384">
        <v>1000</v>
      </c>
      <c r="N1384" s="2">
        <v>7.7668696408599476E-3</v>
      </c>
    </row>
    <row r="1385" spans="1:14" hidden="1" x14ac:dyDescent="0.25">
      <c r="A1385" t="s">
        <v>19</v>
      </c>
      <c r="B1385" t="s">
        <v>150</v>
      </c>
      <c r="C1385">
        <v>1482</v>
      </c>
      <c r="D1385">
        <v>1451</v>
      </c>
      <c r="E1385">
        <v>1409</v>
      </c>
      <c r="F1385">
        <v>1283</v>
      </c>
      <c r="G1385">
        <v>1244</v>
      </c>
      <c r="H1385">
        <v>1142</v>
      </c>
      <c r="I1385">
        <v>1307</v>
      </c>
      <c r="J1385">
        <v>952</v>
      </c>
      <c r="K1385">
        <v>978</v>
      </c>
      <c r="L1385">
        <v>1051</v>
      </c>
      <c r="M1385">
        <v>5430</v>
      </c>
      <c r="N1385" s="2">
        <v>4.2174102149869518E-2</v>
      </c>
    </row>
    <row r="1386" spans="1:14" hidden="1" x14ac:dyDescent="0.25">
      <c r="A1386" t="s">
        <v>19</v>
      </c>
      <c r="B1386" t="s">
        <v>130</v>
      </c>
      <c r="C1386">
        <v>560</v>
      </c>
      <c r="D1386">
        <v>610</v>
      </c>
      <c r="E1386">
        <v>620</v>
      </c>
      <c r="F1386">
        <v>620</v>
      </c>
      <c r="G1386">
        <v>620</v>
      </c>
      <c r="H1386">
        <v>620</v>
      </c>
      <c r="I1386">
        <v>1100</v>
      </c>
      <c r="J1386">
        <v>1100</v>
      </c>
      <c r="K1386">
        <v>880</v>
      </c>
      <c r="L1386">
        <v>900</v>
      </c>
      <c r="M1386">
        <v>4600</v>
      </c>
      <c r="N1386" s="2">
        <v>3.572760034795576E-2</v>
      </c>
    </row>
    <row r="1387" spans="1:14" hidden="1" x14ac:dyDescent="0.25">
      <c r="A1387" t="s">
        <v>19</v>
      </c>
      <c r="B1387" t="s">
        <v>132</v>
      </c>
      <c r="C1387">
        <v>310</v>
      </c>
      <c r="D1387">
        <v>310</v>
      </c>
      <c r="E1387">
        <v>310</v>
      </c>
      <c r="F1387">
        <v>310</v>
      </c>
      <c r="G1387">
        <v>355</v>
      </c>
      <c r="H1387">
        <v>416</v>
      </c>
      <c r="I1387">
        <v>400</v>
      </c>
      <c r="J1387">
        <v>340</v>
      </c>
      <c r="K1387">
        <v>340</v>
      </c>
      <c r="L1387">
        <v>390</v>
      </c>
      <c r="M1387">
        <v>1886</v>
      </c>
      <c r="N1387" s="2">
        <v>1.464831614266186E-2</v>
      </c>
    </row>
    <row r="1388" spans="1:14" hidden="1" x14ac:dyDescent="0.25">
      <c r="A1388" t="s">
        <v>19</v>
      </c>
      <c r="B1388" t="s">
        <v>146</v>
      </c>
      <c r="C1388">
        <v>684</v>
      </c>
      <c r="D1388">
        <v>695</v>
      </c>
      <c r="E1388">
        <v>769</v>
      </c>
      <c r="F1388">
        <v>757</v>
      </c>
      <c r="G1388">
        <v>820</v>
      </c>
      <c r="H1388">
        <v>797</v>
      </c>
      <c r="I1388">
        <v>765</v>
      </c>
      <c r="J1388">
        <v>772</v>
      </c>
      <c r="K1388">
        <v>687</v>
      </c>
      <c r="L1388">
        <v>279</v>
      </c>
      <c r="M1388">
        <v>3300</v>
      </c>
      <c r="N1388" s="2">
        <v>2.5630669814837831E-2</v>
      </c>
    </row>
    <row r="1389" spans="1:14" hidden="1" x14ac:dyDescent="0.25">
      <c r="A1389" t="s">
        <v>19</v>
      </c>
      <c r="B1389" t="s">
        <v>151</v>
      </c>
      <c r="C1389">
        <v>370</v>
      </c>
      <c r="D1389">
        <v>460</v>
      </c>
      <c r="E1389">
        <v>628</v>
      </c>
      <c r="F1389">
        <v>383</v>
      </c>
      <c r="G1389">
        <v>319</v>
      </c>
      <c r="H1389">
        <v>309</v>
      </c>
      <c r="I1389">
        <v>305</v>
      </c>
      <c r="J1389">
        <v>199</v>
      </c>
      <c r="K1389">
        <v>80</v>
      </c>
      <c r="L1389">
        <v>0</v>
      </c>
      <c r="M1389">
        <v>893</v>
      </c>
      <c r="N1389" s="2">
        <v>6.9358145892879338E-3</v>
      </c>
    </row>
    <row r="1390" spans="1:14" hidden="1" x14ac:dyDescent="0.25">
      <c r="A1390" t="s">
        <v>19</v>
      </c>
      <c r="B1390" t="s">
        <v>107</v>
      </c>
      <c r="C1390">
        <v>1000</v>
      </c>
      <c r="D1390">
        <v>900</v>
      </c>
      <c r="E1390">
        <v>1200</v>
      </c>
      <c r="F1390">
        <v>1300</v>
      </c>
      <c r="G1390">
        <v>1500</v>
      </c>
      <c r="H1390">
        <v>1300</v>
      </c>
      <c r="I1390">
        <v>1400</v>
      </c>
      <c r="J1390">
        <v>1400</v>
      </c>
      <c r="K1390">
        <v>1300</v>
      </c>
      <c r="L1390">
        <v>1400</v>
      </c>
      <c r="M1390">
        <v>6800</v>
      </c>
      <c r="N1390" s="2">
        <v>5.2814713557847642E-2</v>
      </c>
    </row>
    <row r="1391" spans="1:14" hidden="1" x14ac:dyDescent="0.25">
      <c r="A1391" t="s">
        <v>19</v>
      </c>
      <c r="B1391" t="s">
        <v>113</v>
      </c>
      <c r="C1391">
        <v>600</v>
      </c>
      <c r="D1391">
        <v>600</v>
      </c>
      <c r="E1391">
        <v>550</v>
      </c>
      <c r="F1391">
        <v>500</v>
      </c>
      <c r="G1391">
        <v>400</v>
      </c>
      <c r="H1391">
        <v>550</v>
      </c>
      <c r="I1391">
        <v>550</v>
      </c>
      <c r="J1391">
        <v>550</v>
      </c>
      <c r="K1391">
        <v>550</v>
      </c>
      <c r="L1391">
        <v>550</v>
      </c>
      <c r="M1391">
        <v>2750</v>
      </c>
      <c r="N1391" s="2">
        <v>2.135889151236486E-2</v>
      </c>
    </row>
    <row r="1392" spans="1:14" hidden="1" x14ac:dyDescent="0.25">
      <c r="A1392" t="s">
        <v>18</v>
      </c>
      <c r="B1392" t="s">
        <v>124</v>
      </c>
      <c r="C1392">
        <v>479412</v>
      </c>
      <c r="D1392">
        <v>426000</v>
      </c>
      <c r="E1392">
        <v>600000</v>
      </c>
      <c r="F1392">
        <v>248683</v>
      </c>
      <c r="G1392">
        <v>148390</v>
      </c>
      <c r="H1392">
        <v>129918</v>
      </c>
      <c r="I1392">
        <v>71212</v>
      </c>
      <c r="J1392">
        <v>181818</v>
      </c>
      <c r="K1392">
        <v>134604</v>
      </c>
      <c r="L1392">
        <v>130000</v>
      </c>
      <c r="M1392">
        <v>647552</v>
      </c>
      <c r="N1392" s="2">
        <v>1.7570686145995659E-2</v>
      </c>
    </row>
    <row r="1393" spans="1:14" hidden="1" x14ac:dyDescent="0.25">
      <c r="A1393" t="s">
        <v>18</v>
      </c>
      <c r="B1393" t="s">
        <v>144</v>
      </c>
      <c r="C1393">
        <v>142532</v>
      </c>
      <c r="D1393">
        <v>164803</v>
      </c>
      <c r="E1393">
        <v>168187</v>
      </c>
      <c r="F1393">
        <v>166451</v>
      </c>
      <c r="G1393">
        <v>199924</v>
      </c>
      <c r="H1393">
        <v>223515</v>
      </c>
      <c r="I1393">
        <v>232268</v>
      </c>
      <c r="J1393">
        <v>214500</v>
      </c>
      <c r="K1393">
        <v>258143</v>
      </c>
      <c r="L1393">
        <v>312906</v>
      </c>
      <c r="M1393">
        <v>1241332</v>
      </c>
      <c r="N1393" s="2">
        <v>3.3682321998821839E-2</v>
      </c>
    </row>
    <row r="1394" spans="1:14" hidden="1" x14ac:dyDescent="0.25">
      <c r="A1394" t="s">
        <v>18</v>
      </c>
      <c r="B1394" t="s">
        <v>145</v>
      </c>
      <c r="C1394">
        <v>444487</v>
      </c>
      <c r="D1394">
        <v>580528</v>
      </c>
      <c r="E1394">
        <v>496533</v>
      </c>
      <c r="F1394">
        <v>517584</v>
      </c>
      <c r="G1394">
        <v>558854</v>
      </c>
      <c r="H1394">
        <v>607076</v>
      </c>
      <c r="I1394">
        <v>398411</v>
      </c>
      <c r="J1394">
        <v>352255</v>
      </c>
      <c r="K1394">
        <v>288103</v>
      </c>
      <c r="L1394">
        <v>363032</v>
      </c>
      <c r="M1394">
        <v>2008877</v>
      </c>
      <c r="N1394" s="2">
        <v>5.4508900092825469E-2</v>
      </c>
    </row>
    <row r="1395" spans="1:14" hidden="1" x14ac:dyDescent="0.25">
      <c r="A1395" t="s">
        <v>18</v>
      </c>
      <c r="B1395" t="s">
        <v>86</v>
      </c>
      <c r="C1395">
        <v>132000</v>
      </c>
      <c r="D1395">
        <v>114000</v>
      </c>
      <c r="E1395">
        <v>97000</v>
      </c>
      <c r="F1395">
        <v>90000</v>
      </c>
      <c r="G1395">
        <v>80000</v>
      </c>
      <c r="H1395">
        <v>70000</v>
      </c>
      <c r="I1395">
        <v>75000</v>
      </c>
      <c r="J1395">
        <v>250000</v>
      </c>
      <c r="K1395">
        <v>380000</v>
      </c>
      <c r="L1395">
        <v>380000</v>
      </c>
      <c r="M1395">
        <v>1155000</v>
      </c>
      <c r="N1395" s="2">
        <v>3.1339788153885689E-2</v>
      </c>
    </row>
    <row r="1396" spans="1:14" hidden="1" x14ac:dyDescent="0.25">
      <c r="A1396" t="s">
        <v>18</v>
      </c>
      <c r="B1396" t="s">
        <v>99</v>
      </c>
      <c r="C1396">
        <v>2500</v>
      </c>
      <c r="D1396">
        <v>2330</v>
      </c>
      <c r="E1396">
        <v>1383</v>
      </c>
      <c r="F1396">
        <v>675</v>
      </c>
      <c r="G1396">
        <v>0</v>
      </c>
      <c r="H1396">
        <v>1150</v>
      </c>
      <c r="I1396">
        <v>1200</v>
      </c>
      <c r="J1396">
        <v>2519</v>
      </c>
      <c r="K1396">
        <v>1300</v>
      </c>
      <c r="L1396">
        <v>1300</v>
      </c>
      <c r="M1396">
        <v>7469</v>
      </c>
      <c r="N1396" s="2">
        <v>2.0266396339512741E-4</v>
      </c>
    </row>
    <row r="1397" spans="1:14" hidden="1" x14ac:dyDescent="0.25">
      <c r="A1397" t="s">
        <v>18</v>
      </c>
      <c r="B1397" t="s">
        <v>102</v>
      </c>
      <c r="C1397">
        <v>30000</v>
      </c>
      <c r="D1397">
        <v>30000</v>
      </c>
      <c r="E1397">
        <v>30000</v>
      </c>
      <c r="F1397">
        <v>500000</v>
      </c>
      <c r="G1397">
        <v>510000</v>
      </c>
      <c r="H1397">
        <v>500000</v>
      </c>
      <c r="I1397">
        <v>500000</v>
      </c>
      <c r="J1397">
        <v>500000</v>
      </c>
      <c r="K1397">
        <v>500000</v>
      </c>
      <c r="L1397">
        <v>500000</v>
      </c>
      <c r="M1397">
        <v>2500000</v>
      </c>
      <c r="N1397" s="2">
        <v>6.7835039294124863E-2</v>
      </c>
    </row>
    <row r="1398" spans="1:14" hidden="1" x14ac:dyDescent="0.25">
      <c r="A1398" t="s">
        <v>18</v>
      </c>
      <c r="B1398" t="s">
        <v>146</v>
      </c>
      <c r="C1398">
        <v>104072</v>
      </c>
      <c r="D1398">
        <v>224454</v>
      </c>
      <c r="E1398">
        <v>239725</v>
      </c>
      <c r="F1398">
        <v>662709</v>
      </c>
      <c r="G1398">
        <v>33792</v>
      </c>
      <c r="H1398">
        <v>0</v>
      </c>
      <c r="I1398">
        <v>100552</v>
      </c>
      <c r="J1398">
        <v>111108</v>
      </c>
      <c r="K1398">
        <v>43645</v>
      </c>
      <c r="L1398">
        <v>246362</v>
      </c>
      <c r="M1398">
        <v>501667</v>
      </c>
      <c r="N1398" s="2">
        <v>1.3612240263026289E-2</v>
      </c>
    </row>
    <row r="1399" spans="1:14" hidden="1" x14ac:dyDescent="0.25">
      <c r="A1399" t="s">
        <v>18</v>
      </c>
      <c r="B1399" t="s">
        <v>107</v>
      </c>
      <c r="C1399">
        <v>400000</v>
      </c>
      <c r="D1399">
        <v>250000</v>
      </c>
      <c r="E1399">
        <v>250000</v>
      </c>
      <c r="F1399">
        <v>80000</v>
      </c>
      <c r="G1399">
        <v>80000</v>
      </c>
      <c r="H1399">
        <v>75000</v>
      </c>
      <c r="I1399">
        <v>80000</v>
      </c>
      <c r="J1399">
        <v>80000</v>
      </c>
      <c r="K1399">
        <v>80000</v>
      </c>
      <c r="L1399">
        <v>80000</v>
      </c>
      <c r="M1399">
        <v>395000</v>
      </c>
      <c r="N1399" s="2">
        <v>1.071793620847173E-2</v>
      </c>
    </row>
    <row r="1400" spans="1:14" hidden="1" x14ac:dyDescent="0.25">
      <c r="A1400" t="s">
        <v>18</v>
      </c>
      <c r="B1400" t="s">
        <v>112</v>
      </c>
      <c r="C1400">
        <v>1814725</v>
      </c>
      <c r="D1400">
        <v>1748231</v>
      </c>
      <c r="E1400">
        <v>3143175</v>
      </c>
      <c r="F1400">
        <v>2180976</v>
      </c>
      <c r="G1400">
        <v>2070257</v>
      </c>
      <c r="H1400">
        <v>2494627</v>
      </c>
      <c r="I1400">
        <v>3970486</v>
      </c>
      <c r="J1400">
        <v>8555690</v>
      </c>
      <c r="K1400">
        <v>2819111</v>
      </c>
      <c r="L1400">
        <v>4057299</v>
      </c>
      <c r="M1400">
        <v>21897213</v>
      </c>
      <c r="N1400" s="2">
        <v>0.59415932171472874</v>
      </c>
    </row>
    <row r="1401" spans="1:14" hidden="1" x14ac:dyDescent="0.25">
      <c r="A1401" t="s">
        <v>18</v>
      </c>
      <c r="B1401" t="s">
        <v>113</v>
      </c>
      <c r="C1401">
        <v>1300000</v>
      </c>
      <c r="D1401">
        <v>1300000</v>
      </c>
      <c r="E1401">
        <v>1300000</v>
      </c>
      <c r="F1401">
        <v>1300000</v>
      </c>
      <c r="G1401">
        <v>1300000</v>
      </c>
      <c r="H1401">
        <v>1300000</v>
      </c>
      <c r="I1401">
        <v>1300000</v>
      </c>
      <c r="J1401">
        <v>1300000</v>
      </c>
      <c r="K1401">
        <v>1300000</v>
      </c>
      <c r="L1401">
        <v>1300000</v>
      </c>
      <c r="M1401">
        <v>6500000</v>
      </c>
      <c r="N1401" s="2">
        <v>0.17637110216472471</v>
      </c>
    </row>
    <row r="1402" spans="1:14" hidden="1" x14ac:dyDescent="0.25">
      <c r="A1402" t="s">
        <v>17</v>
      </c>
      <c r="B1402" t="s">
        <v>86</v>
      </c>
      <c r="C1402">
        <v>1000</v>
      </c>
      <c r="D1402">
        <v>1100</v>
      </c>
      <c r="E1402">
        <v>1200</v>
      </c>
      <c r="F1402">
        <v>1200</v>
      </c>
      <c r="G1402">
        <v>1200</v>
      </c>
      <c r="H1402">
        <v>1200</v>
      </c>
      <c r="I1402">
        <v>1200</v>
      </c>
      <c r="J1402">
        <v>1800</v>
      </c>
      <c r="K1402">
        <v>1800</v>
      </c>
      <c r="L1402">
        <v>1800</v>
      </c>
      <c r="M1402">
        <v>7800</v>
      </c>
      <c r="N1402" s="2">
        <v>0.26436197254702593</v>
      </c>
    </row>
    <row r="1403" spans="1:14" hidden="1" x14ac:dyDescent="0.25">
      <c r="A1403" t="s">
        <v>17</v>
      </c>
      <c r="B1403" t="s">
        <v>141</v>
      </c>
      <c r="C1403">
        <v>16</v>
      </c>
      <c r="D1403">
        <v>85</v>
      </c>
      <c r="E1403">
        <v>135</v>
      </c>
      <c r="F1403">
        <v>140</v>
      </c>
      <c r="G1403">
        <v>16</v>
      </c>
      <c r="H1403">
        <v>16</v>
      </c>
      <c r="I1403">
        <v>16</v>
      </c>
      <c r="J1403">
        <v>16</v>
      </c>
      <c r="K1403">
        <v>16</v>
      </c>
      <c r="L1403">
        <v>16</v>
      </c>
      <c r="M1403">
        <v>80</v>
      </c>
      <c r="N1403" s="2">
        <v>2.7114048466361628E-3</v>
      </c>
    </row>
    <row r="1404" spans="1:14" hidden="1" x14ac:dyDescent="0.25">
      <c r="A1404" t="s">
        <v>17</v>
      </c>
      <c r="B1404" t="s">
        <v>105</v>
      </c>
      <c r="C1404">
        <v>532</v>
      </c>
      <c r="D1404">
        <v>103</v>
      </c>
      <c r="E1404">
        <v>3</v>
      </c>
      <c r="F1404">
        <v>312</v>
      </c>
      <c r="G1404">
        <v>181</v>
      </c>
      <c r="H1404">
        <v>53</v>
      </c>
      <c r="I1404">
        <v>416</v>
      </c>
      <c r="J1404">
        <v>45</v>
      </c>
      <c r="K1404">
        <v>80</v>
      </c>
      <c r="L1404">
        <v>330</v>
      </c>
      <c r="M1404">
        <v>924</v>
      </c>
      <c r="N1404" s="2">
        <v>3.1316725978647687E-2</v>
      </c>
    </row>
    <row r="1405" spans="1:14" hidden="1" x14ac:dyDescent="0.25">
      <c r="A1405" t="s">
        <v>17</v>
      </c>
      <c r="B1405" t="s">
        <v>113</v>
      </c>
      <c r="C1405">
        <v>5570</v>
      </c>
      <c r="D1405">
        <v>5910</v>
      </c>
      <c r="E1405">
        <v>6900</v>
      </c>
      <c r="F1405">
        <v>5100</v>
      </c>
      <c r="G1405">
        <v>3870</v>
      </c>
      <c r="H1405">
        <v>3760</v>
      </c>
      <c r="I1405">
        <v>4130</v>
      </c>
      <c r="J1405">
        <v>4000</v>
      </c>
      <c r="K1405">
        <v>4130</v>
      </c>
      <c r="L1405">
        <v>4250</v>
      </c>
      <c r="M1405">
        <v>20270</v>
      </c>
      <c r="N1405" s="2">
        <v>0.68700220301643788</v>
      </c>
    </row>
    <row r="1406" spans="1:14" hidden="1" x14ac:dyDescent="0.25">
      <c r="A1406" t="s">
        <v>17</v>
      </c>
      <c r="B1406" t="s">
        <v>142</v>
      </c>
      <c r="G1406">
        <v>14</v>
      </c>
      <c r="H1406">
        <v>0</v>
      </c>
      <c r="I1406">
        <v>24</v>
      </c>
      <c r="J1406">
        <v>15</v>
      </c>
      <c r="K1406">
        <v>186</v>
      </c>
      <c r="L1406">
        <v>180</v>
      </c>
      <c r="M1406">
        <v>405</v>
      </c>
      <c r="N1406" s="2">
        <v>1.372648703609558E-2</v>
      </c>
    </row>
    <row r="1407" spans="1:14" hidden="1" x14ac:dyDescent="0.25">
      <c r="A1407" t="s">
        <v>17</v>
      </c>
      <c r="B1407" t="s">
        <v>143</v>
      </c>
      <c r="C1407">
        <v>5</v>
      </c>
      <c r="D1407">
        <v>5</v>
      </c>
      <c r="E1407">
        <v>4</v>
      </c>
      <c r="F1407">
        <v>7</v>
      </c>
      <c r="G1407">
        <v>5</v>
      </c>
      <c r="H1407">
        <v>3</v>
      </c>
      <c r="I1407">
        <v>5</v>
      </c>
      <c r="J1407">
        <v>6</v>
      </c>
      <c r="K1407">
        <v>6</v>
      </c>
      <c r="L1407">
        <v>6</v>
      </c>
      <c r="M1407">
        <v>26</v>
      </c>
      <c r="N1407" s="2">
        <v>8.8120657515675311E-4</v>
      </c>
    </row>
    <row r="1408" spans="1:14" hidden="1" x14ac:dyDescent="0.25">
      <c r="A1408" t="s">
        <v>14</v>
      </c>
      <c r="B1408" t="s">
        <v>83</v>
      </c>
      <c r="C1408">
        <v>76281247</v>
      </c>
      <c r="D1408">
        <v>81119334</v>
      </c>
      <c r="E1408">
        <v>78630996</v>
      </c>
      <c r="F1408">
        <v>80909261</v>
      </c>
      <c r="G1408">
        <v>83517148</v>
      </c>
      <c r="H1408">
        <v>89420589</v>
      </c>
      <c r="I1408">
        <v>95947593</v>
      </c>
      <c r="J1408">
        <v>107422912</v>
      </c>
      <c r="K1408">
        <v>103626811</v>
      </c>
      <c r="L1408">
        <v>103266404</v>
      </c>
      <c r="M1408">
        <v>499684309</v>
      </c>
      <c r="N1408" s="2">
        <v>0.2983294008080461</v>
      </c>
    </row>
    <row r="1409" spans="1:14" hidden="1" x14ac:dyDescent="0.25">
      <c r="A1409" t="s">
        <v>14</v>
      </c>
      <c r="B1409" t="s">
        <v>84</v>
      </c>
      <c r="C1409">
        <v>800316</v>
      </c>
      <c r="D1409">
        <v>657115</v>
      </c>
      <c r="E1409">
        <v>605215</v>
      </c>
      <c r="F1409">
        <v>787409</v>
      </c>
      <c r="G1409">
        <v>738609</v>
      </c>
      <c r="H1409">
        <v>740384</v>
      </c>
      <c r="I1409">
        <v>760244</v>
      </c>
      <c r="J1409">
        <v>1043343</v>
      </c>
      <c r="K1409">
        <v>619748</v>
      </c>
      <c r="L1409">
        <v>675269</v>
      </c>
      <c r="M1409">
        <v>3838988</v>
      </c>
      <c r="N1409" s="2">
        <v>2.292013115323338E-3</v>
      </c>
    </row>
    <row r="1410" spans="1:14" hidden="1" x14ac:dyDescent="0.25">
      <c r="A1410" t="s">
        <v>14</v>
      </c>
      <c r="B1410" t="s">
        <v>85</v>
      </c>
      <c r="C1410">
        <v>34987800</v>
      </c>
      <c r="D1410">
        <v>33903800</v>
      </c>
      <c r="E1410">
        <v>36313200</v>
      </c>
      <c r="F1410">
        <v>37057000</v>
      </c>
      <c r="G1410">
        <v>39244200</v>
      </c>
      <c r="H1410">
        <v>38072100</v>
      </c>
      <c r="I1410">
        <v>32006900</v>
      </c>
      <c r="J1410">
        <v>31937900</v>
      </c>
      <c r="K1410">
        <v>32897800</v>
      </c>
      <c r="L1410">
        <v>36000000</v>
      </c>
      <c r="M1410">
        <v>170914700</v>
      </c>
      <c r="N1410" s="2">
        <v>0.10204218768111641</v>
      </c>
    </row>
    <row r="1411" spans="1:14" hidden="1" x14ac:dyDescent="0.25">
      <c r="A1411" t="s">
        <v>14</v>
      </c>
      <c r="B1411" t="s">
        <v>86</v>
      </c>
      <c r="C1411">
        <v>44052300</v>
      </c>
      <c r="D1411">
        <v>50339383</v>
      </c>
      <c r="E1411">
        <v>59212401</v>
      </c>
      <c r="F1411">
        <v>60787599</v>
      </c>
      <c r="G1411">
        <v>66157689</v>
      </c>
      <c r="H1411">
        <v>69000000</v>
      </c>
      <c r="I1411">
        <v>70751214</v>
      </c>
      <c r="J1411">
        <v>42000000</v>
      </c>
      <c r="K1411">
        <v>42000000</v>
      </c>
      <c r="L1411">
        <v>40000000</v>
      </c>
      <c r="M1411">
        <v>263751214</v>
      </c>
      <c r="N1411" s="2">
        <v>0.1574689063030289</v>
      </c>
    </row>
    <row r="1412" spans="1:14" hidden="1" x14ac:dyDescent="0.25">
      <c r="A1412" t="s">
        <v>14</v>
      </c>
      <c r="B1412" t="s">
        <v>87</v>
      </c>
      <c r="C1412">
        <v>384</v>
      </c>
      <c r="D1412">
        <v>1108</v>
      </c>
      <c r="E1412">
        <v>601</v>
      </c>
      <c r="F1412">
        <v>861</v>
      </c>
      <c r="G1412">
        <v>693</v>
      </c>
      <c r="H1412">
        <v>2400</v>
      </c>
      <c r="I1412">
        <v>13666</v>
      </c>
      <c r="J1412">
        <v>18032</v>
      </c>
      <c r="K1412">
        <v>9595</v>
      </c>
      <c r="L1412">
        <v>3200</v>
      </c>
      <c r="M1412">
        <v>46893</v>
      </c>
      <c r="N1412" s="2">
        <v>2.7996797858408852E-5</v>
      </c>
    </row>
    <row r="1413" spans="1:14" hidden="1" x14ac:dyDescent="0.25">
      <c r="A1413" t="s">
        <v>14</v>
      </c>
      <c r="B1413" t="s">
        <v>88</v>
      </c>
      <c r="C1413">
        <v>5690</v>
      </c>
      <c r="D1413">
        <v>8220</v>
      </c>
      <c r="E1413">
        <v>9150</v>
      </c>
      <c r="F1413">
        <v>11900</v>
      </c>
      <c r="G1413">
        <v>9780</v>
      </c>
      <c r="H1413">
        <v>12215</v>
      </c>
      <c r="I1413">
        <v>11780</v>
      </c>
      <c r="J1413">
        <v>14342</v>
      </c>
      <c r="K1413">
        <v>14080</v>
      </c>
      <c r="L1413">
        <v>14450</v>
      </c>
      <c r="M1413">
        <v>66867</v>
      </c>
      <c r="N1413" s="2">
        <v>3.9921990113625161E-5</v>
      </c>
    </row>
    <row r="1414" spans="1:14" hidden="1" x14ac:dyDescent="0.25">
      <c r="A1414" t="s">
        <v>14</v>
      </c>
      <c r="B1414" t="s">
        <v>89</v>
      </c>
      <c r="C1414">
        <v>10522</v>
      </c>
      <c r="D1414">
        <v>769530</v>
      </c>
      <c r="E1414">
        <v>1749308</v>
      </c>
      <c r="F1414">
        <v>1724162</v>
      </c>
      <c r="G1414">
        <v>8796</v>
      </c>
      <c r="H1414">
        <v>0</v>
      </c>
      <c r="I1414">
        <v>6525</v>
      </c>
      <c r="J1414">
        <v>7551</v>
      </c>
      <c r="K1414">
        <v>9475</v>
      </c>
      <c r="L1414">
        <v>89456</v>
      </c>
      <c r="M1414">
        <v>113007</v>
      </c>
      <c r="N1414" s="2">
        <v>6.7469220045320385E-5</v>
      </c>
    </row>
    <row r="1415" spans="1:14" hidden="1" x14ac:dyDescent="0.25">
      <c r="A1415" t="s">
        <v>14</v>
      </c>
      <c r="B1415" t="s">
        <v>90</v>
      </c>
      <c r="C1415">
        <v>349556</v>
      </c>
      <c r="D1415">
        <v>564777</v>
      </c>
      <c r="E1415">
        <v>489476</v>
      </c>
      <c r="F1415">
        <v>120726</v>
      </c>
      <c r="G1415">
        <v>59500</v>
      </c>
      <c r="H1415">
        <v>60000</v>
      </c>
      <c r="I1415">
        <v>58000</v>
      </c>
      <c r="J1415">
        <v>0</v>
      </c>
      <c r="K1415">
        <v>0</v>
      </c>
      <c r="L1415">
        <v>0</v>
      </c>
      <c r="M1415">
        <v>118000</v>
      </c>
      <c r="N1415" s="2">
        <v>7.0450219591244837E-5</v>
      </c>
    </row>
    <row r="1416" spans="1:14" hidden="1" x14ac:dyDescent="0.25">
      <c r="A1416" t="s">
        <v>14</v>
      </c>
      <c r="B1416" t="s">
        <v>91</v>
      </c>
      <c r="C1416">
        <v>69500</v>
      </c>
      <c r="D1416">
        <v>100000</v>
      </c>
      <c r="E1416">
        <v>71000</v>
      </c>
      <c r="F1416">
        <v>70000</v>
      </c>
      <c r="G1416">
        <v>110000</v>
      </c>
      <c r="H1416">
        <v>131000</v>
      </c>
      <c r="I1416">
        <v>139000</v>
      </c>
      <c r="J1416">
        <v>121000</v>
      </c>
      <c r="K1416">
        <v>123000</v>
      </c>
      <c r="L1416">
        <v>143000</v>
      </c>
      <c r="M1416">
        <v>657000</v>
      </c>
      <c r="N1416" s="2">
        <v>3.9225249382582929E-4</v>
      </c>
    </row>
    <row r="1417" spans="1:14" hidden="1" x14ac:dyDescent="0.25">
      <c r="A1417" t="s">
        <v>14</v>
      </c>
      <c r="B1417" t="s">
        <v>92</v>
      </c>
      <c r="C1417">
        <v>752771</v>
      </c>
      <c r="D1417">
        <v>826994</v>
      </c>
      <c r="E1417">
        <v>798114</v>
      </c>
      <c r="F1417">
        <v>1014605</v>
      </c>
      <c r="G1417">
        <v>1143676</v>
      </c>
      <c r="H1417">
        <v>1476966</v>
      </c>
      <c r="I1417">
        <v>1011302</v>
      </c>
      <c r="J1417">
        <v>1116334</v>
      </c>
      <c r="K1417">
        <v>1162086</v>
      </c>
      <c r="L1417">
        <v>839465</v>
      </c>
      <c r="M1417">
        <v>5606153</v>
      </c>
      <c r="N1417" s="2">
        <v>3.347073812814543E-3</v>
      </c>
    </row>
    <row r="1418" spans="1:14" hidden="1" x14ac:dyDescent="0.25">
      <c r="A1418" t="s">
        <v>14</v>
      </c>
      <c r="B1418" t="s">
        <v>93</v>
      </c>
      <c r="C1418">
        <v>1816000</v>
      </c>
      <c r="D1418">
        <v>1844000</v>
      </c>
      <c r="E1418">
        <v>1876000</v>
      </c>
      <c r="F1418">
        <v>1831000</v>
      </c>
      <c r="G1418">
        <v>1880000</v>
      </c>
      <c r="H1418">
        <v>1927000</v>
      </c>
      <c r="I1418">
        <v>1607000</v>
      </c>
      <c r="J1418">
        <v>1492000</v>
      </c>
      <c r="K1418">
        <v>1428000</v>
      </c>
      <c r="L1418">
        <v>1227498</v>
      </c>
      <c r="M1418">
        <v>7681498</v>
      </c>
      <c r="N1418" s="2">
        <v>4.5861289905907467E-3</v>
      </c>
    </row>
    <row r="1419" spans="1:14" hidden="1" x14ac:dyDescent="0.25">
      <c r="A1419" t="s">
        <v>14</v>
      </c>
      <c r="B1419" t="s">
        <v>94</v>
      </c>
      <c r="C1419">
        <v>17823000</v>
      </c>
      <c r="D1419">
        <v>20349000</v>
      </c>
      <c r="E1419">
        <v>20288000</v>
      </c>
      <c r="F1419">
        <v>20905000</v>
      </c>
      <c r="G1419">
        <v>32423932</v>
      </c>
      <c r="H1419">
        <v>51701564</v>
      </c>
      <c r="I1419">
        <v>59573707</v>
      </c>
      <c r="J1419">
        <v>70173326</v>
      </c>
      <c r="K1419">
        <v>87766199</v>
      </c>
      <c r="L1419">
        <v>87438557</v>
      </c>
      <c r="M1419">
        <v>356653353</v>
      </c>
      <c r="N1419" s="2">
        <v>0.21293480539664211</v>
      </c>
    </row>
    <row r="1420" spans="1:14" hidden="1" x14ac:dyDescent="0.25">
      <c r="A1420" t="s">
        <v>14</v>
      </c>
      <c r="B1420" t="s">
        <v>95</v>
      </c>
      <c r="C1420">
        <v>2213972</v>
      </c>
      <c r="D1420">
        <v>1713242</v>
      </c>
      <c r="E1420">
        <v>1563563</v>
      </c>
      <c r="F1420">
        <v>1526467</v>
      </c>
      <c r="G1420">
        <v>1479090</v>
      </c>
      <c r="H1420">
        <v>1459223</v>
      </c>
      <c r="I1420">
        <v>1926053</v>
      </c>
      <c r="J1420">
        <v>1919747</v>
      </c>
      <c r="K1420">
        <v>595943</v>
      </c>
      <c r="L1420">
        <v>618552</v>
      </c>
      <c r="M1420">
        <v>6519518</v>
      </c>
      <c r="N1420" s="2">
        <v>3.892385379059944E-3</v>
      </c>
    </row>
    <row r="1421" spans="1:14" hidden="1" x14ac:dyDescent="0.25">
      <c r="A1421" t="s">
        <v>14</v>
      </c>
      <c r="B1421" t="s">
        <v>96</v>
      </c>
      <c r="C1421">
        <v>255000</v>
      </c>
      <c r="D1421">
        <v>93700</v>
      </c>
      <c r="E1421">
        <v>14400</v>
      </c>
      <c r="F1421">
        <v>8300</v>
      </c>
      <c r="G1421">
        <v>16700</v>
      </c>
      <c r="H1421">
        <v>1300</v>
      </c>
      <c r="I1421">
        <v>4200</v>
      </c>
      <c r="J1421">
        <v>0</v>
      </c>
      <c r="K1421">
        <v>0</v>
      </c>
      <c r="L1421">
        <v>0</v>
      </c>
      <c r="M1421">
        <v>5500</v>
      </c>
      <c r="N1421" s="2">
        <v>3.283696675863107E-6</v>
      </c>
    </row>
    <row r="1422" spans="1:14" hidden="1" x14ac:dyDescent="0.25">
      <c r="A1422" t="s">
        <v>14</v>
      </c>
      <c r="B1422" t="s">
        <v>97</v>
      </c>
      <c r="C1422">
        <v>16507960</v>
      </c>
      <c r="D1422">
        <v>22319148</v>
      </c>
      <c r="E1422">
        <v>22493671</v>
      </c>
      <c r="F1422">
        <v>28123789</v>
      </c>
      <c r="G1422">
        <v>24745487</v>
      </c>
      <c r="H1422">
        <v>22786106</v>
      </c>
      <c r="I1422">
        <v>23687721</v>
      </c>
      <c r="J1422">
        <v>22073398</v>
      </c>
      <c r="K1422">
        <v>19700000</v>
      </c>
      <c r="L1422">
        <v>19700000</v>
      </c>
      <c r="M1422">
        <v>107947225</v>
      </c>
      <c r="N1422" s="2">
        <v>6.4448353436572153E-2</v>
      </c>
    </row>
    <row r="1423" spans="1:14" hidden="1" x14ac:dyDescent="0.25">
      <c r="A1423" t="s">
        <v>14</v>
      </c>
      <c r="B1423" t="s">
        <v>98</v>
      </c>
      <c r="C1423">
        <v>31443325</v>
      </c>
      <c r="D1423">
        <v>57023774</v>
      </c>
      <c r="E1423">
        <v>2556429</v>
      </c>
      <c r="F1423">
        <v>611000</v>
      </c>
      <c r="G1423">
        <v>1485000</v>
      </c>
      <c r="H1423">
        <v>4200000</v>
      </c>
      <c r="I1423">
        <v>13243197</v>
      </c>
      <c r="J1423">
        <v>16592739</v>
      </c>
      <c r="K1423">
        <v>25859895</v>
      </c>
      <c r="L1423">
        <v>21500000</v>
      </c>
      <c r="M1423">
        <v>81395831</v>
      </c>
      <c r="N1423" s="2">
        <v>4.8596221760693677E-2</v>
      </c>
    </row>
    <row r="1424" spans="1:14" hidden="1" x14ac:dyDescent="0.25">
      <c r="A1424" t="s">
        <v>14</v>
      </c>
      <c r="B1424" t="s">
        <v>99</v>
      </c>
      <c r="C1424">
        <v>898437</v>
      </c>
      <c r="D1424">
        <v>903559</v>
      </c>
      <c r="E1424">
        <v>748297</v>
      </c>
      <c r="F1424">
        <v>840681</v>
      </c>
      <c r="G1424">
        <v>868255</v>
      </c>
      <c r="H1424">
        <v>1046634</v>
      </c>
      <c r="I1424">
        <v>805231</v>
      </c>
      <c r="J1424">
        <v>1163159</v>
      </c>
      <c r="K1424">
        <v>1115008</v>
      </c>
      <c r="L1424">
        <v>1110000</v>
      </c>
      <c r="M1424">
        <v>5240032</v>
      </c>
      <c r="N1424" s="2">
        <v>3.1284864836029652E-3</v>
      </c>
    </row>
    <row r="1425" spans="1:14" hidden="1" x14ac:dyDescent="0.25">
      <c r="A1425" t="s">
        <v>14</v>
      </c>
      <c r="B1425" t="s">
        <v>100</v>
      </c>
      <c r="G1425">
        <v>0</v>
      </c>
      <c r="H1425">
        <v>0</v>
      </c>
      <c r="I1425">
        <v>0</v>
      </c>
      <c r="J1425">
        <v>0</v>
      </c>
      <c r="K1425">
        <v>272295</v>
      </c>
      <c r="L1425">
        <v>300000</v>
      </c>
      <c r="M1425">
        <v>572295</v>
      </c>
      <c r="N1425" s="2">
        <v>3.4168057983874123E-4</v>
      </c>
    </row>
    <row r="1426" spans="1:14" hidden="1" x14ac:dyDescent="0.25">
      <c r="A1426" t="s">
        <v>14</v>
      </c>
      <c r="B1426" t="s">
        <v>101</v>
      </c>
      <c r="C1426">
        <v>9339291</v>
      </c>
      <c r="D1426">
        <v>9435214</v>
      </c>
      <c r="E1426">
        <v>9676697</v>
      </c>
      <c r="F1426">
        <v>9628824</v>
      </c>
      <c r="G1426">
        <v>8540130</v>
      </c>
      <c r="H1426">
        <v>8244628</v>
      </c>
      <c r="I1426">
        <v>10058228</v>
      </c>
      <c r="J1426">
        <v>9022286</v>
      </c>
      <c r="K1426">
        <v>7616284</v>
      </c>
      <c r="L1426">
        <v>5937320</v>
      </c>
      <c r="M1426">
        <v>40878746</v>
      </c>
      <c r="N1426" s="2">
        <v>2.4406073155209509E-2</v>
      </c>
    </row>
    <row r="1427" spans="1:14" hidden="1" x14ac:dyDescent="0.25">
      <c r="A1427" t="s">
        <v>14</v>
      </c>
      <c r="B1427" t="s">
        <v>102</v>
      </c>
      <c r="C1427">
        <v>5170000</v>
      </c>
      <c r="D1427">
        <v>5192800</v>
      </c>
      <c r="E1427">
        <v>4515600</v>
      </c>
      <c r="F1427">
        <v>4682600</v>
      </c>
      <c r="G1427">
        <v>4801300</v>
      </c>
      <c r="H1427">
        <v>4846100</v>
      </c>
      <c r="I1427">
        <v>5736200</v>
      </c>
      <c r="J1427">
        <v>4118400</v>
      </c>
      <c r="K1427">
        <v>4057800</v>
      </c>
      <c r="L1427">
        <v>4370300</v>
      </c>
      <c r="M1427">
        <v>23128800</v>
      </c>
      <c r="N1427" s="2">
        <v>1.3808720668491391E-2</v>
      </c>
    </row>
    <row r="1428" spans="1:14" hidden="1" x14ac:dyDescent="0.25">
      <c r="A1428" t="s">
        <v>14</v>
      </c>
      <c r="B1428" t="s">
        <v>103</v>
      </c>
      <c r="C1428">
        <v>121873</v>
      </c>
      <c r="D1428">
        <v>208770</v>
      </c>
      <c r="E1428">
        <v>3500000</v>
      </c>
      <c r="F1428">
        <v>27700000</v>
      </c>
      <c r="G1428">
        <v>342924</v>
      </c>
      <c r="H1428">
        <v>189131</v>
      </c>
      <c r="I1428">
        <v>589684</v>
      </c>
      <c r="J1428">
        <v>900561</v>
      </c>
      <c r="K1428">
        <v>549714</v>
      </c>
      <c r="L1428">
        <v>47577</v>
      </c>
      <c r="M1428">
        <v>2276667</v>
      </c>
      <c r="N1428" s="2">
        <v>1.3592516108994969E-3</v>
      </c>
    </row>
    <row r="1429" spans="1:14" hidden="1" x14ac:dyDescent="0.25">
      <c r="A1429" t="s">
        <v>14</v>
      </c>
      <c r="B1429" t="s">
        <v>104</v>
      </c>
      <c r="C1429">
        <v>0</v>
      </c>
      <c r="D1429">
        <v>61154</v>
      </c>
      <c r="E1429">
        <v>155153</v>
      </c>
      <c r="F1429">
        <v>50369</v>
      </c>
      <c r="G1429">
        <v>516200</v>
      </c>
      <c r="H1429">
        <v>927847</v>
      </c>
      <c r="I1429">
        <v>468164</v>
      </c>
      <c r="J1429">
        <v>774725</v>
      </c>
      <c r="K1429">
        <v>897057</v>
      </c>
      <c r="L1429">
        <v>542049</v>
      </c>
      <c r="M1429">
        <v>3609842</v>
      </c>
      <c r="N1429" s="2">
        <v>2.1552047592347332E-3</v>
      </c>
    </row>
    <row r="1430" spans="1:14" hidden="1" x14ac:dyDescent="0.25">
      <c r="A1430" t="s">
        <v>14</v>
      </c>
      <c r="B1430" t="s">
        <v>105</v>
      </c>
      <c r="C1430">
        <v>8633</v>
      </c>
      <c r="D1430">
        <v>6190</v>
      </c>
      <c r="E1430">
        <v>3324</v>
      </c>
      <c r="F1430">
        <v>4985</v>
      </c>
      <c r="G1430">
        <v>1451</v>
      </c>
      <c r="H1430">
        <v>3182</v>
      </c>
      <c r="I1430">
        <v>9912</v>
      </c>
      <c r="J1430">
        <v>8024</v>
      </c>
      <c r="K1430">
        <v>6491</v>
      </c>
      <c r="L1430">
        <v>7852</v>
      </c>
      <c r="M1430">
        <v>35461</v>
      </c>
      <c r="N1430" s="2">
        <v>2.117148505868757E-5</v>
      </c>
    </row>
    <row r="1431" spans="1:14" hidden="1" x14ac:dyDescent="0.25">
      <c r="A1431" t="s">
        <v>14</v>
      </c>
      <c r="B1431" t="s">
        <v>106</v>
      </c>
      <c r="C1431">
        <v>30223</v>
      </c>
      <c r="D1431">
        <v>25288</v>
      </c>
      <c r="E1431">
        <v>31156</v>
      </c>
      <c r="F1431">
        <v>24689</v>
      </c>
      <c r="G1431">
        <v>57024</v>
      </c>
      <c r="H1431">
        <v>75375</v>
      </c>
      <c r="I1431">
        <v>145189</v>
      </c>
      <c r="J1431">
        <v>92936</v>
      </c>
      <c r="K1431">
        <v>101047</v>
      </c>
      <c r="L1431">
        <v>97495</v>
      </c>
      <c r="M1431">
        <v>512042</v>
      </c>
      <c r="N1431" s="2">
        <v>3.0570738423678129E-4</v>
      </c>
    </row>
    <row r="1432" spans="1:14" hidden="1" x14ac:dyDescent="0.25">
      <c r="A1432" t="s">
        <v>14</v>
      </c>
      <c r="B1432" t="s">
        <v>107</v>
      </c>
      <c r="C1432">
        <v>5166000</v>
      </c>
      <c r="D1432">
        <v>5322000</v>
      </c>
      <c r="E1432">
        <v>5589000</v>
      </c>
      <c r="F1432">
        <v>5398000</v>
      </c>
      <c r="G1432">
        <v>5432000</v>
      </c>
      <c r="H1432">
        <v>5523000</v>
      </c>
      <c r="I1432">
        <v>5651000</v>
      </c>
      <c r="J1432">
        <v>5574000</v>
      </c>
      <c r="K1432">
        <v>5570000</v>
      </c>
      <c r="L1432">
        <v>5679000</v>
      </c>
      <c r="M1432">
        <v>27997000</v>
      </c>
      <c r="N1432" s="2">
        <v>1.6715210151661709E-2</v>
      </c>
    </row>
    <row r="1433" spans="1:14" hidden="1" x14ac:dyDescent="0.25">
      <c r="A1433" t="s">
        <v>14</v>
      </c>
      <c r="B1433" t="s">
        <v>108</v>
      </c>
      <c r="C1433">
        <v>760114</v>
      </c>
      <c r="D1433">
        <v>1044360</v>
      </c>
      <c r="E1433">
        <v>2076000</v>
      </c>
      <c r="F1433">
        <v>3022000</v>
      </c>
      <c r="G1433">
        <v>4768000</v>
      </c>
      <c r="H1433">
        <v>4117000</v>
      </c>
      <c r="I1433">
        <v>4730690</v>
      </c>
      <c r="J1433">
        <v>5127000</v>
      </c>
      <c r="K1433">
        <v>5227000</v>
      </c>
      <c r="L1433">
        <v>5488000</v>
      </c>
      <c r="M1433">
        <v>24689690</v>
      </c>
      <c r="N1433" s="2">
        <v>1.474062781474374E-2</v>
      </c>
    </row>
    <row r="1434" spans="1:14" hidden="1" x14ac:dyDescent="0.25">
      <c r="A1434" t="s">
        <v>14</v>
      </c>
      <c r="B1434" t="s">
        <v>109</v>
      </c>
      <c r="C1434">
        <v>776000</v>
      </c>
      <c r="D1434">
        <v>616000</v>
      </c>
      <c r="E1434">
        <v>1161705</v>
      </c>
      <c r="F1434">
        <v>1435195</v>
      </c>
      <c r="G1434">
        <v>1429600</v>
      </c>
      <c r="H1434">
        <v>1823570</v>
      </c>
      <c r="I1434">
        <v>2034360</v>
      </c>
      <c r="J1434">
        <v>1962500</v>
      </c>
      <c r="K1434">
        <v>1441987</v>
      </c>
      <c r="L1434">
        <v>1455554</v>
      </c>
      <c r="M1434">
        <v>8717971</v>
      </c>
      <c r="N1434" s="2">
        <v>5.2049404350856306E-3</v>
      </c>
    </row>
    <row r="1435" spans="1:14" hidden="1" x14ac:dyDescent="0.25">
      <c r="A1435" t="s">
        <v>14</v>
      </c>
      <c r="B1435" t="s">
        <v>110</v>
      </c>
      <c r="C1435">
        <v>0</v>
      </c>
      <c r="D1435">
        <v>0</v>
      </c>
      <c r="E1435">
        <v>40</v>
      </c>
      <c r="F1435">
        <v>262000</v>
      </c>
      <c r="G1435">
        <v>234000</v>
      </c>
      <c r="H1435">
        <v>1524000</v>
      </c>
      <c r="I1435">
        <v>1601000</v>
      </c>
      <c r="J1435">
        <v>1207000</v>
      </c>
      <c r="K1435">
        <v>839000</v>
      </c>
      <c r="L1435">
        <v>0</v>
      </c>
      <c r="M1435">
        <v>5171000</v>
      </c>
      <c r="N1435" s="2">
        <v>3.0872719110705679E-3</v>
      </c>
    </row>
    <row r="1436" spans="1:14" hidden="1" x14ac:dyDescent="0.25">
      <c r="A1436" t="s">
        <v>14</v>
      </c>
      <c r="B1436" t="s">
        <v>111</v>
      </c>
      <c r="C1436">
        <v>28434</v>
      </c>
      <c r="D1436">
        <v>39977</v>
      </c>
      <c r="E1436">
        <v>25641</v>
      </c>
      <c r="F1436">
        <v>205</v>
      </c>
      <c r="G1436">
        <v>73</v>
      </c>
      <c r="H1436">
        <v>12</v>
      </c>
      <c r="I1436">
        <v>7</v>
      </c>
      <c r="J1436">
        <v>0</v>
      </c>
      <c r="K1436">
        <v>0</v>
      </c>
      <c r="L1436">
        <v>0</v>
      </c>
      <c r="M1436">
        <v>19</v>
      </c>
      <c r="N1436" s="2">
        <v>1.134367942570891E-8</v>
      </c>
    </row>
    <row r="1437" spans="1:14" hidden="1" x14ac:dyDescent="0.25">
      <c r="A1437" t="s">
        <v>14</v>
      </c>
      <c r="B1437" t="s">
        <v>112</v>
      </c>
      <c r="C1437">
        <v>1521150</v>
      </c>
      <c r="D1437">
        <v>795562</v>
      </c>
      <c r="E1437">
        <v>1091442</v>
      </c>
      <c r="F1437">
        <v>518550</v>
      </c>
      <c r="G1437">
        <v>989156</v>
      </c>
      <c r="H1437">
        <v>1719144</v>
      </c>
      <c r="I1437">
        <v>678138</v>
      </c>
      <c r="J1437">
        <v>2255480</v>
      </c>
      <c r="K1437">
        <v>2399680</v>
      </c>
      <c r="L1437">
        <v>2764873</v>
      </c>
      <c r="M1437">
        <v>9817315</v>
      </c>
      <c r="N1437" s="2">
        <v>5.8612881148001851E-3</v>
      </c>
    </row>
    <row r="1438" spans="1:14" hidden="1" x14ac:dyDescent="0.25">
      <c r="A1438" t="s">
        <v>14</v>
      </c>
      <c r="B1438" t="s">
        <v>113</v>
      </c>
      <c r="C1438">
        <v>116258</v>
      </c>
      <c r="D1438">
        <v>122702</v>
      </c>
      <c r="E1438">
        <v>133266</v>
      </c>
      <c r="F1438">
        <v>483695</v>
      </c>
      <c r="G1438">
        <v>272908</v>
      </c>
      <c r="H1438">
        <v>352096</v>
      </c>
      <c r="I1438">
        <v>399712</v>
      </c>
      <c r="J1438">
        <v>154870</v>
      </c>
      <c r="K1438">
        <v>16438</v>
      </c>
      <c r="L1438">
        <v>0</v>
      </c>
      <c r="M1438">
        <v>923116</v>
      </c>
      <c r="N1438" s="2">
        <v>5.5113326193382693E-4</v>
      </c>
    </row>
    <row r="1439" spans="1:14" hidden="1" x14ac:dyDescent="0.25">
      <c r="A1439" t="s">
        <v>14</v>
      </c>
      <c r="B1439" t="s">
        <v>114</v>
      </c>
      <c r="C1439">
        <v>2285949</v>
      </c>
      <c r="D1439">
        <v>2346160</v>
      </c>
      <c r="E1439">
        <v>2346160</v>
      </c>
      <c r="F1439">
        <v>991810</v>
      </c>
      <c r="G1439">
        <v>340000</v>
      </c>
      <c r="H1439">
        <v>242099</v>
      </c>
      <c r="I1439">
        <v>89699</v>
      </c>
      <c r="J1439">
        <v>50000</v>
      </c>
      <c r="K1439">
        <v>0</v>
      </c>
      <c r="L1439">
        <v>0</v>
      </c>
      <c r="M1439">
        <v>381798</v>
      </c>
      <c r="N1439" s="2">
        <v>2.2794705880930591E-4</v>
      </c>
    </row>
    <row r="1440" spans="1:14" hidden="1" x14ac:dyDescent="0.25">
      <c r="A1440" t="s">
        <v>14</v>
      </c>
      <c r="B1440" t="s">
        <v>115</v>
      </c>
      <c r="C1440">
        <v>100000</v>
      </c>
      <c r="D1440">
        <v>482000</v>
      </c>
      <c r="E1440">
        <v>1100000</v>
      </c>
      <c r="F1440">
        <v>1100000</v>
      </c>
      <c r="G1440">
        <v>1400000</v>
      </c>
      <c r="H1440">
        <v>2800000</v>
      </c>
      <c r="I1440">
        <v>3569700</v>
      </c>
      <c r="J1440">
        <v>3200000</v>
      </c>
      <c r="K1440">
        <v>3120000</v>
      </c>
      <c r="L1440">
        <v>3300000</v>
      </c>
      <c r="M1440">
        <v>15989700</v>
      </c>
      <c r="N1440" s="2">
        <v>9.5464226796451498E-3</v>
      </c>
    </row>
    <row r="1441" spans="1:14" hidden="1" x14ac:dyDescent="0.25">
      <c r="A1441" t="s">
        <v>16</v>
      </c>
      <c r="B1441" t="s">
        <v>124</v>
      </c>
      <c r="C1441">
        <v>412692</v>
      </c>
      <c r="D1441">
        <v>434758</v>
      </c>
      <c r="E1441">
        <v>442719</v>
      </c>
      <c r="F1441">
        <v>430388</v>
      </c>
      <c r="G1441">
        <v>424996</v>
      </c>
      <c r="H1441">
        <v>431239</v>
      </c>
      <c r="I1441">
        <v>439600</v>
      </c>
      <c r="J1441">
        <v>438434</v>
      </c>
      <c r="K1441">
        <v>309804</v>
      </c>
      <c r="L1441">
        <v>338239</v>
      </c>
      <c r="M1441">
        <v>1957316</v>
      </c>
      <c r="N1441" s="2">
        <v>6.0809219538082056E-3</v>
      </c>
    </row>
    <row r="1442" spans="1:14" hidden="1" x14ac:dyDescent="0.25">
      <c r="A1442" t="s">
        <v>16</v>
      </c>
      <c r="B1442" t="s">
        <v>83</v>
      </c>
      <c r="C1442">
        <v>1859726</v>
      </c>
      <c r="D1442">
        <v>1777409</v>
      </c>
      <c r="E1442">
        <v>1704991</v>
      </c>
      <c r="F1442">
        <v>1645963</v>
      </c>
      <c r="G1442">
        <v>1633904</v>
      </c>
      <c r="H1442">
        <v>1487555</v>
      </c>
      <c r="I1442">
        <v>1574240</v>
      </c>
      <c r="J1442">
        <v>1569591</v>
      </c>
      <c r="K1442">
        <v>1582947</v>
      </c>
      <c r="L1442">
        <v>1558529</v>
      </c>
      <c r="M1442">
        <v>7772862</v>
      </c>
      <c r="N1442" s="2">
        <v>2.4148460023686289E-2</v>
      </c>
    </row>
    <row r="1443" spans="1:14" hidden="1" x14ac:dyDescent="0.25">
      <c r="A1443" t="s">
        <v>16</v>
      </c>
      <c r="B1443" t="s">
        <v>125</v>
      </c>
      <c r="C1443">
        <v>54890</v>
      </c>
      <c r="D1443">
        <v>53290</v>
      </c>
      <c r="E1443">
        <v>50357</v>
      </c>
      <c r="F1443">
        <v>53303</v>
      </c>
      <c r="G1443">
        <v>36811</v>
      </c>
      <c r="H1443">
        <v>25983</v>
      </c>
      <c r="I1443">
        <v>44710</v>
      </c>
      <c r="J1443">
        <v>32693</v>
      </c>
      <c r="K1443">
        <v>31492</v>
      </c>
      <c r="L1443">
        <v>25724</v>
      </c>
      <c r="M1443">
        <v>160602</v>
      </c>
      <c r="N1443" s="2">
        <v>4.9895276369554299E-4</v>
      </c>
    </row>
    <row r="1444" spans="1:14" hidden="1" x14ac:dyDescent="0.25">
      <c r="A1444" t="s">
        <v>16</v>
      </c>
      <c r="B1444" t="s">
        <v>126</v>
      </c>
      <c r="C1444">
        <v>890217</v>
      </c>
      <c r="D1444">
        <v>912700</v>
      </c>
      <c r="E1444">
        <v>931427</v>
      </c>
      <c r="F1444">
        <v>960643</v>
      </c>
      <c r="G1444">
        <v>971420</v>
      </c>
      <c r="H1444">
        <v>981016</v>
      </c>
      <c r="I1444">
        <v>1011101</v>
      </c>
      <c r="J1444">
        <v>1365005</v>
      </c>
      <c r="K1444">
        <v>1548000</v>
      </c>
      <c r="L1444">
        <v>1561222</v>
      </c>
      <c r="M1444">
        <v>6466344</v>
      </c>
      <c r="N1444" s="2">
        <v>2.0089414887772831E-2</v>
      </c>
    </row>
    <row r="1445" spans="1:14" hidden="1" x14ac:dyDescent="0.25">
      <c r="A1445" t="s">
        <v>16</v>
      </c>
      <c r="B1445" t="s">
        <v>84</v>
      </c>
      <c r="C1445">
        <v>159660</v>
      </c>
      <c r="D1445">
        <v>157191</v>
      </c>
      <c r="E1445">
        <v>131238</v>
      </c>
      <c r="F1445">
        <v>118253</v>
      </c>
      <c r="G1445">
        <v>106649</v>
      </c>
      <c r="H1445">
        <v>125536</v>
      </c>
      <c r="I1445">
        <v>131508</v>
      </c>
      <c r="J1445">
        <v>67690</v>
      </c>
      <c r="K1445">
        <v>17858</v>
      </c>
      <c r="L1445">
        <v>36343</v>
      </c>
      <c r="M1445">
        <v>378935</v>
      </c>
      <c r="N1445" s="2">
        <v>1.177262210377023E-3</v>
      </c>
    </row>
    <row r="1446" spans="1:14" hidden="1" x14ac:dyDescent="0.25">
      <c r="A1446" t="s">
        <v>16</v>
      </c>
      <c r="B1446" t="s">
        <v>85</v>
      </c>
      <c r="C1446">
        <v>1436400</v>
      </c>
      <c r="D1446">
        <v>1304100</v>
      </c>
      <c r="E1446">
        <v>962000</v>
      </c>
      <c r="F1446">
        <v>772200</v>
      </c>
      <c r="G1446">
        <v>793000</v>
      </c>
      <c r="H1446">
        <v>801700</v>
      </c>
      <c r="I1446">
        <v>659000</v>
      </c>
      <c r="J1446">
        <v>650200</v>
      </c>
      <c r="K1446">
        <v>685100</v>
      </c>
      <c r="L1446">
        <v>771700</v>
      </c>
      <c r="M1446">
        <v>3567700</v>
      </c>
      <c r="N1446" s="2">
        <v>1.108400751570086E-2</v>
      </c>
    </row>
    <row r="1447" spans="1:14" hidden="1" x14ac:dyDescent="0.25">
      <c r="A1447" t="s">
        <v>16</v>
      </c>
      <c r="B1447" t="s">
        <v>127</v>
      </c>
      <c r="C1447">
        <v>52000</v>
      </c>
      <c r="D1447">
        <v>75000</v>
      </c>
      <c r="E1447">
        <v>93000</v>
      </c>
      <c r="F1447">
        <v>73000</v>
      </c>
      <c r="G1447">
        <v>74000</v>
      </c>
      <c r="H1447">
        <v>80600</v>
      </c>
      <c r="I1447">
        <v>65900</v>
      </c>
      <c r="J1447">
        <v>53200</v>
      </c>
      <c r="K1447">
        <v>47500</v>
      </c>
      <c r="L1447">
        <v>40000</v>
      </c>
      <c r="M1447">
        <v>287200</v>
      </c>
      <c r="N1447" s="2">
        <v>8.9226307102875397E-4</v>
      </c>
    </row>
    <row r="1448" spans="1:14" hidden="1" x14ac:dyDescent="0.25">
      <c r="A1448" t="s">
        <v>16</v>
      </c>
      <c r="B1448" t="s">
        <v>116</v>
      </c>
      <c r="C1448">
        <v>2780556</v>
      </c>
      <c r="D1448">
        <v>2967364</v>
      </c>
      <c r="E1448">
        <v>2858238</v>
      </c>
      <c r="F1448">
        <v>2880035</v>
      </c>
      <c r="G1448">
        <v>3208707</v>
      </c>
      <c r="H1448">
        <v>3211882</v>
      </c>
      <c r="I1448">
        <v>2923204</v>
      </c>
      <c r="J1448">
        <v>2853771</v>
      </c>
      <c r="K1448">
        <v>3154493</v>
      </c>
      <c r="L1448">
        <v>3157762</v>
      </c>
      <c r="M1448">
        <v>15301112</v>
      </c>
      <c r="N1448" s="2">
        <v>4.7536967908338862E-2</v>
      </c>
    </row>
    <row r="1449" spans="1:14" hidden="1" x14ac:dyDescent="0.25">
      <c r="A1449" t="s">
        <v>16</v>
      </c>
      <c r="B1449" t="s">
        <v>86</v>
      </c>
      <c r="C1449">
        <v>23534000</v>
      </c>
      <c r="D1449">
        <v>26534000</v>
      </c>
      <c r="E1449">
        <v>28316671</v>
      </c>
      <c r="F1449">
        <v>31518147</v>
      </c>
      <c r="G1449">
        <v>32698082</v>
      </c>
      <c r="H1449">
        <v>35189100</v>
      </c>
      <c r="I1449">
        <v>36447290</v>
      </c>
      <c r="J1449">
        <v>35043604</v>
      </c>
      <c r="K1449">
        <v>37080401</v>
      </c>
      <c r="L1449">
        <v>38502600</v>
      </c>
      <c r="M1449">
        <v>182262995</v>
      </c>
      <c r="N1449" s="2">
        <v>0.56624839712255726</v>
      </c>
    </row>
    <row r="1450" spans="1:14" hidden="1" x14ac:dyDescent="0.25">
      <c r="A1450" t="s">
        <v>16</v>
      </c>
      <c r="B1450" t="s">
        <v>128</v>
      </c>
      <c r="C1450">
        <v>400061</v>
      </c>
      <c r="D1450">
        <v>318459</v>
      </c>
      <c r="E1450">
        <v>333178</v>
      </c>
      <c r="F1450">
        <v>279365</v>
      </c>
      <c r="G1450">
        <v>355000</v>
      </c>
      <c r="H1450">
        <v>298000</v>
      </c>
      <c r="I1450">
        <v>317000</v>
      </c>
      <c r="J1450">
        <v>256000</v>
      </c>
      <c r="K1450">
        <v>268000</v>
      </c>
      <c r="L1450">
        <v>260000</v>
      </c>
      <c r="M1450">
        <v>1399000</v>
      </c>
      <c r="N1450" s="2">
        <v>4.3463650291407623E-3</v>
      </c>
    </row>
    <row r="1451" spans="1:14" hidden="1" x14ac:dyDescent="0.25">
      <c r="A1451" t="s">
        <v>16</v>
      </c>
      <c r="B1451" t="s">
        <v>91</v>
      </c>
      <c r="C1451">
        <v>349000</v>
      </c>
      <c r="D1451">
        <v>343000</v>
      </c>
      <c r="E1451">
        <v>415000</v>
      </c>
      <c r="F1451">
        <v>415000</v>
      </c>
      <c r="G1451">
        <v>424600</v>
      </c>
      <c r="H1451">
        <v>430000</v>
      </c>
      <c r="I1451">
        <v>380000</v>
      </c>
      <c r="J1451">
        <v>402000</v>
      </c>
      <c r="K1451">
        <v>417000</v>
      </c>
      <c r="L1451">
        <v>440000</v>
      </c>
      <c r="M1451">
        <v>2069000</v>
      </c>
      <c r="N1451" s="2">
        <v>6.4278979594655011E-3</v>
      </c>
    </row>
    <row r="1452" spans="1:14" hidden="1" x14ac:dyDescent="0.25">
      <c r="A1452" t="s">
        <v>16</v>
      </c>
      <c r="B1452" t="s">
        <v>117</v>
      </c>
      <c r="C1452">
        <v>410413</v>
      </c>
      <c r="D1452">
        <v>492368</v>
      </c>
      <c r="E1452">
        <v>530683</v>
      </c>
      <c r="F1452">
        <v>541379</v>
      </c>
      <c r="G1452">
        <v>546806</v>
      </c>
      <c r="H1452">
        <v>549995</v>
      </c>
      <c r="I1452">
        <v>528868</v>
      </c>
      <c r="J1452">
        <v>507934</v>
      </c>
      <c r="K1452">
        <v>529056</v>
      </c>
      <c r="L1452">
        <v>520000</v>
      </c>
      <c r="M1452">
        <v>2635853</v>
      </c>
      <c r="N1452" s="2">
        <v>8.188977341783964E-3</v>
      </c>
    </row>
    <row r="1453" spans="1:14" hidden="1" x14ac:dyDescent="0.25">
      <c r="A1453" t="s">
        <v>16</v>
      </c>
      <c r="B1453" t="s">
        <v>92</v>
      </c>
      <c r="C1453">
        <v>38000</v>
      </c>
      <c r="D1453">
        <v>36600</v>
      </c>
      <c r="E1453">
        <v>38100</v>
      </c>
      <c r="F1453">
        <v>28519</v>
      </c>
      <c r="G1453">
        <v>33010</v>
      </c>
      <c r="H1453">
        <v>33364</v>
      </c>
      <c r="I1453">
        <v>42867</v>
      </c>
      <c r="J1453">
        <v>43908</v>
      </c>
      <c r="K1453">
        <v>37566</v>
      </c>
      <c r="L1453">
        <v>39239</v>
      </c>
      <c r="M1453">
        <v>196944</v>
      </c>
      <c r="N1453" s="2">
        <v>6.118588379550381E-4</v>
      </c>
    </row>
    <row r="1454" spans="1:14" hidden="1" x14ac:dyDescent="0.25">
      <c r="A1454" t="s">
        <v>16</v>
      </c>
      <c r="B1454" t="s">
        <v>93</v>
      </c>
      <c r="C1454">
        <v>165050</v>
      </c>
      <c r="D1454">
        <v>169480</v>
      </c>
      <c r="E1454">
        <v>173260</v>
      </c>
      <c r="F1454">
        <v>179993</v>
      </c>
      <c r="G1454">
        <v>181189</v>
      </c>
      <c r="H1454">
        <v>181630</v>
      </c>
      <c r="I1454">
        <v>184800</v>
      </c>
      <c r="J1454">
        <v>182100</v>
      </c>
      <c r="K1454">
        <v>189036</v>
      </c>
      <c r="L1454">
        <v>183775</v>
      </c>
      <c r="M1454">
        <v>921341</v>
      </c>
      <c r="N1454" s="2">
        <v>2.8623904948631728E-3</v>
      </c>
    </row>
    <row r="1455" spans="1:14" hidden="1" x14ac:dyDescent="0.25">
      <c r="A1455" t="s">
        <v>16</v>
      </c>
      <c r="B1455" t="s">
        <v>129</v>
      </c>
      <c r="C1455">
        <v>787071</v>
      </c>
      <c r="D1455">
        <v>784132</v>
      </c>
      <c r="E1455">
        <v>698765</v>
      </c>
      <c r="F1455">
        <v>724704</v>
      </c>
      <c r="G1455">
        <v>700080</v>
      </c>
      <c r="H1455">
        <v>763618</v>
      </c>
      <c r="I1455">
        <v>733523</v>
      </c>
      <c r="J1455">
        <v>689995</v>
      </c>
      <c r="K1455">
        <v>728104</v>
      </c>
      <c r="L1455">
        <v>729813</v>
      </c>
      <c r="M1455">
        <v>3645053</v>
      </c>
      <c r="N1455" s="2">
        <v>1.1324325152655201E-2</v>
      </c>
    </row>
    <row r="1456" spans="1:14" hidden="1" x14ac:dyDescent="0.25">
      <c r="A1456" t="s">
        <v>16</v>
      </c>
      <c r="B1456" t="s">
        <v>97</v>
      </c>
      <c r="C1456">
        <v>1720427</v>
      </c>
      <c r="D1456">
        <v>1667300</v>
      </c>
      <c r="E1456">
        <v>2026803</v>
      </c>
      <c r="F1456">
        <v>2354949</v>
      </c>
      <c r="G1456">
        <v>2896629</v>
      </c>
      <c r="H1456">
        <v>3400618</v>
      </c>
      <c r="I1456">
        <v>3696181</v>
      </c>
      <c r="J1456">
        <v>3635089</v>
      </c>
      <c r="K1456">
        <v>3619237</v>
      </c>
      <c r="L1456">
        <v>3583800</v>
      </c>
      <c r="M1456">
        <v>17934925</v>
      </c>
      <c r="N1456" s="2">
        <v>5.5719607448364822E-2</v>
      </c>
    </row>
    <row r="1457" spans="1:14" hidden="1" x14ac:dyDescent="0.25">
      <c r="A1457" t="s">
        <v>16</v>
      </c>
      <c r="B1457" t="s">
        <v>98</v>
      </c>
      <c r="C1457">
        <v>254150</v>
      </c>
      <c r="D1457">
        <v>256602</v>
      </c>
      <c r="E1457">
        <v>264474</v>
      </c>
      <c r="F1457">
        <v>257149</v>
      </c>
      <c r="G1457">
        <v>245483</v>
      </c>
      <c r="H1457">
        <v>218816</v>
      </c>
      <c r="I1457">
        <v>242043</v>
      </c>
      <c r="J1457">
        <v>250393</v>
      </c>
      <c r="K1457">
        <v>220100</v>
      </c>
      <c r="L1457">
        <v>200600</v>
      </c>
      <c r="M1457">
        <v>1131952</v>
      </c>
      <c r="N1457" s="2">
        <v>3.5167094978312682E-3</v>
      </c>
    </row>
    <row r="1458" spans="1:14" hidden="1" x14ac:dyDescent="0.25">
      <c r="A1458" t="s">
        <v>16</v>
      </c>
      <c r="B1458" t="s">
        <v>99</v>
      </c>
      <c r="C1458">
        <v>337000</v>
      </c>
      <c r="D1458">
        <v>350000</v>
      </c>
      <c r="E1458">
        <v>354400</v>
      </c>
      <c r="F1458">
        <v>353232</v>
      </c>
      <c r="G1458">
        <v>341207</v>
      </c>
      <c r="H1458">
        <v>337608</v>
      </c>
      <c r="I1458">
        <v>301033</v>
      </c>
      <c r="J1458">
        <v>275717</v>
      </c>
      <c r="K1458">
        <v>376800</v>
      </c>
      <c r="L1458">
        <v>563000</v>
      </c>
      <c r="M1458">
        <v>1854158</v>
      </c>
      <c r="N1458" s="2">
        <v>5.7604342313806838E-3</v>
      </c>
    </row>
    <row r="1459" spans="1:14" hidden="1" x14ac:dyDescent="0.25">
      <c r="A1459" t="s">
        <v>16</v>
      </c>
      <c r="B1459" t="s">
        <v>102</v>
      </c>
      <c r="C1459">
        <v>249000</v>
      </c>
      <c r="D1459">
        <v>250159</v>
      </c>
      <c r="E1459">
        <v>207849</v>
      </c>
      <c r="F1459">
        <v>219192</v>
      </c>
      <c r="G1459">
        <v>240171</v>
      </c>
      <c r="H1459">
        <v>255090</v>
      </c>
      <c r="I1459">
        <v>258400</v>
      </c>
      <c r="J1459">
        <v>263300</v>
      </c>
      <c r="K1459">
        <v>265000</v>
      </c>
      <c r="L1459">
        <v>262500</v>
      </c>
      <c r="M1459">
        <v>1304290</v>
      </c>
      <c r="N1459" s="2">
        <v>4.0521232622287382E-3</v>
      </c>
    </row>
    <row r="1460" spans="1:14" hidden="1" x14ac:dyDescent="0.25">
      <c r="A1460" t="s">
        <v>16</v>
      </c>
      <c r="B1460" t="s">
        <v>103</v>
      </c>
      <c r="C1460">
        <v>121900</v>
      </c>
      <c r="D1460">
        <v>290000</v>
      </c>
      <c r="E1460">
        <v>440000</v>
      </c>
      <c r="F1460">
        <v>440000</v>
      </c>
      <c r="G1460">
        <v>620000</v>
      </c>
      <c r="H1460">
        <v>760000</v>
      </c>
      <c r="I1460">
        <v>760000</v>
      </c>
      <c r="J1460">
        <v>800000</v>
      </c>
      <c r="K1460">
        <v>800000</v>
      </c>
      <c r="L1460">
        <v>901000</v>
      </c>
      <c r="M1460">
        <v>4021000</v>
      </c>
      <c r="N1460" s="2">
        <v>1.249230434751609E-2</v>
      </c>
    </row>
    <row r="1461" spans="1:14" hidden="1" x14ac:dyDescent="0.25">
      <c r="A1461" t="s">
        <v>16</v>
      </c>
      <c r="B1461" t="s">
        <v>104</v>
      </c>
      <c r="C1461">
        <v>74813</v>
      </c>
      <c r="D1461">
        <v>47951</v>
      </c>
      <c r="E1461">
        <v>42767</v>
      </c>
      <c r="F1461">
        <v>42499</v>
      </c>
      <c r="G1461">
        <v>38915</v>
      </c>
      <c r="H1461">
        <v>39379</v>
      </c>
      <c r="I1461">
        <v>40163</v>
      </c>
      <c r="J1461">
        <v>36522</v>
      </c>
      <c r="K1461">
        <v>37208</v>
      </c>
      <c r="L1461">
        <v>45214</v>
      </c>
      <c r="M1461">
        <v>198486</v>
      </c>
      <c r="N1461" s="2">
        <v>6.1664947046035257E-4</v>
      </c>
    </row>
    <row r="1462" spans="1:14" hidden="1" x14ac:dyDescent="0.25">
      <c r="A1462" t="s">
        <v>16</v>
      </c>
      <c r="B1462" t="s">
        <v>105</v>
      </c>
      <c r="C1462">
        <v>562000</v>
      </c>
      <c r="D1462">
        <v>562000</v>
      </c>
      <c r="E1462">
        <v>566900</v>
      </c>
      <c r="F1462">
        <v>558386</v>
      </c>
      <c r="G1462">
        <v>571125</v>
      </c>
      <c r="H1462">
        <v>577495</v>
      </c>
      <c r="I1462">
        <v>571125</v>
      </c>
      <c r="J1462">
        <v>569002</v>
      </c>
      <c r="K1462">
        <v>569002</v>
      </c>
      <c r="L1462">
        <v>562633</v>
      </c>
      <c r="M1462">
        <v>2849257</v>
      </c>
      <c r="N1462" s="2">
        <v>8.8519735409825027E-3</v>
      </c>
    </row>
    <row r="1463" spans="1:14" hidden="1" x14ac:dyDescent="0.25">
      <c r="A1463" t="s">
        <v>16</v>
      </c>
      <c r="B1463" t="s">
        <v>130</v>
      </c>
      <c r="C1463">
        <v>86300</v>
      </c>
      <c r="D1463">
        <v>81000</v>
      </c>
      <c r="E1463">
        <v>800</v>
      </c>
      <c r="F1463">
        <v>27700</v>
      </c>
      <c r="G1463">
        <v>36300</v>
      </c>
      <c r="H1463">
        <v>29300</v>
      </c>
      <c r="I1463">
        <v>41300</v>
      </c>
      <c r="J1463">
        <v>81100</v>
      </c>
      <c r="K1463">
        <v>70600</v>
      </c>
      <c r="L1463">
        <v>46700</v>
      </c>
      <c r="M1463">
        <v>269000</v>
      </c>
      <c r="N1463" s="2">
        <v>8.3571993769754468E-4</v>
      </c>
    </row>
    <row r="1464" spans="1:14" hidden="1" x14ac:dyDescent="0.25">
      <c r="A1464" t="s">
        <v>16</v>
      </c>
      <c r="B1464" t="s">
        <v>131</v>
      </c>
      <c r="C1464">
        <v>325000</v>
      </c>
      <c r="D1464">
        <v>324000</v>
      </c>
      <c r="E1464">
        <v>327000</v>
      </c>
      <c r="F1464">
        <v>333000</v>
      </c>
      <c r="G1464">
        <v>339000</v>
      </c>
      <c r="H1464">
        <v>337000</v>
      </c>
      <c r="I1464">
        <v>340111</v>
      </c>
      <c r="J1464">
        <v>353293</v>
      </c>
      <c r="K1464">
        <v>335405</v>
      </c>
      <c r="L1464">
        <v>333115</v>
      </c>
      <c r="M1464">
        <v>1698924</v>
      </c>
      <c r="N1464" s="2">
        <v>5.2781585852522796E-3</v>
      </c>
    </row>
    <row r="1465" spans="1:14" hidden="1" x14ac:dyDescent="0.25">
      <c r="A1465" t="s">
        <v>16</v>
      </c>
      <c r="B1465" t="s">
        <v>132</v>
      </c>
      <c r="C1465">
        <v>1110900</v>
      </c>
      <c r="D1465">
        <v>1172900</v>
      </c>
      <c r="E1465">
        <v>1182000</v>
      </c>
      <c r="F1465">
        <v>1224000</v>
      </c>
      <c r="G1465">
        <v>1247000</v>
      </c>
      <c r="H1465">
        <v>1253000</v>
      </c>
      <c r="I1465">
        <v>1295000</v>
      </c>
      <c r="J1465">
        <v>1312000</v>
      </c>
      <c r="K1465">
        <v>1330000</v>
      </c>
      <c r="L1465">
        <v>1431000</v>
      </c>
      <c r="M1465">
        <v>6621000</v>
      </c>
      <c r="N1465" s="2">
        <v>2.0569894823403139E-2</v>
      </c>
    </row>
    <row r="1466" spans="1:14" hidden="1" x14ac:dyDescent="0.25">
      <c r="A1466" t="s">
        <v>16</v>
      </c>
      <c r="B1466" t="s">
        <v>133</v>
      </c>
      <c r="C1466">
        <v>360000</v>
      </c>
      <c r="D1466">
        <v>354000</v>
      </c>
      <c r="E1466">
        <v>364000</v>
      </c>
      <c r="F1466">
        <v>377000</v>
      </c>
      <c r="G1466">
        <v>386000</v>
      </c>
      <c r="H1466">
        <v>253000</v>
      </c>
      <c r="I1466">
        <v>380000</v>
      </c>
      <c r="J1466">
        <v>391000</v>
      </c>
      <c r="K1466">
        <v>397000</v>
      </c>
      <c r="L1466">
        <v>395000</v>
      </c>
      <c r="M1466">
        <v>1816000</v>
      </c>
      <c r="N1466" s="2">
        <v>5.6418862708503383E-3</v>
      </c>
    </row>
    <row r="1467" spans="1:14" hidden="1" x14ac:dyDescent="0.25">
      <c r="A1467" t="s">
        <v>16</v>
      </c>
      <c r="B1467" t="s">
        <v>134</v>
      </c>
      <c r="C1467">
        <v>627971</v>
      </c>
      <c r="D1467">
        <v>634351</v>
      </c>
      <c r="E1467">
        <v>640153</v>
      </c>
      <c r="F1467">
        <v>638155</v>
      </c>
      <c r="G1467">
        <v>643514</v>
      </c>
      <c r="H1467">
        <v>650000</v>
      </c>
      <c r="I1467">
        <v>616000</v>
      </c>
      <c r="J1467">
        <v>653000</v>
      </c>
      <c r="K1467">
        <v>655000</v>
      </c>
      <c r="L1467">
        <v>662000</v>
      </c>
      <c r="M1467">
        <v>3236000</v>
      </c>
      <c r="N1467" s="2">
        <v>1.0053493376911729E-2</v>
      </c>
    </row>
    <row r="1468" spans="1:14" hidden="1" x14ac:dyDescent="0.25">
      <c r="A1468" t="s">
        <v>16</v>
      </c>
      <c r="B1468" t="s">
        <v>120</v>
      </c>
      <c r="C1468">
        <v>248600</v>
      </c>
      <c r="D1468">
        <v>250200</v>
      </c>
      <c r="E1468">
        <v>263098</v>
      </c>
      <c r="F1468">
        <v>271356</v>
      </c>
      <c r="G1468">
        <v>272507</v>
      </c>
      <c r="H1468">
        <v>282074</v>
      </c>
      <c r="I1468">
        <v>282810</v>
      </c>
      <c r="J1468">
        <v>280326</v>
      </c>
      <c r="K1468">
        <v>271307</v>
      </c>
      <c r="L1468">
        <v>293399</v>
      </c>
      <c r="M1468">
        <v>1409916</v>
      </c>
      <c r="N1468" s="2">
        <v>4.3802784820772172E-3</v>
      </c>
    </row>
    <row r="1469" spans="1:14" hidden="1" x14ac:dyDescent="0.25">
      <c r="A1469" t="s">
        <v>16</v>
      </c>
      <c r="B1469" t="s">
        <v>107</v>
      </c>
      <c r="C1469">
        <v>4024000</v>
      </c>
      <c r="D1469">
        <v>3724000</v>
      </c>
      <c r="E1469">
        <v>3488000</v>
      </c>
      <c r="F1469">
        <v>3529000</v>
      </c>
      <c r="G1469">
        <v>3561000</v>
      </c>
      <c r="H1469">
        <v>3584000</v>
      </c>
      <c r="I1469">
        <v>3627000</v>
      </c>
      <c r="J1469">
        <v>3637000</v>
      </c>
      <c r="K1469">
        <v>3638000</v>
      </c>
      <c r="L1469">
        <v>3640000</v>
      </c>
      <c r="M1469">
        <v>18126000</v>
      </c>
      <c r="N1469" s="2">
        <v>5.6313232679203323E-2</v>
      </c>
    </row>
    <row r="1470" spans="1:14" hidden="1" x14ac:dyDescent="0.25">
      <c r="A1470" t="s">
        <v>16</v>
      </c>
      <c r="B1470" t="s">
        <v>108</v>
      </c>
      <c r="C1470">
        <v>0</v>
      </c>
      <c r="D1470">
        <v>187000</v>
      </c>
      <c r="E1470">
        <v>662000</v>
      </c>
      <c r="F1470">
        <v>839000</v>
      </c>
      <c r="G1470">
        <v>871000</v>
      </c>
      <c r="H1470">
        <v>916000</v>
      </c>
      <c r="I1470">
        <v>932000</v>
      </c>
      <c r="J1470">
        <v>967000</v>
      </c>
      <c r="K1470">
        <v>1010563</v>
      </c>
      <c r="L1470">
        <v>998000</v>
      </c>
      <c r="M1470">
        <v>4823563</v>
      </c>
      <c r="N1470" s="2">
        <v>1.498567944178506E-2</v>
      </c>
    </row>
    <row r="1471" spans="1:14" hidden="1" x14ac:dyDescent="0.25">
      <c r="A1471" t="s">
        <v>16</v>
      </c>
      <c r="B1471" t="s">
        <v>135</v>
      </c>
      <c r="C1471">
        <v>160662</v>
      </c>
      <c r="D1471">
        <v>163000</v>
      </c>
      <c r="E1471">
        <v>167767</v>
      </c>
      <c r="F1471">
        <v>171328</v>
      </c>
      <c r="G1471">
        <v>173600</v>
      </c>
      <c r="H1471">
        <v>173500</v>
      </c>
      <c r="I1471">
        <v>173700</v>
      </c>
      <c r="J1471">
        <v>174794</v>
      </c>
      <c r="K1471">
        <v>151875</v>
      </c>
      <c r="L1471">
        <v>163995</v>
      </c>
      <c r="M1471">
        <v>837864</v>
      </c>
      <c r="N1471" s="2">
        <v>2.6030470255725491E-3</v>
      </c>
    </row>
    <row r="1472" spans="1:14" hidden="1" x14ac:dyDescent="0.25">
      <c r="A1472" t="s">
        <v>16</v>
      </c>
      <c r="B1472" t="s">
        <v>136</v>
      </c>
      <c r="C1472">
        <v>83300</v>
      </c>
      <c r="D1472">
        <v>84035</v>
      </c>
      <c r="E1472">
        <v>84400</v>
      </c>
      <c r="F1472">
        <v>83800</v>
      </c>
      <c r="G1472">
        <v>84365</v>
      </c>
      <c r="H1472">
        <v>84424</v>
      </c>
      <c r="I1472">
        <v>80544</v>
      </c>
      <c r="J1472">
        <v>68255</v>
      </c>
      <c r="K1472">
        <v>50185</v>
      </c>
      <c r="L1472">
        <v>37867</v>
      </c>
      <c r="M1472">
        <v>321275</v>
      </c>
      <c r="N1472" s="2">
        <v>9.9812610774638907E-4</v>
      </c>
    </row>
    <row r="1473" spans="1:14" hidden="1" x14ac:dyDescent="0.25">
      <c r="A1473" t="s">
        <v>16</v>
      </c>
      <c r="B1473" t="s">
        <v>137</v>
      </c>
      <c r="C1473">
        <v>665000</v>
      </c>
      <c r="D1473">
        <v>822000</v>
      </c>
      <c r="E1473">
        <v>745000</v>
      </c>
      <c r="F1473">
        <v>695000</v>
      </c>
      <c r="G1473">
        <v>701000</v>
      </c>
      <c r="H1473">
        <v>716000</v>
      </c>
      <c r="I1473">
        <v>714000</v>
      </c>
      <c r="J1473">
        <v>717000</v>
      </c>
      <c r="K1473">
        <v>717000</v>
      </c>
      <c r="L1473">
        <v>714000</v>
      </c>
      <c r="M1473">
        <v>3578000</v>
      </c>
      <c r="N1473" s="2">
        <v>1.1116007201047639E-2</v>
      </c>
    </row>
    <row r="1474" spans="1:14" hidden="1" x14ac:dyDescent="0.25">
      <c r="A1474" t="s">
        <v>16</v>
      </c>
      <c r="B1474" t="s">
        <v>121</v>
      </c>
      <c r="C1474">
        <v>386395</v>
      </c>
      <c r="D1474">
        <v>250000</v>
      </c>
      <c r="E1474">
        <v>230000</v>
      </c>
      <c r="F1474">
        <v>360000</v>
      </c>
      <c r="G1474">
        <v>360000</v>
      </c>
      <c r="H1474">
        <v>360000</v>
      </c>
      <c r="I1474">
        <v>350000</v>
      </c>
      <c r="J1474">
        <v>220000</v>
      </c>
      <c r="K1474">
        <v>200000</v>
      </c>
      <c r="L1474">
        <v>190000</v>
      </c>
      <c r="M1474">
        <v>1320000</v>
      </c>
      <c r="N1474" s="2">
        <v>4.1009305492965024E-3</v>
      </c>
    </row>
    <row r="1475" spans="1:14" hidden="1" x14ac:dyDescent="0.25">
      <c r="A1475" t="s">
        <v>16</v>
      </c>
      <c r="B1475" t="s">
        <v>138</v>
      </c>
      <c r="C1475">
        <v>129000</v>
      </c>
      <c r="D1475">
        <v>131000</v>
      </c>
      <c r="E1475">
        <v>113000</v>
      </c>
      <c r="F1475">
        <v>116000</v>
      </c>
      <c r="G1475">
        <v>124000</v>
      </c>
      <c r="H1475">
        <v>123000</v>
      </c>
      <c r="I1475">
        <v>125000</v>
      </c>
      <c r="J1475">
        <v>120000</v>
      </c>
      <c r="K1475">
        <v>117000</v>
      </c>
      <c r="L1475">
        <v>124000</v>
      </c>
      <c r="M1475">
        <v>609000</v>
      </c>
      <c r="N1475" s="2">
        <v>1.892020230698159E-3</v>
      </c>
    </row>
    <row r="1476" spans="1:14" hidden="1" x14ac:dyDescent="0.25">
      <c r="A1476" t="s">
        <v>16</v>
      </c>
      <c r="B1476" t="s">
        <v>139</v>
      </c>
      <c r="C1476">
        <v>272506</v>
      </c>
      <c r="D1476">
        <v>216369</v>
      </c>
      <c r="E1476">
        <v>121261</v>
      </c>
      <c r="F1476">
        <v>139123</v>
      </c>
      <c r="G1476">
        <v>129300</v>
      </c>
      <c r="H1476">
        <v>103100</v>
      </c>
      <c r="I1476">
        <v>95796</v>
      </c>
      <c r="J1476">
        <v>100800</v>
      </c>
      <c r="K1476">
        <v>84000</v>
      </c>
      <c r="L1476">
        <v>61000</v>
      </c>
      <c r="M1476">
        <v>444696</v>
      </c>
      <c r="N1476" s="2">
        <v>1.3815662208711799E-3</v>
      </c>
    </row>
    <row r="1477" spans="1:14" hidden="1" x14ac:dyDescent="0.25">
      <c r="A1477" t="s">
        <v>16</v>
      </c>
      <c r="B1477" t="s">
        <v>112</v>
      </c>
      <c r="C1477">
        <v>43700</v>
      </c>
      <c r="D1477">
        <v>32200</v>
      </c>
      <c r="E1477">
        <v>30400</v>
      </c>
      <c r="F1477">
        <v>60000</v>
      </c>
      <c r="G1477">
        <v>79000</v>
      </c>
      <c r="H1477">
        <v>76000</v>
      </c>
      <c r="I1477">
        <v>73300</v>
      </c>
      <c r="J1477">
        <v>78100</v>
      </c>
      <c r="K1477">
        <v>79900</v>
      </c>
      <c r="L1477">
        <v>79200</v>
      </c>
      <c r="M1477">
        <v>386500</v>
      </c>
      <c r="N1477" s="2">
        <v>1.200764891896286E-3</v>
      </c>
    </row>
    <row r="1478" spans="1:14" hidden="1" x14ac:dyDescent="0.25">
      <c r="A1478" t="s">
        <v>16</v>
      </c>
      <c r="B1478" t="s">
        <v>113</v>
      </c>
      <c r="C1478">
        <v>2070300</v>
      </c>
      <c r="D1478">
        <v>1946000</v>
      </c>
      <c r="E1478">
        <v>1710400</v>
      </c>
      <c r="F1478">
        <v>1586500</v>
      </c>
      <c r="G1478">
        <v>818430</v>
      </c>
      <c r="H1478">
        <v>740884</v>
      </c>
      <c r="I1478">
        <v>898652</v>
      </c>
      <c r="J1478">
        <v>1126032</v>
      </c>
      <c r="K1478">
        <v>1026617</v>
      </c>
      <c r="L1478">
        <v>907846</v>
      </c>
      <c r="M1478">
        <v>4700031</v>
      </c>
      <c r="N1478" s="2">
        <v>1.4601894477682261E-2</v>
      </c>
    </row>
    <row r="1479" spans="1:14" hidden="1" x14ac:dyDescent="0.25">
      <c r="A1479" t="s">
        <v>16</v>
      </c>
      <c r="B1479" t="s">
        <v>123</v>
      </c>
      <c r="C1479">
        <v>1814000</v>
      </c>
      <c r="D1479">
        <v>1845000</v>
      </c>
      <c r="E1479">
        <v>2296000</v>
      </c>
      <c r="F1479">
        <v>2397000</v>
      </c>
      <c r="G1479">
        <v>2471000</v>
      </c>
      <c r="H1479">
        <v>2600000</v>
      </c>
      <c r="I1479">
        <v>2640000</v>
      </c>
      <c r="J1479">
        <v>2600000</v>
      </c>
      <c r="K1479">
        <v>2520000</v>
      </c>
      <c r="L1479">
        <v>2540000</v>
      </c>
      <c r="M1479">
        <v>12900000</v>
      </c>
      <c r="N1479" s="2">
        <v>4.0077275822670358E-2</v>
      </c>
    </row>
    <row r="1480" spans="1:14" hidden="1" x14ac:dyDescent="0.25">
      <c r="A1480" t="s">
        <v>16</v>
      </c>
      <c r="B1480" t="s">
        <v>140</v>
      </c>
      <c r="C1480">
        <v>60000</v>
      </c>
      <c r="D1480">
        <v>45000</v>
      </c>
      <c r="E1480">
        <v>42000</v>
      </c>
      <c r="F1480">
        <v>47000</v>
      </c>
      <c r="G1480">
        <v>46000</v>
      </c>
      <c r="H1480">
        <v>48000</v>
      </c>
      <c r="I1480">
        <v>44400</v>
      </c>
      <c r="J1480">
        <v>39400</v>
      </c>
      <c r="K1480">
        <v>35700</v>
      </c>
      <c r="L1480">
        <v>37571</v>
      </c>
      <c r="M1480">
        <v>205071</v>
      </c>
      <c r="N1480" s="2">
        <v>6.371075217233204E-4</v>
      </c>
    </row>
    <row r="1481" spans="1:14" hidden="1" x14ac:dyDescent="0.25">
      <c r="A1481" t="s">
        <v>16</v>
      </c>
      <c r="B1481" t="s">
        <v>114</v>
      </c>
      <c r="C1481">
        <v>203000</v>
      </c>
      <c r="D1481">
        <v>171717</v>
      </c>
      <c r="E1481">
        <v>138334</v>
      </c>
      <c r="F1481">
        <v>125537</v>
      </c>
      <c r="G1481">
        <v>147000</v>
      </c>
      <c r="H1481">
        <v>136000</v>
      </c>
      <c r="I1481">
        <v>64700</v>
      </c>
      <c r="J1481">
        <v>10000</v>
      </c>
      <c r="K1481">
        <v>10000</v>
      </c>
      <c r="L1481">
        <v>38300</v>
      </c>
      <c r="M1481">
        <v>259000</v>
      </c>
      <c r="N1481" s="2">
        <v>8.0465228202105602E-4</v>
      </c>
    </row>
    <row r="1482" spans="1:14" hidden="1" x14ac:dyDescent="0.25">
      <c r="A1482" t="s">
        <v>15</v>
      </c>
      <c r="B1482" t="s">
        <v>83</v>
      </c>
      <c r="C1482">
        <v>20914745</v>
      </c>
      <c r="D1482">
        <v>21528263</v>
      </c>
      <c r="E1482">
        <v>20475523</v>
      </c>
      <c r="F1482">
        <v>20097181</v>
      </c>
      <c r="G1482">
        <v>20680827</v>
      </c>
      <c r="H1482">
        <v>20485770</v>
      </c>
      <c r="I1482">
        <v>20061795</v>
      </c>
      <c r="J1482">
        <v>20239198</v>
      </c>
      <c r="K1482">
        <v>20837142</v>
      </c>
      <c r="L1482">
        <v>20624088</v>
      </c>
      <c r="M1482">
        <v>102247993</v>
      </c>
      <c r="N1482" s="2">
        <v>0.15362225113108349</v>
      </c>
    </row>
    <row r="1483" spans="1:14" hidden="1" x14ac:dyDescent="0.25">
      <c r="A1483" t="s">
        <v>15</v>
      </c>
      <c r="B1483" t="s">
        <v>84</v>
      </c>
      <c r="C1483">
        <v>202416</v>
      </c>
      <c r="D1483">
        <v>175961</v>
      </c>
      <c r="E1483">
        <v>170646</v>
      </c>
      <c r="F1483">
        <v>250845</v>
      </c>
      <c r="G1483">
        <v>187515</v>
      </c>
      <c r="H1483">
        <v>247449</v>
      </c>
      <c r="I1483">
        <v>261700</v>
      </c>
      <c r="J1483">
        <v>213518</v>
      </c>
      <c r="K1483">
        <v>122241</v>
      </c>
      <c r="L1483">
        <v>172974</v>
      </c>
      <c r="M1483">
        <v>1017882</v>
      </c>
      <c r="N1483" s="2">
        <v>1.529314362442395E-3</v>
      </c>
    </row>
    <row r="1484" spans="1:14" hidden="1" x14ac:dyDescent="0.25">
      <c r="A1484" t="s">
        <v>15</v>
      </c>
      <c r="B1484" t="s">
        <v>85</v>
      </c>
      <c r="C1484">
        <v>10320600</v>
      </c>
      <c r="D1484">
        <v>9942100</v>
      </c>
      <c r="E1484">
        <v>10404000</v>
      </c>
      <c r="F1484">
        <v>10451500</v>
      </c>
      <c r="G1484">
        <v>10885500</v>
      </c>
      <c r="H1484">
        <v>11060600</v>
      </c>
      <c r="I1484">
        <v>8258000</v>
      </c>
      <c r="J1484">
        <v>9170800</v>
      </c>
      <c r="K1484">
        <v>10185000</v>
      </c>
      <c r="L1484">
        <v>11171300</v>
      </c>
      <c r="M1484">
        <v>49845700</v>
      </c>
      <c r="N1484" s="2">
        <v>7.4890552063986704E-2</v>
      </c>
    </row>
    <row r="1485" spans="1:14" hidden="1" x14ac:dyDescent="0.25">
      <c r="A1485" t="s">
        <v>15</v>
      </c>
      <c r="B1485" t="s">
        <v>116</v>
      </c>
      <c r="C1485">
        <v>1498605</v>
      </c>
      <c r="D1485">
        <v>1554604</v>
      </c>
      <c r="E1485">
        <v>1562559</v>
      </c>
      <c r="F1485">
        <v>1560932</v>
      </c>
      <c r="G1485">
        <v>1566467</v>
      </c>
      <c r="H1485">
        <v>1570000</v>
      </c>
      <c r="I1485">
        <v>1568000</v>
      </c>
      <c r="J1485">
        <v>1522000</v>
      </c>
      <c r="K1485">
        <v>1518000</v>
      </c>
      <c r="L1485">
        <v>1471000</v>
      </c>
      <c r="M1485">
        <v>7649000</v>
      </c>
      <c r="N1485" s="2">
        <v>1.149222165076294E-2</v>
      </c>
    </row>
    <row r="1486" spans="1:14" hidden="1" x14ac:dyDescent="0.25">
      <c r="A1486" t="s">
        <v>15</v>
      </c>
      <c r="B1486" t="s">
        <v>86</v>
      </c>
      <c r="C1486">
        <v>37696300</v>
      </c>
      <c r="D1486">
        <v>47749600</v>
      </c>
      <c r="E1486">
        <v>52399100</v>
      </c>
      <c r="F1486">
        <v>58978355</v>
      </c>
      <c r="G1486">
        <v>61034354</v>
      </c>
      <c r="H1486">
        <v>69056100</v>
      </c>
      <c r="I1486">
        <v>73607591</v>
      </c>
      <c r="J1486">
        <v>71474166</v>
      </c>
      <c r="K1486">
        <v>73131946</v>
      </c>
      <c r="L1486">
        <v>77480000</v>
      </c>
      <c r="M1486">
        <v>364749803</v>
      </c>
      <c r="N1486" s="2">
        <v>0.54801746413232022</v>
      </c>
    </row>
    <row r="1487" spans="1:14" hidden="1" x14ac:dyDescent="0.25">
      <c r="A1487" t="s">
        <v>15</v>
      </c>
      <c r="B1487" t="s">
        <v>91</v>
      </c>
      <c r="C1487">
        <v>430000</v>
      </c>
      <c r="D1487">
        <v>430000</v>
      </c>
      <c r="E1487">
        <v>400000</v>
      </c>
      <c r="F1487">
        <v>432000</v>
      </c>
      <c r="G1487">
        <v>500000</v>
      </c>
      <c r="H1487">
        <v>500000</v>
      </c>
      <c r="I1487">
        <v>500000</v>
      </c>
      <c r="J1487">
        <v>500000</v>
      </c>
      <c r="K1487">
        <v>500000</v>
      </c>
      <c r="L1487">
        <v>500000</v>
      </c>
      <c r="M1487">
        <v>2500000</v>
      </c>
      <c r="N1487" s="2">
        <v>3.756118986391339E-3</v>
      </c>
    </row>
    <row r="1488" spans="1:14" hidden="1" x14ac:dyDescent="0.25">
      <c r="A1488" t="s">
        <v>15</v>
      </c>
      <c r="B1488" t="s">
        <v>117</v>
      </c>
      <c r="C1488">
        <v>1000000</v>
      </c>
      <c r="D1488">
        <v>1000000</v>
      </c>
      <c r="E1488">
        <v>1000000</v>
      </c>
      <c r="F1488">
        <v>1000000</v>
      </c>
      <c r="G1488">
        <v>1000000</v>
      </c>
      <c r="H1488">
        <v>1000000</v>
      </c>
      <c r="I1488">
        <v>1000000</v>
      </c>
      <c r="J1488">
        <v>1025000</v>
      </c>
      <c r="K1488">
        <v>1050000</v>
      </c>
      <c r="L1488">
        <v>1050000</v>
      </c>
      <c r="M1488">
        <v>5125000</v>
      </c>
      <c r="N1488" s="2">
        <v>7.7000439221022454E-3</v>
      </c>
    </row>
    <row r="1489" spans="1:14" hidden="1" x14ac:dyDescent="0.25">
      <c r="A1489" t="s">
        <v>15</v>
      </c>
      <c r="B1489" t="s">
        <v>93</v>
      </c>
      <c r="C1489">
        <v>642880</v>
      </c>
      <c r="D1489">
        <v>665512</v>
      </c>
      <c r="E1489">
        <v>674040</v>
      </c>
      <c r="F1489">
        <v>674420</v>
      </c>
      <c r="G1489">
        <v>693460</v>
      </c>
      <c r="H1489">
        <v>695400</v>
      </c>
      <c r="I1489">
        <v>678140</v>
      </c>
      <c r="J1489">
        <v>672400</v>
      </c>
      <c r="K1489">
        <v>680000</v>
      </c>
      <c r="L1489">
        <v>720000</v>
      </c>
      <c r="M1489">
        <v>3445940</v>
      </c>
      <c r="N1489" s="2">
        <v>5.1773442639861476E-3</v>
      </c>
    </row>
    <row r="1490" spans="1:14" hidden="1" x14ac:dyDescent="0.25">
      <c r="A1490" t="s">
        <v>15</v>
      </c>
      <c r="B1490" t="s">
        <v>94</v>
      </c>
      <c r="C1490">
        <v>167020</v>
      </c>
      <c r="E1490">
        <v>0</v>
      </c>
      <c r="F1490">
        <v>0</v>
      </c>
      <c r="G1490">
        <v>0</v>
      </c>
      <c r="H1490">
        <v>0</v>
      </c>
      <c r="I1490">
        <v>182000</v>
      </c>
      <c r="J1490">
        <v>368000</v>
      </c>
      <c r="K1490">
        <v>453353</v>
      </c>
      <c r="L1490">
        <v>409870</v>
      </c>
      <c r="M1490">
        <v>1413223</v>
      </c>
      <c r="N1490" s="2">
        <v>2.1232934969219711E-3</v>
      </c>
    </row>
    <row r="1491" spans="1:14" hidden="1" x14ac:dyDescent="0.25">
      <c r="A1491" t="s">
        <v>15</v>
      </c>
      <c r="B1491" t="s">
        <v>97</v>
      </c>
      <c r="C1491">
        <v>3609815</v>
      </c>
      <c r="D1491">
        <v>4079301</v>
      </c>
      <c r="E1491">
        <v>5024215</v>
      </c>
      <c r="F1491">
        <v>5572293</v>
      </c>
      <c r="G1491">
        <v>6075839</v>
      </c>
      <c r="H1491">
        <v>6119449</v>
      </c>
      <c r="I1491">
        <v>6446370</v>
      </c>
      <c r="J1491">
        <v>6706500</v>
      </c>
      <c r="K1491">
        <v>6624500</v>
      </c>
      <c r="L1491">
        <v>7325000</v>
      </c>
      <c r="M1491">
        <v>33221819</v>
      </c>
      <c r="N1491" s="2">
        <v>4.9914042043342613E-2</v>
      </c>
    </row>
    <row r="1492" spans="1:14" hidden="1" x14ac:dyDescent="0.25">
      <c r="A1492" t="s">
        <v>15</v>
      </c>
      <c r="B1492" t="s">
        <v>98</v>
      </c>
      <c r="C1492">
        <v>0</v>
      </c>
      <c r="D1492">
        <v>0</v>
      </c>
      <c r="E1492">
        <v>0</v>
      </c>
      <c r="F1492">
        <v>69869</v>
      </c>
      <c r="G1492">
        <v>495000</v>
      </c>
      <c r="H1492">
        <v>917099</v>
      </c>
      <c r="I1492">
        <v>842536</v>
      </c>
      <c r="J1492">
        <v>1148422</v>
      </c>
      <c r="K1492">
        <v>1162100</v>
      </c>
      <c r="L1492">
        <v>1363100</v>
      </c>
      <c r="M1492">
        <v>5433257</v>
      </c>
      <c r="N1492" s="2">
        <v>8.1631839102574589E-3</v>
      </c>
    </row>
    <row r="1493" spans="1:14" hidden="1" x14ac:dyDescent="0.25">
      <c r="A1493" t="s">
        <v>15</v>
      </c>
      <c r="B1493" t="s">
        <v>99</v>
      </c>
      <c r="C1493">
        <v>227000</v>
      </c>
      <c r="D1493">
        <v>249000</v>
      </c>
      <c r="E1493">
        <v>251000</v>
      </c>
      <c r="F1493">
        <v>241368</v>
      </c>
      <c r="G1493">
        <v>235081</v>
      </c>
      <c r="H1493">
        <v>240168</v>
      </c>
      <c r="I1493">
        <v>237563</v>
      </c>
      <c r="J1493">
        <v>233267</v>
      </c>
      <c r="K1493">
        <v>232000</v>
      </c>
      <c r="L1493">
        <v>231000</v>
      </c>
      <c r="M1493">
        <v>1173998</v>
      </c>
      <c r="N1493" s="2">
        <v>1.763870471114184E-3</v>
      </c>
    </row>
    <row r="1494" spans="1:14" hidden="1" x14ac:dyDescent="0.25">
      <c r="A1494" t="s">
        <v>15</v>
      </c>
      <c r="B1494" t="s">
        <v>118</v>
      </c>
      <c r="C1494">
        <v>1250600</v>
      </c>
      <c r="D1494">
        <v>1867848</v>
      </c>
      <c r="E1494">
        <v>1876851</v>
      </c>
      <c r="F1494">
        <v>1897616</v>
      </c>
      <c r="G1494">
        <v>1898054</v>
      </c>
      <c r="H1494">
        <v>1880057</v>
      </c>
      <c r="I1494">
        <v>1818065</v>
      </c>
      <c r="J1494">
        <v>1860970</v>
      </c>
      <c r="K1494">
        <v>1822368</v>
      </c>
      <c r="L1494">
        <v>1878000</v>
      </c>
      <c r="M1494">
        <v>9259460</v>
      </c>
      <c r="N1494" s="2">
        <v>1.3911853403892459E-2</v>
      </c>
    </row>
    <row r="1495" spans="1:14" hidden="1" x14ac:dyDescent="0.25">
      <c r="A1495" t="s">
        <v>15</v>
      </c>
      <c r="B1495" t="s">
        <v>101</v>
      </c>
      <c r="C1495">
        <v>1757693</v>
      </c>
      <c r="D1495">
        <v>1854910</v>
      </c>
      <c r="E1495">
        <v>1850960</v>
      </c>
      <c r="F1495">
        <v>1864645</v>
      </c>
      <c r="G1495">
        <v>1865278</v>
      </c>
      <c r="H1495">
        <v>1782373</v>
      </c>
      <c r="I1495">
        <v>2483572</v>
      </c>
      <c r="J1495">
        <v>2172977</v>
      </c>
      <c r="K1495">
        <v>1620943</v>
      </c>
      <c r="L1495">
        <v>1158450</v>
      </c>
      <c r="M1495">
        <v>9218315</v>
      </c>
      <c r="N1495" s="2">
        <v>1.385003519761443E-2</v>
      </c>
    </row>
    <row r="1496" spans="1:14" hidden="1" x14ac:dyDescent="0.25">
      <c r="A1496" t="s">
        <v>15</v>
      </c>
      <c r="B1496" t="s">
        <v>119</v>
      </c>
      <c r="C1496">
        <v>350000</v>
      </c>
      <c r="D1496">
        <v>270000</v>
      </c>
      <c r="E1496">
        <v>116000</v>
      </c>
      <c r="F1496">
        <v>19000</v>
      </c>
      <c r="G1496">
        <v>17000</v>
      </c>
      <c r="H1496">
        <v>19999</v>
      </c>
      <c r="I1496">
        <v>20000</v>
      </c>
      <c r="J1496">
        <v>25000</v>
      </c>
      <c r="K1496">
        <v>17700</v>
      </c>
      <c r="L1496">
        <v>24200</v>
      </c>
      <c r="M1496">
        <v>106899</v>
      </c>
      <c r="N1496" s="2">
        <v>1.6061014541049909E-4</v>
      </c>
    </row>
    <row r="1497" spans="1:14" hidden="1" x14ac:dyDescent="0.25">
      <c r="A1497" t="s">
        <v>15</v>
      </c>
      <c r="B1497" t="s">
        <v>102</v>
      </c>
      <c r="C1497">
        <v>1510000</v>
      </c>
      <c r="D1497">
        <v>1590000</v>
      </c>
      <c r="E1497">
        <v>1628252</v>
      </c>
      <c r="F1497">
        <v>1448280</v>
      </c>
      <c r="G1497">
        <v>1500013</v>
      </c>
      <c r="H1497">
        <v>1508240</v>
      </c>
      <c r="I1497">
        <v>1493072</v>
      </c>
      <c r="J1497">
        <v>1406229</v>
      </c>
      <c r="K1497">
        <v>1399949</v>
      </c>
      <c r="L1497">
        <v>1315000</v>
      </c>
      <c r="M1497">
        <v>7122490</v>
      </c>
      <c r="N1497" s="2">
        <v>1.0701167967752979E-2</v>
      </c>
    </row>
    <row r="1498" spans="1:14" hidden="1" x14ac:dyDescent="0.25">
      <c r="A1498" t="s">
        <v>15</v>
      </c>
      <c r="B1498" t="s">
        <v>120</v>
      </c>
      <c r="C1498">
        <v>414000</v>
      </c>
      <c r="D1498">
        <v>391000</v>
      </c>
      <c r="E1498">
        <v>362627</v>
      </c>
      <c r="F1498">
        <v>404825</v>
      </c>
      <c r="G1498">
        <v>467031</v>
      </c>
      <c r="H1498">
        <v>472606</v>
      </c>
      <c r="I1498">
        <v>571772</v>
      </c>
      <c r="J1498">
        <v>460911</v>
      </c>
      <c r="K1498">
        <v>426393</v>
      </c>
      <c r="L1498">
        <v>498603</v>
      </c>
      <c r="M1498">
        <v>2430285</v>
      </c>
      <c r="N1498" s="2">
        <v>3.6513758523368301E-3</v>
      </c>
    </row>
    <row r="1499" spans="1:14" hidden="1" x14ac:dyDescent="0.25">
      <c r="A1499" t="s">
        <v>15</v>
      </c>
      <c r="B1499" t="s">
        <v>107</v>
      </c>
      <c r="C1499">
        <v>2719000</v>
      </c>
      <c r="D1499">
        <v>2659000</v>
      </c>
      <c r="E1499">
        <v>2572000</v>
      </c>
      <c r="F1499">
        <v>2593000</v>
      </c>
      <c r="G1499">
        <v>2682000</v>
      </c>
      <c r="H1499">
        <v>2822000</v>
      </c>
      <c r="I1499">
        <v>2763000</v>
      </c>
      <c r="J1499">
        <v>2755000</v>
      </c>
      <c r="K1499">
        <v>2873000</v>
      </c>
      <c r="L1499">
        <v>3054000</v>
      </c>
      <c r="M1499">
        <v>14267000</v>
      </c>
      <c r="N1499" s="2">
        <v>2.1435419831538089E-2</v>
      </c>
    </row>
    <row r="1500" spans="1:14" hidden="1" x14ac:dyDescent="0.25">
      <c r="A1500" t="s">
        <v>15</v>
      </c>
      <c r="B1500" t="s">
        <v>108</v>
      </c>
      <c r="C1500">
        <v>0</v>
      </c>
      <c r="D1500">
        <v>0</v>
      </c>
      <c r="E1500">
        <v>23000</v>
      </c>
      <c r="F1500">
        <v>846000</v>
      </c>
      <c r="G1500">
        <v>1429000</v>
      </c>
      <c r="H1500">
        <v>1484000</v>
      </c>
      <c r="I1500">
        <v>1774000</v>
      </c>
      <c r="J1500">
        <v>1798340</v>
      </c>
      <c r="K1500">
        <v>1782041</v>
      </c>
      <c r="L1500">
        <v>1879000</v>
      </c>
      <c r="M1500">
        <v>8717381</v>
      </c>
      <c r="N1500" s="2">
        <v>1.309740811428285E-2</v>
      </c>
    </row>
    <row r="1501" spans="1:14" hidden="1" x14ac:dyDescent="0.25">
      <c r="A1501" t="s">
        <v>15</v>
      </c>
      <c r="B1501" t="s">
        <v>121</v>
      </c>
      <c r="C1501">
        <v>1100000</v>
      </c>
      <c r="D1501">
        <v>1573000</v>
      </c>
      <c r="E1501">
        <v>1517000</v>
      </c>
      <c r="F1501">
        <v>1633000</v>
      </c>
      <c r="G1501">
        <v>1579000</v>
      </c>
      <c r="H1501">
        <v>1588000</v>
      </c>
      <c r="I1501">
        <v>1589000</v>
      </c>
      <c r="J1501">
        <v>1595000</v>
      </c>
      <c r="K1501">
        <v>1553000</v>
      </c>
      <c r="L1501">
        <v>1536000</v>
      </c>
      <c r="M1501">
        <v>7861000</v>
      </c>
      <c r="N1501" s="2">
        <v>1.1810740540808931E-2</v>
      </c>
    </row>
    <row r="1502" spans="1:14" hidden="1" x14ac:dyDescent="0.25">
      <c r="A1502" t="s">
        <v>15</v>
      </c>
      <c r="B1502" t="s">
        <v>112</v>
      </c>
      <c r="C1502">
        <v>220000</v>
      </c>
      <c r="D1502">
        <v>186000</v>
      </c>
      <c r="E1502">
        <v>190000</v>
      </c>
      <c r="F1502">
        <v>200000</v>
      </c>
      <c r="G1502">
        <v>260000</v>
      </c>
      <c r="H1502">
        <v>260000</v>
      </c>
      <c r="I1502">
        <v>260000</v>
      </c>
      <c r="J1502">
        <v>260000</v>
      </c>
      <c r="K1502">
        <v>260000</v>
      </c>
      <c r="L1502">
        <v>260000</v>
      </c>
      <c r="M1502">
        <v>1300000</v>
      </c>
      <c r="N1502" s="2">
        <v>1.9531818729234961E-3</v>
      </c>
    </row>
    <row r="1503" spans="1:14" hidden="1" x14ac:dyDescent="0.25">
      <c r="A1503" t="s">
        <v>15</v>
      </c>
      <c r="B1503" t="s">
        <v>113</v>
      </c>
      <c r="C1503">
        <v>4372000</v>
      </c>
      <c r="D1503">
        <v>4324000</v>
      </c>
      <c r="E1503">
        <v>4461000</v>
      </c>
      <c r="F1503">
        <v>4550000</v>
      </c>
      <c r="G1503">
        <v>2360000</v>
      </c>
      <c r="H1503">
        <v>1430000</v>
      </c>
      <c r="I1503">
        <v>1570000</v>
      </c>
      <c r="J1503">
        <v>1410000</v>
      </c>
      <c r="K1503">
        <v>1340000</v>
      </c>
      <c r="L1503">
        <v>1000000</v>
      </c>
      <c r="M1503">
        <v>6750000</v>
      </c>
      <c r="N1503" s="2">
        <v>1.014152126325661E-2</v>
      </c>
    </row>
    <row r="1504" spans="1:14" hidden="1" x14ac:dyDescent="0.25">
      <c r="A1504" t="s">
        <v>15</v>
      </c>
      <c r="B1504" t="s">
        <v>122</v>
      </c>
      <c r="C1504">
        <v>1429000</v>
      </c>
      <c r="D1504">
        <v>1493000</v>
      </c>
      <c r="E1504">
        <v>1455000</v>
      </c>
      <c r="F1504">
        <v>1481000</v>
      </c>
      <c r="G1504">
        <v>1510000</v>
      </c>
      <c r="H1504">
        <v>1676000</v>
      </c>
      <c r="I1504">
        <v>1715000</v>
      </c>
      <c r="J1504">
        <v>1690000</v>
      </c>
      <c r="K1504">
        <v>1725000</v>
      </c>
      <c r="L1504">
        <v>1800000</v>
      </c>
      <c r="M1504">
        <v>8606000</v>
      </c>
      <c r="N1504" s="2">
        <v>1.2930063998753551E-2</v>
      </c>
    </row>
    <row r="1505" spans="1:14" hidden="1" x14ac:dyDescent="0.25">
      <c r="A1505" t="s">
        <v>15</v>
      </c>
      <c r="B1505" t="s">
        <v>123</v>
      </c>
      <c r="F1505">
        <v>0</v>
      </c>
      <c r="G1505">
        <v>0</v>
      </c>
      <c r="H1505">
        <v>0</v>
      </c>
      <c r="I1505">
        <v>0</v>
      </c>
      <c r="J1505">
        <v>1100000</v>
      </c>
      <c r="K1505">
        <v>1920000</v>
      </c>
      <c r="L1505">
        <v>2300000</v>
      </c>
      <c r="M1505">
        <v>5320000</v>
      </c>
      <c r="N1505" s="2">
        <v>7.9930212030407694E-3</v>
      </c>
    </row>
    <row r="1506" spans="1:14" hidden="1" x14ac:dyDescent="0.25">
      <c r="A1506" t="s">
        <v>15</v>
      </c>
      <c r="B1506" t="s">
        <v>114</v>
      </c>
      <c r="C1506">
        <v>808043</v>
      </c>
      <c r="D1506">
        <v>579874</v>
      </c>
      <c r="E1506">
        <v>660195</v>
      </c>
      <c r="F1506">
        <v>459488</v>
      </c>
      <c r="G1506">
        <v>312000</v>
      </c>
      <c r="H1506">
        <v>212000</v>
      </c>
      <c r="I1506">
        <v>0</v>
      </c>
      <c r="J1506">
        <v>0</v>
      </c>
      <c r="K1506">
        <v>0</v>
      </c>
      <c r="L1506">
        <v>0</v>
      </c>
      <c r="M1506">
        <v>212000</v>
      </c>
      <c r="N1506" s="2">
        <v>3.1851889004598548E-4</v>
      </c>
    </row>
    <row r="1507" spans="1:14" hidden="1" x14ac:dyDescent="0.25">
      <c r="A1507" t="s">
        <v>15</v>
      </c>
      <c r="B1507" t="s">
        <v>115</v>
      </c>
      <c r="C1507">
        <v>0</v>
      </c>
      <c r="D1507">
        <v>214000</v>
      </c>
      <c r="E1507">
        <v>485000</v>
      </c>
      <c r="F1507">
        <v>474000</v>
      </c>
      <c r="G1507">
        <v>597000</v>
      </c>
      <c r="H1507">
        <v>1062000</v>
      </c>
      <c r="I1507">
        <v>1301300</v>
      </c>
      <c r="J1507">
        <v>1382100</v>
      </c>
      <c r="K1507">
        <v>1384706</v>
      </c>
      <c r="L1507">
        <v>1456068</v>
      </c>
      <c r="M1507">
        <v>6586174</v>
      </c>
      <c r="N1507" s="2">
        <v>9.8953812836307959E-3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I14" sqref="I14"/>
    </sheetView>
  </sheetViews>
  <sheetFormatPr defaultRowHeight="15" x14ac:dyDescent="0.25"/>
  <cols>
    <col min="1" max="1" width="12" bestFit="1" customWidth="1"/>
    <col min="2" max="2" width="8.7109375" bestFit="1" customWidth="1"/>
    <col min="3" max="3" width="15.42578125" bestFit="1" customWidth="1"/>
    <col min="4" max="4" width="81" bestFit="1" customWidth="1"/>
  </cols>
  <sheetData>
    <row r="1" spans="1:5" x14ac:dyDescent="0.25">
      <c r="A1" s="16">
        <v>1.8275869705935501E-10</v>
      </c>
      <c r="B1" s="15" t="s">
        <v>325</v>
      </c>
      <c r="C1" s="15" t="s">
        <v>324</v>
      </c>
      <c r="D1" s="15" t="s">
        <v>322</v>
      </c>
      <c r="E1" s="15" t="s">
        <v>288</v>
      </c>
    </row>
    <row r="2" spans="1:5" x14ac:dyDescent="0.25">
      <c r="A2" s="16">
        <v>1.8275869705935501E-10</v>
      </c>
      <c r="B2" s="15" t="s">
        <v>325</v>
      </c>
      <c r="C2" s="15" t="s">
        <v>324</v>
      </c>
      <c r="D2" s="15" t="s">
        <v>323</v>
      </c>
      <c r="E2" s="15" t="s">
        <v>288</v>
      </c>
    </row>
    <row r="3" spans="1:5" x14ac:dyDescent="0.25">
      <c r="A3" s="13">
        <v>0.60496470841708605</v>
      </c>
      <c r="B3" s="13" t="s">
        <v>325</v>
      </c>
      <c r="C3" s="13" t="s">
        <v>324</v>
      </c>
      <c r="D3" s="13" t="s">
        <v>326</v>
      </c>
      <c r="E3" s="13" t="s">
        <v>242</v>
      </c>
    </row>
    <row r="4" spans="1:5" x14ac:dyDescent="0.25">
      <c r="A4" s="13">
        <v>0.170490173414167</v>
      </c>
      <c r="B4" s="13" t="s">
        <v>325</v>
      </c>
      <c r="C4" s="13" t="s">
        <v>324</v>
      </c>
      <c r="D4" s="13" t="s">
        <v>327</v>
      </c>
      <c r="E4" s="13" t="s">
        <v>242</v>
      </c>
    </row>
    <row r="5" spans="1:5" x14ac:dyDescent="0.25">
      <c r="A5" s="12">
        <v>1.1924090559000299E-2</v>
      </c>
      <c r="B5" s="12" t="s">
        <v>325</v>
      </c>
      <c r="C5" s="12" t="s">
        <v>324</v>
      </c>
      <c r="D5" s="12" t="s">
        <v>328</v>
      </c>
      <c r="E5" s="12" t="s">
        <v>242</v>
      </c>
    </row>
    <row r="6" spans="1:5" x14ac:dyDescent="0.25">
      <c r="A6" s="12">
        <v>2.2004446715719402E-3</v>
      </c>
      <c r="B6" s="12" t="s">
        <v>325</v>
      </c>
      <c r="C6" s="12" t="s">
        <v>324</v>
      </c>
      <c r="D6" s="12" t="s">
        <v>329</v>
      </c>
      <c r="E6" s="12" t="s">
        <v>242</v>
      </c>
    </row>
    <row r="7" spans="1:5" x14ac:dyDescent="0.25">
      <c r="A7" s="13">
        <v>1.2332162617343799E-3</v>
      </c>
      <c r="B7" s="13" t="s">
        <v>325</v>
      </c>
      <c r="C7" s="13" t="s">
        <v>324</v>
      </c>
      <c r="D7" s="13" t="s">
        <v>289</v>
      </c>
      <c r="E7" s="13" t="s">
        <v>242</v>
      </c>
    </row>
    <row r="8" spans="1:5" x14ac:dyDescent="0.25">
      <c r="A8" s="11">
        <v>2.1321735175932098E-6</v>
      </c>
      <c r="B8" s="12" t="s">
        <v>325</v>
      </c>
      <c r="C8" s="12" t="s">
        <v>324</v>
      </c>
      <c r="D8" s="12" t="s">
        <v>330</v>
      </c>
      <c r="E8" s="12" t="s">
        <v>242</v>
      </c>
    </row>
    <row r="9" spans="1:5" x14ac:dyDescent="0.25">
      <c r="A9" s="11">
        <v>9.3283084957379301E-7</v>
      </c>
      <c r="B9" s="12" t="s">
        <v>325</v>
      </c>
      <c r="C9" s="12" t="s">
        <v>324</v>
      </c>
      <c r="D9" s="12" t="s">
        <v>331</v>
      </c>
      <c r="E9" s="12" t="s">
        <v>242</v>
      </c>
    </row>
    <row r="10" spans="1:5" x14ac:dyDescent="0.25">
      <c r="A10" s="12">
        <v>3.4048235915330502E-2</v>
      </c>
      <c r="B10" s="12" t="s">
        <v>325</v>
      </c>
      <c r="C10" s="12" t="s">
        <v>324</v>
      </c>
      <c r="D10" s="12" t="s">
        <v>332</v>
      </c>
      <c r="E10" s="12" t="s">
        <v>333</v>
      </c>
    </row>
    <row r="11" spans="1:5" x14ac:dyDescent="0.25">
      <c r="A11" s="12">
        <v>0.15032405184868</v>
      </c>
      <c r="B11" s="12" t="s">
        <v>325</v>
      </c>
      <c r="C11" s="12" t="s">
        <v>324</v>
      </c>
      <c r="D11" s="12" t="s">
        <v>332</v>
      </c>
      <c r="E11" s="12" t="s">
        <v>256</v>
      </c>
    </row>
    <row r="12" spans="1:5" x14ac:dyDescent="0.25">
      <c r="A12" s="12">
        <v>8.4042108856141899E-4</v>
      </c>
      <c r="B12" s="12" t="s">
        <v>325</v>
      </c>
      <c r="C12" s="12" t="s">
        <v>324</v>
      </c>
      <c r="D12" s="12" t="s">
        <v>334</v>
      </c>
      <c r="E12" s="12" t="s">
        <v>256</v>
      </c>
    </row>
    <row r="13" spans="1:5" x14ac:dyDescent="0.25">
      <c r="A13" s="13">
        <v>2.7482282118931699E-4</v>
      </c>
      <c r="B13" s="13" t="s">
        <v>325</v>
      </c>
      <c r="C13" s="13" t="s">
        <v>324</v>
      </c>
      <c r="D13" s="13" t="s">
        <v>280</v>
      </c>
      <c r="E13" s="13" t="s">
        <v>256</v>
      </c>
    </row>
    <row r="14" spans="1:5" x14ac:dyDescent="0.25">
      <c r="A14" s="14">
        <v>1.4454551494694501E-9</v>
      </c>
      <c r="B14" s="13" t="s">
        <v>325</v>
      </c>
      <c r="C14" s="13" t="s">
        <v>324</v>
      </c>
      <c r="D14" s="13" t="s">
        <v>323</v>
      </c>
      <c r="E14" s="13" t="s">
        <v>256</v>
      </c>
    </row>
    <row r="15" spans="1:5" x14ac:dyDescent="0.25">
      <c r="A15" s="14">
        <v>3.7105553648984102E-10</v>
      </c>
      <c r="B15" s="13" t="s">
        <v>325</v>
      </c>
      <c r="C15" s="13" t="s">
        <v>324</v>
      </c>
      <c r="D15" s="13" t="s">
        <v>322</v>
      </c>
      <c r="E15" s="13" t="s">
        <v>256</v>
      </c>
    </row>
    <row r="16" spans="1:5" x14ac:dyDescent="0.25">
      <c r="A16" s="15">
        <v>1.5703710265840901E-2</v>
      </c>
      <c r="B16" s="15" t="s">
        <v>325</v>
      </c>
      <c r="C16" s="15" t="s">
        <v>324</v>
      </c>
      <c r="D16" s="15" t="s">
        <v>335</v>
      </c>
      <c r="E16" s="15" t="s">
        <v>312</v>
      </c>
    </row>
    <row r="17" spans="1:6" x14ac:dyDescent="0.25">
      <c r="A17" s="15">
        <v>6.8111458857769E-3</v>
      </c>
      <c r="B17" s="15" t="s">
        <v>325</v>
      </c>
      <c r="C17" s="15" t="s">
        <v>324</v>
      </c>
      <c r="D17" s="15" t="s">
        <v>336</v>
      </c>
      <c r="E17" s="15" t="s">
        <v>313</v>
      </c>
    </row>
    <row r="18" spans="1:6" x14ac:dyDescent="0.25">
      <c r="A18" s="11">
        <v>2.2277037972546998E-6</v>
      </c>
      <c r="B18" s="12" t="s">
        <v>325</v>
      </c>
      <c r="C18" s="12" t="s">
        <v>324</v>
      </c>
      <c r="D18" s="12" t="s">
        <v>334</v>
      </c>
      <c r="E18" s="12" t="s">
        <v>313</v>
      </c>
    </row>
    <row r="19" spans="1:6" x14ac:dyDescent="0.25">
      <c r="A19" s="15">
        <v>1.1796839608684999E-3</v>
      </c>
      <c r="B19" s="15" t="s">
        <v>325</v>
      </c>
      <c r="C19" s="15" t="s">
        <v>324</v>
      </c>
      <c r="D19" s="15" t="s">
        <v>337</v>
      </c>
      <c r="E19" s="15" t="s">
        <v>320</v>
      </c>
    </row>
    <row r="24" spans="1:6" x14ac:dyDescent="0.25">
      <c r="A24" s="4">
        <f>SUM(A1:A4,A7,A13:A17,A19)</f>
        <v>0.80065746320869113</v>
      </c>
      <c r="B24" t="s">
        <v>338</v>
      </c>
    </row>
    <row r="25" spans="1:6" x14ac:dyDescent="0.25">
      <c r="A25">
        <v>0.80065746320869102</v>
      </c>
    </row>
    <row r="27" spans="1:6" x14ac:dyDescent="0.25">
      <c r="E27" t="s">
        <v>340</v>
      </c>
      <c r="F27" t="s">
        <v>339</v>
      </c>
    </row>
    <row r="28" spans="1:6" x14ac:dyDescent="0.25">
      <c r="D28" s="13" t="s">
        <v>326</v>
      </c>
      <c r="E28" s="13">
        <v>0.60496470841708605</v>
      </c>
      <c r="F28">
        <f>E28/SUM($E$28:$E$38)</f>
        <v>0.7555849239107163</v>
      </c>
    </row>
    <row r="29" spans="1:6" x14ac:dyDescent="0.25">
      <c r="D29" s="13" t="s">
        <v>327</v>
      </c>
      <c r="E29" s="13">
        <v>0.170490173414167</v>
      </c>
      <c r="F29">
        <f t="shared" ref="F29:F38" si="0">E29/SUM($E$28:$E$38)</f>
        <v>0.21293771837324246</v>
      </c>
    </row>
    <row r="30" spans="1:6" x14ac:dyDescent="0.25">
      <c r="D30" s="13" t="s">
        <v>289</v>
      </c>
      <c r="E30" s="13">
        <v>1.2332162617343799E-3</v>
      </c>
      <c r="F30">
        <f t="shared" si="0"/>
        <v>1.5402545013346643E-3</v>
      </c>
    </row>
    <row r="31" spans="1:6" x14ac:dyDescent="0.25">
      <c r="D31" s="13" t="s">
        <v>280</v>
      </c>
      <c r="E31" s="13">
        <v>2.7482282118931699E-4</v>
      </c>
      <c r="F31">
        <f t="shared" si="0"/>
        <v>3.4324643660716683E-4</v>
      </c>
    </row>
    <row r="32" spans="1:6" x14ac:dyDescent="0.25">
      <c r="D32" s="13" t="s">
        <v>323</v>
      </c>
      <c r="E32" s="14">
        <v>1.4454551494694501E-9</v>
      </c>
      <c r="F32">
        <f t="shared" si="0"/>
        <v>1.8053352599458535E-9</v>
      </c>
    </row>
    <row r="33" spans="3:6" x14ac:dyDescent="0.25">
      <c r="D33" s="13" t="s">
        <v>322</v>
      </c>
      <c r="E33" s="14">
        <v>3.7105553648984102E-10</v>
      </c>
      <c r="F33">
        <f t="shared" si="0"/>
        <v>4.6343855336439363E-10</v>
      </c>
    </row>
    <row r="34" spans="3:6" x14ac:dyDescent="0.25">
      <c r="D34" s="15" t="s">
        <v>322</v>
      </c>
      <c r="E34" s="16">
        <v>1.8275869705935501E-10</v>
      </c>
      <c r="F34">
        <f t="shared" si="0"/>
        <v>2.2826077999315297E-10</v>
      </c>
    </row>
    <row r="35" spans="3:6" x14ac:dyDescent="0.25">
      <c r="D35" s="15" t="s">
        <v>323</v>
      </c>
      <c r="E35" s="16">
        <v>1.8275869705935501E-10</v>
      </c>
      <c r="F35">
        <f t="shared" si="0"/>
        <v>2.2826077999315297E-10</v>
      </c>
    </row>
    <row r="36" spans="3:6" x14ac:dyDescent="0.25">
      <c r="D36" s="15" t="s">
        <v>335</v>
      </c>
      <c r="E36" s="15">
        <v>1.5703710265840901E-2</v>
      </c>
      <c r="F36">
        <f t="shared" si="0"/>
        <v>1.961351887348577E-2</v>
      </c>
    </row>
    <row r="37" spans="3:6" x14ac:dyDescent="0.25">
      <c r="D37" s="15" t="s">
        <v>336</v>
      </c>
      <c r="E37" s="15">
        <v>6.8111458857769E-3</v>
      </c>
      <c r="F37">
        <f t="shared" si="0"/>
        <v>8.5069411062263182E-3</v>
      </c>
    </row>
    <row r="38" spans="3:6" x14ac:dyDescent="0.25">
      <c r="D38" s="15" t="s">
        <v>337</v>
      </c>
      <c r="E38" s="15">
        <v>1.1796839608684999E-3</v>
      </c>
      <c r="F38">
        <f t="shared" si="0"/>
        <v>1.473394073091923E-3</v>
      </c>
    </row>
    <row r="41" spans="3:6" x14ac:dyDescent="0.25">
      <c r="C41" s="9"/>
      <c r="E41" s="17"/>
      <c r="F41">
        <f>SUM(F28:F38)</f>
        <v>0.99999999999999978</v>
      </c>
    </row>
    <row r="42" spans="3:6" x14ac:dyDescent="0.25">
      <c r="E42" s="1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activeCell="D24" sqref="D24"/>
    </sheetView>
  </sheetViews>
  <sheetFormatPr defaultRowHeight="15" x14ac:dyDescent="0.25"/>
  <cols>
    <col min="1" max="1" width="12" bestFit="1" customWidth="1"/>
    <col min="2" max="2" width="8.7109375" bestFit="1" customWidth="1"/>
    <col min="3" max="3" width="12.42578125" bestFit="1" customWidth="1"/>
    <col min="4" max="4" width="49.140625" bestFit="1" customWidth="1"/>
  </cols>
  <sheetData>
    <row r="1" spans="1:4" x14ac:dyDescent="0.25">
      <c r="A1">
        <v>7.1429507115424E-3</v>
      </c>
      <c r="B1" t="s">
        <v>325</v>
      </c>
      <c r="C1" t="s">
        <v>353</v>
      </c>
      <c r="D1" t="s">
        <v>306</v>
      </c>
    </row>
    <row r="2" spans="1:4" x14ac:dyDescent="0.25">
      <c r="A2">
        <v>0.149921214972668</v>
      </c>
      <c r="B2" t="s">
        <v>325</v>
      </c>
      <c r="C2" t="s">
        <v>353</v>
      </c>
      <c r="D2" t="s">
        <v>306</v>
      </c>
    </row>
    <row r="3" spans="1:4" x14ac:dyDescent="0.25">
      <c r="A3">
        <v>0.384930999735831</v>
      </c>
      <c r="B3" t="s">
        <v>325</v>
      </c>
      <c r="C3" t="s">
        <v>353</v>
      </c>
      <c r="D3" t="s">
        <v>306</v>
      </c>
    </row>
    <row r="4" spans="1:4" x14ac:dyDescent="0.25">
      <c r="A4">
        <v>8.5540222163517903E-3</v>
      </c>
      <c r="B4" t="s">
        <v>325</v>
      </c>
      <c r="C4" t="s">
        <v>353</v>
      </c>
      <c r="D4" t="s">
        <v>306</v>
      </c>
    </row>
    <row r="5" spans="1:4" x14ac:dyDescent="0.25">
      <c r="A5">
        <v>0.13515355101835799</v>
      </c>
      <c r="B5" t="s">
        <v>325</v>
      </c>
      <c r="C5" t="s">
        <v>353</v>
      </c>
      <c r="D5" t="s">
        <v>306</v>
      </c>
    </row>
    <row r="6" spans="1:4" x14ac:dyDescent="0.25">
      <c r="A6">
        <v>0.17881386723022799</v>
      </c>
      <c r="B6" t="s">
        <v>325</v>
      </c>
      <c r="C6" t="s">
        <v>353</v>
      </c>
      <c r="D6" t="s">
        <v>316</v>
      </c>
    </row>
    <row r="7" spans="1:4" x14ac:dyDescent="0.25">
      <c r="A7">
        <v>0.135483394115021</v>
      </c>
      <c r="B7" t="s">
        <v>325</v>
      </c>
      <c r="C7" t="s">
        <v>353</v>
      </c>
      <c r="D7" t="s">
        <v>306</v>
      </c>
    </row>
    <row r="8" spans="1:4" x14ac:dyDescent="0.25">
      <c r="A8">
        <f>SUM(A1:A7)</f>
        <v>1.0000000000000002</v>
      </c>
    </row>
    <row r="11" spans="1:4" x14ac:dyDescent="0.25">
      <c r="A11">
        <f>A6</f>
        <v>0.17881386723022799</v>
      </c>
      <c r="B11" t="s">
        <v>316</v>
      </c>
    </row>
    <row r="12" spans="1:4" x14ac:dyDescent="0.25">
      <c r="A12">
        <f>SUM(A1:A5)+A7</f>
        <v>0.82118613276977226</v>
      </c>
      <c r="B12" t="s">
        <v>306</v>
      </c>
    </row>
    <row r="18" spans="1:1" x14ac:dyDescent="0.25">
      <c r="A18">
        <v>0.17881386723022799</v>
      </c>
    </row>
    <row r="19" spans="1:1" x14ac:dyDescent="0.25">
      <c r="A19">
        <v>0.82118613276977204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C23" sqref="C23"/>
    </sheetView>
  </sheetViews>
  <sheetFormatPr defaultRowHeight="15" x14ac:dyDescent="0.25"/>
  <cols>
    <col min="1" max="1" width="12.85546875" bestFit="1" customWidth="1"/>
    <col min="2" max="2" width="14.28515625" bestFit="1" customWidth="1"/>
    <col min="3" max="3" width="21" bestFit="1" customWidth="1"/>
    <col min="4" max="4" width="12" bestFit="1" customWidth="1"/>
  </cols>
  <sheetData>
    <row r="1" spans="1:5" x14ac:dyDescent="0.25">
      <c r="A1" s="18" t="s">
        <v>311</v>
      </c>
    </row>
    <row r="2" spans="1:5" x14ac:dyDescent="0.25">
      <c r="B2" t="s">
        <v>379</v>
      </c>
      <c r="C2" t="s">
        <v>382</v>
      </c>
    </row>
    <row r="3" spans="1:5" x14ac:dyDescent="0.25">
      <c r="A3" t="s">
        <v>380</v>
      </c>
      <c r="B3">
        <v>0.84019999999999995</v>
      </c>
      <c r="C3">
        <v>0.29632999999999998</v>
      </c>
      <c r="D3">
        <f>B3*C3</f>
        <v>0.24897646599999998</v>
      </c>
      <c r="E3" s="7">
        <f>D3/SUM($D$3:$D$5)</f>
        <v>0.97808958425763304</v>
      </c>
    </row>
    <row r="4" spans="1:5" x14ac:dyDescent="0.25">
      <c r="A4" t="s">
        <v>381</v>
      </c>
      <c r="B4">
        <v>5.8415999999999997</v>
      </c>
      <c r="C4">
        <v>8.4088000000000001E-4</v>
      </c>
      <c r="D4">
        <f t="shared" ref="D4:D5" si="0">B4*C4</f>
        <v>4.9120846079999999E-3</v>
      </c>
      <c r="E4" s="7">
        <f t="shared" ref="E4:E5" si="1">D4/SUM($D$3:$D$5)</f>
        <v>1.9296839051756155E-2</v>
      </c>
    </row>
    <row r="5" spans="1:5" x14ac:dyDescent="0.25">
      <c r="A5" t="s">
        <v>66</v>
      </c>
      <c r="B5">
        <v>1600</v>
      </c>
      <c r="C5" s="9">
        <v>4.1581000000000002E-7</v>
      </c>
      <c r="D5">
        <f t="shared" si="0"/>
        <v>6.6529600000000001E-4</v>
      </c>
      <c r="E5" s="7">
        <f t="shared" si="1"/>
        <v>2.6135766906108561E-3</v>
      </c>
    </row>
    <row r="7" spans="1:5" x14ac:dyDescent="0.25">
      <c r="A7" s="18" t="s">
        <v>311</v>
      </c>
    </row>
    <row r="8" spans="1:5" x14ac:dyDescent="0.25">
      <c r="B8" t="s">
        <v>379</v>
      </c>
      <c r="C8" t="s">
        <v>382</v>
      </c>
    </row>
    <row r="9" spans="1:5" x14ac:dyDescent="0.25">
      <c r="A9" t="s">
        <v>380</v>
      </c>
      <c r="B9">
        <v>0.84019999999999995</v>
      </c>
      <c r="C9">
        <v>0.29632999999999998</v>
      </c>
      <c r="D9">
        <f>B9*C9</f>
        <v>0.24897646599999998</v>
      </c>
      <c r="E9" s="7">
        <f>D9/SUM($D$9:$D$11)</f>
        <v>0.89167592766689696</v>
      </c>
    </row>
    <row r="10" spans="1:5" x14ac:dyDescent="0.25">
      <c r="A10" t="s">
        <v>381</v>
      </c>
      <c r="B10">
        <v>5.8415999999999997</v>
      </c>
      <c r="C10">
        <v>5.1526999999999996E-3</v>
      </c>
      <c r="D10">
        <f t="shared" ref="D10:D11" si="2">B10*C10</f>
        <v>3.0100012319999998E-2</v>
      </c>
      <c r="E10" s="7">
        <f>D10/SUM($D$9:$D$11)</f>
        <v>0.10779917009594403</v>
      </c>
    </row>
    <row r="11" spans="1:5" x14ac:dyDescent="0.25">
      <c r="A11" t="s">
        <v>66</v>
      </c>
      <c r="B11">
        <v>1600</v>
      </c>
      <c r="C11" s="9">
        <v>9.1603000000000003E-8</v>
      </c>
      <c r="D11">
        <f t="shared" si="2"/>
        <v>1.4656480000000002E-4</v>
      </c>
      <c r="E11" s="7">
        <f>D11/SUM($D$9:$D$11)</f>
        <v>5.2490223715888568E-4</v>
      </c>
    </row>
    <row r="13" spans="1:5" x14ac:dyDescent="0.25">
      <c r="A13" s="18" t="s">
        <v>276</v>
      </c>
    </row>
    <row r="14" spans="1:5" x14ac:dyDescent="0.25">
      <c r="B14" t="s">
        <v>379</v>
      </c>
      <c r="C14" t="s">
        <v>382</v>
      </c>
    </row>
    <row r="15" spans="1:5" x14ac:dyDescent="0.25">
      <c r="A15" t="s">
        <v>380</v>
      </c>
      <c r="B15">
        <v>0.84019999999999995</v>
      </c>
      <c r="C15">
        <v>0.29632999999999998</v>
      </c>
      <c r="D15">
        <f>B15*C15</f>
        <v>0.24897646599999998</v>
      </c>
      <c r="E15" s="7">
        <f>D15/SUM($D$15:$D$17)</f>
        <v>0.91471461433732637</v>
      </c>
    </row>
    <row r="16" spans="1:5" x14ac:dyDescent="0.25">
      <c r="A16" t="s">
        <v>381</v>
      </c>
      <c r="B16">
        <v>5.8415999999999997</v>
      </c>
      <c r="C16">
        <v>3.8003999999999998E-3</v>
      </c>
      <c r="D16">
        <f t="shared" ref="D16:D17" si="3">B16*C16</f>
        <v>2.2200416639999998E-2</v>
      </c>
      <c r="E16" s="7">
        <f>D16/SUM($D$15:$D$17)</f>
        <v>8.1562108544771306E-2</v>
      </c>
    </row>
    <row r="17" spans="1:5" x14ac:dyDescent="0.25">
      <c r="A17" t="s">
        <v>66</v>
      </c>
      <c r="B17">
        <v>1600</v>
      </c>
      <c r="C17" s="9">
        <v>6.3340000000000005E-7</v>
      </c>
      <c r="D17">
        <f t="shared" si="3"/>
        <v>1.01344E-3</v>
      </c>
      <c r="E17" s="7">
        <f>D17/SUM($D$15:$D$17)</f>
        <v>3.7232771179024613E-3</v>
      </c>
    </row>
    <row r="19" spans="1:5" x14ac:dyDescent="0.25">
      <c r="A19" s="18" t="s">
        <v>242</v>
      </c>
    </row>
    <row r="20" spans="1:5" x14ac:dyDescent="0.25">
      <c r="B20" t="s">
        <v>379</v>
      </c>
      <c r="C20" t="s">
        <v>382</v>
      </c>
    </row>
    <row r="21" spans="1:5" x14ac:dyDescent="0.25">
      <c r="A21" t="s">
        <v>380</v>
      </c>
      <c r="B21">
        <v>0.84019999999999995</v>
      </c>
      <c r="C21">
        <v>0.29632999999999998</v>
      </c>
      <c r="D21">
        <f>B21*C21</f>
        <v>0.24897646599999998</v>
      </c>
      <c r="E21" s="7">
        <f>D21/SUM($D$21:$D$23)</f>
        <v>0.9711045829123125</v>
      </c>
    </row>
    <row r="22" spans="1:5" x14ac:dyDescent="0.25">
      <c r="A22" t="s">
        <v>381</v>
      </c>
      <c r="B22">
        <v>5.8415999999999997</v>
      </c>
      <c r="C22">
        <v>1.2113E-3</v>
      </c>
      <c r="D22">
        <f t="shared" ref="D22:D23" si="4">B22*C22</f>
        <v>7.0759300799999999E-3</v>
      </c>
      <c r="E22" s="7">
        <f>D22/SUM($D$21:$D$23)</f>
        <v>2.7598866027181406E-2</v>
      </c>
    </row>
    <row r="23" spans="1:5" x14ac:dyDescent="0.25">
      <c r="A23" t="s">
        <v>66</v>
      </c>
      <c r="B23">
        <v>1600</v>
      </c>
      <c r="C23" s="9">
        <v>2.0776E-7</v>
      </c>
      <c r="D23">
        <f t="shared" si="4"/>
        <v>3.3241599999999998E-4</v>
      </c>
      <c r="E23" s="7">
        <f>D23/SUM($D$21:$D$23)</f>
        <v>1.2965510605061736E-3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workbookViewId="0">
      <selection activeCell="F7" sqref="F7"/>
    </sheetView>
  </sheetViews>
  <sheetFormatPr defaultRowHeight="15" x14ac:dyDescent="0.25"/>
  <cols>
    <col min="2" max="2" width="11.42578125" bestFit="1" customWidth="1"/>
    <col min="3" max="3" width="24" bestFit="1" customWidth="1"/>
    <col min="4" max="4" width="34.140625" bestFit="1" customWidth="1"/>
    <col min="5" max="5" width="5.140625" bestFit="1" customWidth="1"/>
  </cols>
  <sheetData>
    <row r="1" spans="1:6" x14ac:dyDescent="0.25">
      <c r="A1" s="19" t="s">
        <v>586</v>
      </c>
    </row>
    <row r="2" spans="1:6" x14ac:dyDescent="0.25">
      <c r="F2" t="s">
        <v>556</v>
      </c>
    </row>
    <row r="3" spans="1:6" x14ac:dyDescent="0.25">
      <c r="A3" s="9">
        <v>6.1291819337933607E-5</v>
      </c>
      <c r="B3" t="s">
        <v>587</v>
      </c>
      <c r="C3" t="s">
        <v>588</v>
      </c>
      <c r="D3" t="s">
        <v>589</v>
      </c>
      <c r="E3" t="s">
        <v>590</v>
      </c>
      <c r="F3" s="2">
        <f>A3/SUM($A$3:$A$26)</f>
        <v>1.9919841284828529E-2</v>
      </c>
    </row>
    <row r="4" spans="1:6" x14ac:dyDescent="0.25">
      <c r="A4" s="9">
        <v>1.1480055050597E-5</v>
      </c>
      <c r="B4" t="s">
        <v>587</v>
      </c>
      <c r="C4" t="s">
        <v>588</v>
      </c>
      <c r="D4" t="s">
        <v>589</v>
      </c>
      <c r="E4" t="s">
        <v>521</v>
      </c>
      <c r="F4" s="2">
        <f t="shared" ref="F4:F26" si="0">A4/SUM($A$3:$A$26)</f>
        <v>3.731017891444045E-3</v>
      </c>
    </row>
    <row r="5" spans="1:6" x14ac:dyDescent="0.25">
      <c r="A5" s="9">
        <v>2.53534097134373E-5</v>
      </c>
      <c r="B5" t="s">
        <v>587</v>
      </c>
      <c r="C5" t="s">
        <v>588</v>
      </c>
      <c r="D5" t="s">
        <v>589</v>
      </c>
      <c r="E5" t="s">
        <v>446</v>
      </c>
      <c r="F5" s="2">
        <f t="shared" si="0"/>
        <v>8.239858156867166E-3</v>
      </c>
    </row>
    <row r="6" spans="1:6" x14ac:dyDescent="0.25">
      <c r="A6">
        <v>1.17038188354816E-4</v>
      </c>
      <c r="B6" t="s">
        <v>587</v>
      </c>
      <c r="C6" t="s">
        <v>588</v>
      </c>
      <c r="D6" t="s">
        <v>589</v>
      </c>
      <c r="E6" t="s">
        <v>270</v>
      </c>
      <c r="F6" s="2">
        <f t="shared" si="0"/>
        <v>3.8037411215315405E-2</v>
      </c>
    </row>
    <row r="7" spans="1:6" x14ac:dyDescent="0.25">
      <c r="A7" s="13">
        <v>1.7317371178019299E-4</v>
      </c>
      <c r="B7" s="13" t="s">
        <v>587</v>
      </c>
      <c r="C7" s="13" t="s">
        <v>588</v>
      </c>
      <c r="D7" s="13" t="s">
        <v>589</v>
      </c>
      <c r="E7" s="13" t="s">
        <v>254</v>
      </c>
      <c r="F7" s="20">
        <f t="shared" si="0"/>
        <v>5.6281456328563025E-2</v>
      </c>
    </row>
    <row r="8" spans="1:6" x14ac:dyDescent="0.25">
      <c r="A8" s="9">
        <v>1.26475182760815E-5</v>
      </c>
      <c r="B8" t="s">
        <v>587</v>
      </c>
      <c r="C8" t="s">
        <v>588</v>
      </c>
      <c r="D8" t="s">
        <v>589</v>
      </c>
      <c r="E8" t="s">
        <v>564</v>
      </c>
      <c r="F8" s="2">
        <f t="shared" si="0"/>
        <v>4.1104434397265096E-3</v>
      </c>
    </row>
    <row r="9" spans="1:6" x14ac:dyDescent="0.25">
      <c r="A9" s="9">
        <v>4.3877159557790503E-5</v>
      </c>
      <c r="B9" t="s">
        <v>587</v>
      </c>
      <c r="C9" t="s">
        <v>588</v>
      </c>
      <c r="D9" t="s">
        <v>589</v>
      </c>
      <c r="E9" t="s">
        <v>591</v>
      </c>
      <c r="F9" s="2">
        <f t="shared" si="0"/>
        <v>1.426007685628199E-2</v>
      </c>
    </row>
    <row r="10" spans="1:6" x14ac:dyDescent="0.25">
      <c r="A10" s="9">
        <v>3.3875988548075902E-7</v>
      </c>
      <c r="B10" t="s">
        <v>587</v>
      </c>
      <c r="C10" t="s">
        <v>588</v>
      </c>
      <c r="D10" t="s">
        <v>589</v>
      </c>
      <c r="E10" t="s">
        <v>569</v>
      </c>
      <c r="F10" s="2">
        <f t="shared" si="0"/>
        <v>1.1009696278124728E-4</v>
      </c>
    </row>
    <row r="11" spans="1:6" x14ac:dyDescent="0.25">
      <c r="A11" s="9">
        <v>4.2806984934429802E-5</v>
      </c>
      <c r="B11" t="s">
        <v>587</v>
      </c>
      <c r="C11" t="s">
        <v>588</v>
      </c>
      <c r="D11" t="s">
        <v>589</v>
      </c>
      <c r="E11" t="s">
        <v>287</v>
      </c>
      <c r="F11" s="2">
        <f t="shared" si="0"/>
        <v>1.3912270103689761E-2</v>
      </c>
    </row>
    <row r="12" spans="1:6" x14ac:dyDescent="0.25">
      <c r="A12" s="9">
        <v>1.07017462336074E-5</v>
      </c>
      <c r="B12" t="s">
        <v>587</v>
      </c>
      <c r="C12" t="s">
        <v>588</v>
      </c>
      <c r="D12" t="s">
        <v>589</v>
      </c>
      <c r="E12" t="s">
        <v>592</v>
      </c>
      <c r="F12" s="2">
        <f t="shared" si="0"/>
        <v>3.4780675259224233E-3</v>
      </c>
    </row>
    <row r="13" spans="1:6" x14ac:dyDescent="0.25">
      <c r="A13">
        <v>2.12478307038169E-4</v>
      </c>
      <c r="B13" t="s">
        <v>587</v>
      </c>
      <c r="C13" t="s">
        <v>588</v>
      </c>
      <c r="D13" t="s">
        <v>589</v>
      </c>
      <c r="E13" t="s">
        <v>509</v>
      </c>
      <c r="F13" s="2">
        <f t="shared" si="0"/>
        <v>6.9055449787405299E-2</v>
      </c>
    </row>
    <row r="14" spans="1:6" x14ac:dyDescent="0.25">
      <c r="A14">
        <v>1.0516897889572399E-4</v>
      </c>
      <c r="B14" t="s">
        <v>587</v>
      </c>
      <c r="C14" t="s">
        <v>588</v>
      </c>
      <c r="D14" t="s">
        <v>589</v>
      </c>
      <c r="E14" t="s">
        <v>321</v>
      </c>
      <c r="F14" s="2">
        <f t="shared" si="0"/>
        <v>3.4179918141110481E-2</v>
      </c>
    </row>
    <row r="15" spans="1:6" x14ac:dyDescent="0.25">
      <c r="A15" s="9">
        <v>1.7657881285452299E-5</v>
      </c>
      <c r="B15" t="s">
        <v>587</v>
      </c>
      <c r="C15" t="s">
        <v>588</v>
      </c>
      <c r="D15" t="s">
        <v>589</v>
      </c>
      <c r="E15" t="s">
        <v>593</v>
      </c>
      <c r="F15" s="2">
        <f t="shared" si="0"/>
        <v>5.7388114177720278E-3</v>
      </c>
    </row>
    <row r="16" spans="1:6" x14ac:dyDescent="0.25">
      <c r="A16" s="9">
        <v>1.6149907952534799E-5</v>
      </c>
      <c r="B16" t="s">
        <v>587</v>
      </c>
      <c r="C16" t="s">
        <v>588</v>
      </c>
      <c r="D16" t="s">
        <v>589</v>
      </c>
      <c r="E16" t="s">
        <v>286</v>
      </c>
      <c r="F16" s="2">
        <f t="shared" si="0"/>
        <v>5.2487200845738376E-3</v>
      </c>
    </row>
    <row r="17" spans="1:6" x14ac:dyDescent="0.25">
      <c r="A17" s="9">
        <v>7.4657259452141604E-6</v>
      </c>
      <c r="B17" t="s">
        <v>587</v>
      </c>
      <c r="C17" t="s">
        <v>588</v>
      </c>
      <c r="D17" t="s">
        <v>589</v>
      </c>
      <c r="E17" t="s">
        <v>594</v>
      </c>
      <c r="F17" s="2">
        <f t="shared" si="0"/>
        <v>2.4263609321946151E-3</v>
      </c>
    </row>
    <row r="18" spans="1:6" x14ac:dyDescent="0.25">
      <c r="A18" s="9">
        <v>8.8240762126199601E-5</v>
      </c>
      <c r="B18" t="s">
        <v>587</v>
      </c>
      <c r="C18" t="s">
        <v>588</v>
      </c>
      <c r="D18" t="s">
        <v>589</v>
      </c>
      <c r="E18" t="s">
        <v>574</v>
      </c>
      <c r="F18" s="2">
        <f t="shared" si="0"/>
        <v>2.8678247691015023E-2</v>
      </c>
    </row>
    <row r="19" spans="1:6" x14ac:dyDescent="0.25">
      <c r="A19" s="9">
        <v>4.3974448159914198E-5</v>
      </c>
      <c r="B19" t="s">
        <v>587</v>
      </c>
      <c r="C19" t="s">
        <v>588</v>
      </c>
      <c r="D19" t="s">
        <v>589</v>
      </c>
      <c r="E19" t="s">
        <v>537</v>
      </c>
      <c r="F19" s="2">
        <f t="shared" si="0"/>
        <v>1.4291695651972192E-2</v>
      </c>
    </row>
    <row r="20" spans="1:6" x14ac:dyDescent="0.25">
      <c r="A20" s="9">
        <v>1.81890937681625E-5</v>
      </c>
      <c r="B20" t="s">
        <v>587</v>
      </c>
      <c r="C20" t="s">
        <v>588</v>
      </c>
      <c r="D20" t="s">
        <v>589</v>
      </c>
      <c r="E20" t="s">
        <v>595</v>
      </c>
      <c r="F20" s="2">
        <f t="shared" si="0"/>
        <v>5.9114554746528443E-3</v>
      </c>
    </row>
    <row r="21" spans="1:6" x14ac:dyDescent="0.25">
      <c r="A21" s="9">
        <v>4.0763924289831998E-5</v>
      </c>
      <c r="B21" t="s">
        <v>587</v>
      </c>
      <c r="C21" t="s">
        <v>588</v>
      </c>
      <c r="D21" t="s">
        <v>589</v>
      </c>
      <c r="E21" t="s">
        <v>542</v>
      </c>
      <c r="F21" s="2">
        <f t="shared" si="0"/>
        <v>1.324827539419547E-2</v>
      </c>
    </row>
    <row r="22" spans="1:6" x14ac:dyDescent="0.25">
      <c r="A22">
        <v>1.0289707505270499E-3</v>
      </c>
      <c r="B22" t="s">
        <v>587</v>
      </c>
      <c r="C22" t="s">
        <v>588</v>
      </c>
      <c r="D22" t="s">
        <v>589</v>
      </c>
      <c r="E22" t="s">
        <v>256</v>
      </c>
      <c r="F22" s="2">
        <f t="shared" si="0"/>
        <v>0.33441549392129305</v>
      </c>
    </row>
    <row r="23" spans="1:6" x14ac:dyDescent="0.25">
      <c r="A23">
        <v>1.08184925561559E-4</v>
      </c>
      <c r="B23" t="s">
        <v>587</v>
      </c>
      <c r="C23" t="s">
        <v>588</v>
      </c>
      <c r="D23" t="s">
        <v>589</v>
      </c>
      <c r="E23" t="s">
        <v>585</v>
      </c>
      <c r="F23" s="2">
        <f t="shared" si="0"/>
        <v>3.5160100807506867E-2</v>
      </c>
    </row>
    <row r="24" spans="1:6" x14ac:dyDescent="0.25">
      <c r="A24" s="9">
        <v>4.2028676117440102E-5</v>
      </c>
      <c r="B24" t="s">
        <v>587</v>
      </c>
      <c r="C24" t="s">
        <v>588</v>
      </c>
      <c r="D24" t="s">
        <v>589</v>
      </c>
      <c r="E24" t="s">
        <v>547</v>
      </c>
      <c r="F24" s="2">
        <f t="shared" si="0"/>
        <v>1.3659319738168106E-2</v>
      </c>
    </row>
    <row r="25" spans="1:6" x14ac:dyDescent="0.25">
      <c r="A25">
        <v>8.2364530557927902E-4</v>
      </c>
      <c r="B25" t="s">
        <v>587</v>
      </c>
      <c r="C25" t="s">
        <v>588</v>
      </c>
      <c r="D25" t="s">
        <v>589</v>
      </c>
      <c r="E25" t="s">
        <v>276</v>
      </c>
      <c r="F25" s="2">
        <f t="shared" si="0"/>
        <v>0.26768472431326712</v>
      </c>
    </row>
    <row r="26" spans="1:6" x14ac:dyDescent="0.25">
      <c r="A26" s="9">
        <v>2.5295036552163E-5</v>
      </c>
      <c r="B26" t="s">
        <v>587</v>
      </c>
      <c r="C26" t="s">
        <v>588</v>
      </c>
      <c r="D26" t="s">
        <v>589</v>
      </c>
      <c r="E26" t="s">
        <v>514</v>
      </c>
      <c r="F26" s="2">
        <f t="shared" si="0"/>
        <v>8.2208868794530193E-3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0"/>
  <sheetViews>
    <sheetView workbookViewId="0">
      <selection activeCell="F31" sqref="F31"/>
    </sheetView>
  </sheetViews>
  <sheetFormatPr defaultRowHeight="15" x14ac:dyDescent="0.25"/>
  <cols>
    <col min="1" max="1" width="12" bestFit="1" customWidth="1"/>
    <col min="2" max="2" width="12.85546875" bestFit="1" customWidth="1"/>
    <col min="3" max="3" width="25.85546875" bestFit="1" customWidth="1"/>
    <col min="4" max="4" width="41.5703125" bestFit="1" customWidth="1"/>
  </cols>
  <sheetData>
    <row r="1" spans="1:6" x14ac:dyDescent="0.25">
      <c r="A1" s="19" t="s">
        <v>562</v>
      </c>
      <c r="F1" t="s">
        <v>556</v>
      </c>
    </row>
    <row r="2" spans="1:6" x14ac:dyDescent="0.25">
      <c r="A2" s="9">
        <v>5.18422770141076E-6</v>
      </c>
      <c r="B2" t="s">
        <v>517</v>
      </c>
      <c r="C2" t="s">
        <v>518</v>
      </c>
      <c r="D2" t="s">
        <v>519</v>
      </c>
      <c r="E2" s="19" t="s">
        <v>520</v>
      </c>
      <c r="F2" s="2">
        <f t="shared" ref="F2:F47" si="0">A2/$A$49</f>
        <v>2.7700922796744683E-4</v>
      </c>
    </row>
    <row r="3" spans="1:6" x14ac:dyDescent="0.25">
      <c r="A3">
        <v>1.7720990156270999E-4</v>
      </c>
      <c r="B3" t="s">
        <v>517</v>
      </c>
      <c r="C3" t="s">
        <v>518</v>
      </c>
      <c r="D3" t="s">
        <v>519</v>
      </c>
      <c r="E3" s="19" t="s">
        <v>307</v>
      </c>
      <c r="F3" s="2">
        <f t="shared" si="0"/>
        <v>9.4688699739626098E-3</v>
      </c>
    </row>
    <row r="4" spans="1:6" x14ac:dyDescent="0.25">
      <c r="A4" s="9">
        <v>1.72595692845473E-5</v>
      </c>
      <c r="B4" t="s">
        <v>517</v>
      </c>
      <c r="C4" t="s">
        <v>518</v>
      </c>
      <c r="D4" t="s">
        <v>519</v>
      </c>
      <c r="E4" s="19" t="s">
        <v>521</v>
      </c>
      <c r="F4" s="2">
        <f t="shared" si="0"/>
        <v>9.2223186131698228E-4</v>
      </c>
    </row>
    <row r="5" spans="1:6" x14ac:dyDescent="0.25">
      <c r="A5" s="9">
        <v>5.6647808540594301E-5</v>
      </c>
      <c r="B5" t="s">
        <v>517</v>
      </c>
      <c r="C5" t="s">
        <v>518</v>
      </c>
      <c r="D5" t="s">
        <v>519</v>
      </c>
      <c r="E5" s="19" t="s">
        <v>522</v>
      </c>
      <c r="F5" s="2">
        <f t="shared" si="0"/>
        <v>3.0268666064971615E-3</v>
      </c>
    </row>
    <row r="6" spans="1:6" x14ac:dyDescent="0.25">
      <c r="A6" s="9">
        <v>1.46041703514608E-5</v>
      </c>
      <c r="B6" t="s">
        <v>517</v>
      </c>
      <c r="C6" t="s">
        <v>518</v>
      </c>
      <c r="D6" t="s">
        <v>519</v>
      </c>
      <c r="E6" s="19" t="s">
        <v>523</v>
      </c>
      <c r="F6" s="2">
        <f t="shared" si="0"/>
        <v>7.8034573077535776E-4</v>
      </c>
    </row>
    <row r="7" spans="1:6" x14ac:dyDescent="0.25">
      <c r="A7" s="9">
        <v>3.0525200605375901E-6</v>
      </c>
      <c r="B7" t="s">
        <v>517</v>
      </c>
      <c r="C7" t="s">
        <v>518</v>
      </c>
      <c r="D7" t="s">
        <v>519</v>
      </c>
      <c r="E7" s="19" t="s">
        <v>524</v>
      </c>
      <c r="F7" s="2">
        <f t="shared" si="0"/>
        <v>1.6310553355797992E-4</v>
      </c>
    </row>
    <row r="8" spans="1:6" x14ac:dyDescent="0.25">
      <c r="A8" s="9">
        <v>3.9115232251788498E-6</v>
      </c>
      <c r="B8" t="s">
        <v>517</v>
      </c>
      <c r="C8" t="s">
        <v>518</v>
      </c>
      <c r="D8" t="s">
        <v>519</v>
      </c>
      <c r="E8" s="19" t="s">
        <v>525</v>
      </c>
      <c r="F8" s="2">
        <f t="shared" si="0"/>
        <v>2.0900471414260513E-4</v>
      </c>
    </row>
    <row r="9" spans="1:6" x14ac:dyDescent="0.25">
      <c r="A9" s="9">
        <v>9.2987365456018393E-6</v>
      </c>
      <c r="B9" t="s">
        <v>517</v>
      </c>
      <c r="C9" t="s">
        <v>518</v>
      </c>
      <c r="D9" t="s">
        <v>519</v>
      </c>
      <c r="E9" s="19" t="s">
        <v>526</v>
      </c>
      <c r="F9" s="2">
        <f t="shared" si="0"/>
        <v>4.9686008792956728E-4</v>
      </c>
    </row>
    <row r="10" spans="1:6" x14ac:dyDescent="0.25">
      <c r="A10" s="9">
        <v>3.9388285666495101E-5</v>
      </c>
      <c r="B10" t="s">
        <v>517</v>
      </c>
      <c r="C10" t="s">
        <v>518</v>
      </c>
      <c r="D10" t="s">
        <v>519</v>
      </c>
      <c r="E10" s="19" t="s">
        <v>527</v>
      </c>
      <c r="F10" s="2">
        <f t="shared" si="0"/>
        <v>2.1046372250331366E-3</v>
      </c>
    </row>
    <row r="11" spans="1:6" x14ac:dyDescent="0.25">
      <c r="A11">
        <v>1.45139666723171E-4</v>
      </c>
      <c r="B11" t="s">
        <v>517</v>
      </c>
      <c r="C11" t="s">
        <v>518</v>
      </c>
      <c r="D11" t="s">
        <v>519</v>
      </c>
      <c r="E11" s="19" t="s">
        <v>287</v>
      </c>
      <c r="F11" s="2">
        <f t="shared" si="0"/>
        <v>7.7552587081576915E-3</v>
      </c>
    </row>
    <row r="12" spans="1:6" x14ac:dyDescent="0.25">
      <c r="A12" s="9">
        <v>4.7393544756210002E-5</v>
      </c>
      <c r="B12" t="s">
        <v>517</v>
      </c>
      <c r="C12" t="s">
        <v>518</v>
      </c>
      <c r="D12" t="s">
        <v>519</v>
      </c>
      <c r="E12" s="19" t="s">
        <v>354</v>
      </c>
      <c r="F12" s="2">
        <f t="shared" si="0"/>
        <v>2.5323828349564557E-3</v>
      </c>
    </row>
    <row r="13" spans="1:6" x14ac:dyDescent="0.25">
      <c r="A13" s="9">
        <v>1.3282829943002301E-5</v>
      </c>
      <c r="B13" t="s">
        <v>517</v>
      </c>
      <c r="C13" t="s">
        <v>518</v>
      </c>
      <c r="D13" t="s">
        <v>519</v>
      </c>
      <c r="E13" s="19" t="s">
        <v>528</v>
      </c>
      <c r="F13" s="2">
        <f t="shared" si="0"/>
        <v>7.0974244953258452E-4</v>
      </c>
    </row>
    <row r="14" spans="1:6" x14ac:dyDescent="0.25">
      <c r="A14">
        <v>6.9261748437397395E-4</v>
      </c>
      <c r="B14" t="s">
        <v>517</v>
      </c>
      <c r="C14" t="s">
        <v>518</v>
      </c>
      <c r="D14" t="s">
        <v>519</v>
      </c>
      <c r="E14" s="19" t="s">
        <v>321</v>
      </c>
      <c r="F14" s="2">
        <f t="shared" si="0"/>
        <v>3.7008682039752869E-2</v>
      </c>
    </row>
    <row r="15" spans="1:6" x14ac:dyDescent="0.25">
      <c r="A15" s="9">
        <v>1.17138105903893E-5</v>
      </c>
      <c r="B15" t="s">
        <v>517</v>
      </c>
      <c r="C15" t="s">
        <v>518</v>
      </c>
      <c r="D15" t="s">
        <v>519</v>
      </c>
      <c r="E15" s="19" t="s">
        <v>529</v>
      </c>
      <c r="F15" s="2">
        <f t="shared" si="0"/>
        <v>6.2590492067268581E-4</v>
      </c>
    </row>
    <row r="16" spans="1:6" x14ac:dyDescent="0.25">
      <c r="A16" s="9">
        <v>9.2128404451537104E-6</v>
      </c>
      <c r="B16" t="s">
        <v>517</v>
      </c>
      <c r="C16" t="s">
        <v>518</v>
      </c>
      <c r="D16" t="s">
        <v>519</v>
      </c>
      <c r="E16" s="19" t="s">
        <v>530</v>
      </c>
      <c r="F16" s="2">
        <f t="shared" si="0"/>
        <v>4.9227039514580405E-4</v>
      </c>
    </row>
    <row r="17" spans="1:6" x14ac:dyDescent="0.25">
      <c r="A17" s="9">
        <v>1.0511415236791899E-5</v>
      </c>
      <c r="B17" t="s">
        <v>517</v>
      </c>
      <c r="C17" t="s">
        <v>518</v>
      </c>
      <c r="D17" t="s">
        <v>519</v>
      </c>
      <c r="E17" s="19" t="s">
        <v>531</v>
      </c>
      <c r="F17" s="2">
        <f t="shared" si="0"/>
        <v>5.6165723947592381E-4</v>
      </c>
    </row>
    <row r="18" spans="1:6" x14ac:dyDescent="0.25">
      <c r="A18">
        <v>4.3268000244512598E-4</v>
      </c>
      <c r="B18" t="s">
        <v>517</v>
      </c>
      <c r="C18" t="s">
        <v>518</v>
      </c>
      <c r="D18" t="s">
        <v>519</v>
      </c>
      <c r="E18" s="19" t="s">
        <v>532</v>
      </c>
      <c r="F18" s="2">
        <f t="shared" si="0"/>
        <v>2.3119423053439839E-2</v>
      </c>
    </row>
    <row r="19" spans="1:6" x14ac:dyDescent="0.25">
      <c r="A19" s="9">
        <v>8.0480490566565602E-5</v>
      </c>
      <c r="B19" t="s">
        <v>517</v>
      </c>
      <c r="C19" t="s">
        <v>518</v>
      </c>
      <c r="D19" t="s">
        <v>519</v>
      </c>
      <c r="E19" s="19" t="s">
        <v>286</v>
      </c>
      <c r="F19" s="2">
        <f t="shared" si="0"/>
        <v>4.3003200943930384E-3</v>
      </c>
    </row>
    <row r="20" spans="1:6" x14ac:dyDescent="0.25">
      <c r="A20" s="9">
        <v>1.1276019797868099E-5</v>
      </c>
      <c r="B20" t="s">
        <v>517</v>
      </c>
      <c r="C20" t="s">
        <v>518</v>
      </c>
      <c r="D20" t="s">
        <v>519</v>
      </c>
      <c r="E20" s="19" t="s">
        <v>533</v>
      </c>
      <c r="F20" s="2">
        <f t="shared" si="0"/>
        <v>6.0251241238942635E-4</v>
      </c>
    </row>
    <row r="21" spans="1:6" x14ac:dyDescent="0.25">
      <c r="A21" s="9">
        <v>1.1824813465575899E-5</v>
      </c>
      <c r="B21" t="s">
        <v>517</v>
      </c>
      <c r="C21" t="s">
        <v>518</v>
      </c>
      <c r="D21" t="s">
        <v>519</v>
      </c>
      <c r="E21" s="19" t="s">
        <v>534</v>
      </c>
      <c r="F21" s="2">
        <f t="shared" si="0"/>
        <v>6.3183614563590252E-4</v>
      </c>
    </row>
    <row r="22" spans="1:6" x14ac:dyDescent="0.25">
      <c r="A22" s="9">
        <v>1.7643223724858101E-5</v>
      </c>
      <c r="B22" t="s">
        <v>517</v>
      </c>
      <c r="C22" t="s">
        <v>518</v>
      </c>
      <c r="D22" t="s">
        <v>519</v>
      </c>
      <c r="E22" s="19" t="s">
        <v>535</v>
      </c>
      <c r="F22" s="2">
        <f t="shared" si="0"/>
        <v>9.4273169782837965E-4</v>
      </c>
    </row>
    <row r="23" spans="1:6" x14ac:dyDescent="0.25">
      <c r="A23" s="9">
        <v>6.5825194490735502E-6</v>
      </c>
      <c r="B23" t="s">
        <v>517</v>
      </c>
      <c r="C23" t="s">
        <v>518</v>
      </c>
      <c r="D23" t="s">
        <v>519</v>
      </c>
      <c r="E23" s="19" t="s">
        <v>536</v>
      </c>
      <c r="F23" s="2">
        <f t="shared" si="0"/>
        <v>3.5172425589492703E-4</v>
      </c>
    </row>
    <row r="24" spans="1:6" x14ac:dyDescent="0.25">
      <c r="A24">
        <v>1.29926775697629E-4</v>
      </c>
      <c r="B24" t="s">
        <v>517</v>
      </c>
      <c r="C24" t="s">
        <v>518</v>
      </c>
      <c r="D24" t="s">
        <v>519</v>
      </c>
      <c r="E24" s="19" t="s">
        <v>537</v>
      </c>
      <c r="F24" s="2">
        <f t="shared" si="0"/>
        <v>6.9423871599053793E-3</v>
      </c>
    </row>
    <row r="25" spans="1:6" x14ac:dyDescent="0.25">
      <c r="A25" s="9">
        <v>6.0285987427387E-6</v>
      </c>
      <c r="B25" t="s">
        <v>517</v>
      </c>
      <c r="C25" t="s">
        <v>518</v>
      </c>
      <c r="D25" t="s">
        <v>519</v>
      </c>
      <c r="E25" s="19" t="s">
        <v>538</v>
      </c>
      <c r="F25" s="2">
        <f t="shared" si="0"/>
        <v>3.2212656920858711E-4</v>
      </c>
    </row>
    <row r="26" spans="1:6" x14ac:dyDescent="0.25">
      <c r="A26" s="9">
        <v>3.47306156685168E-5</v>
      </c>
      <c r="B26" t="s">
        <v>517</v>
      </c>
      <c r="C26" t="s">
        <v>518</v>
      </c>
      <c r="D26" t="s">
        <v>519</v>
      </c>
      <c r="E26" s="19" t="s">
        <v>539</v>
      </c>
      <c r="F26" s="2">
        <f t="shared" si="0"/>
        <v>1.8557635943637107E-3</v>
      </c>
    </row>
    <row r="27" spans="1:6" x14ac:dyDescent="0.25">
      <c r="A27" s="9">
        <v>2.9171022558906799E-5</v>
      </c>
      <c r="B27" t="s">
        <v>517</v>
      </c>
      <c r="C27" t="s">
        <v>518</v>
      </c>
      <c r="D27" t="s">
        <v>519</v>
      </c>
      <c r="E27" s="19" t="s">
        <v>540</v>
      </c>
      <c r="F27" s="2">
        <f t="shared" si="0"/>
        <v>1.55869743835997E-3</v>
      </c>
    </row>
    <row r="28" spans="1:6" x14ac:dyDescent="0.25">
      <c r="A28" s="9">
        <v>8.0042608558768106E-5</v>
      </c>
      <c r="B28" t="s">
        <v>517</v>
      </c>
      <c r="C28" t="s">
        <v>518</v>
      </c>
      <c r="D28" t="s">
        <v>519</v>
      </c>
      <c r="E28" s="19" t="s">
        <v>512</v>
      </c>
      <c r="F28" s="2">
        <f t="shared" si="0"/>
        <v>4.2769227121970729E-3</v>
      </c>
    </row>
    <row r="29" spans="1:6" x14ac:dyDescent="0.25">
      <c r="A29">
        <v>1.01112698137701E-4</v>
      </c>
      <c r="B29" t="s">
        <v>517</v>
      </c>
      <c r="C29" t="s">
        <v>518</v>
      </c>
      <c r="D29" t="s">
        <v>519</v>
      </c>
      <c r="E29" s="19" t="s">
        <v>541</v>
      </c>
      <c r="F29" s="2">
        <f t="shared" si="0"/>
        <v>5.4027623904729432E-3</v>
      </c>
    </row>
    <row r="30" spans="1:6" x14ac:dyDescent="0.25">
      <c r="A30" s="9">
        <v>1.50080362283606E-6</v>
      </c>
      <c r="B30" t="s">
        <v>517</v>
      </c>
      <c r="C30" t="s">
        <v>518</v>
      </c>
      <c r="D30" t="s">
        <v>519</v>
      </c>
      <c r="E30" s="19" t="s">
        <v>542</v>
      </c>
      <c r="F30" s="2">
        <f t="shared" si="0"/>
        <v>8.0192552649535775E-5</v>
      </c>
    </row>
    <row r="31" spans="1:6" x14ac:dyDescent="0.25">
      <c r="A31" s="13">
        <v>7.9319875498214804E-4</v>
      </c>
      <c r="B31" s="13" t="s">
        <v>517</v>
      </c>
      <c r="C31" s="13" t="s">
        <v>518</v>
      </c>
      <c r="D31" s="13" t="s">
        <v>519</v>
      </c>
      <c r="E31" s="13" t="s">
        <v>312</v>
      </c>
      <c r="F31" s="20">
        <f t="shared" si="0"/>
        <v>4.2383048623144487E-2</v>
      </c>
    </row>
    <row r="32" spans="1:6" x14ac:dyDescent="0.25">
      <c r="A32" s="9">
        <v>3.7406997793524603E-5</v>
      </c>
      <c r="B32" t="s">
        <v>517</v>
      </c>
      <c r="C32" t="s">
        <v>518</v>
      </c>
      <c r="D32" t="s">
        <v>519</v>
      </c>
      <c r="E32" s="19" t="s">
        <v>543</v>
      </c>
      <c r="F32" s="2">
        <f t="shared" si="0"/>
        <v>1.9987709213745474E-3</v>
      </c>
    </row>
    <row r="33" spans="1:9" x14ac:dyDescent="0.25">
      <c r="A33" s="9">
        <v>1.1911292025816901E-5</v>
      </c>
      <c r="B33" t="s">
        <v>517</v>
      </c>
      <c r="C33" t="s">
        <v>518</v>
      </c>
      <c r="D33" t="s">
        <v>519</v>
      </c>
      <c r="E33" s="19" t="s">
        <v>544</v>
      </c>
      <c r="F33" s="2">
        <f t="shared" si="0"/>
        <v>6.3645696103750552E-4</v>
      </c>
    </row>
    <row r="34" spans="1:9" x14ac:dyDescent="0.25">
      <c r="A34" s="9">
        <v>9.12119603817503E-5</v>
      </c>
      <c r="B34" t="s">
        <v>517</v>
      </c>
      <c r="C34" t="s">
        <v>518</v>
      </c>
      <c r="D34" t="s">
        <v>519</v>
      </c>
      <c r="E34" s="19" t="s">
        <v>513</v>
      </c>
      <c r="F34" s="2">
        <f t="shared" si="0"/>
        <v>4.8737355266764851E-3</v>
      </c>
    </row>
    <row r="35" spans="1:9" x14ac:dyDescent="0.25">
      <c r="A35" s="9">
        <v>1.40076939880665E-5</v>
      </c>
      <c r="B35" t="s">
        <v>517</v>
      </c>
      <c r="C35" t="s">
        <v>518</v>
      </c>
      <c r="D35" t="s">
        <v>519</v>
      </c>
      <c r="E35" s="19" t="s">
        <v>545</v>
      </c>
      <c r="F35" s="2">
        <f t="shared" si="0"/>
        <v>7.4847416447055941E-4</v>
      </c>
    </row>
    <row r="36" spans="1:9" x14ac:dyDescent="0.25">
      <c r="A36" s="9">
        <v>1.4112911559887701E-5</v>
      </c>
      <c r="B36" t="s">
        <v>517</v>
      </c>
      <c r="C36" t="s">
        <v>518</v>
      </c>
      <c r="D36" t="s">
        <v>519</v>
      </c>
      <c r="E36" s="19" t="s">
        <v>546</v>
      </c>
      <c r="F36" s="2">
        <f t="shared" si="0"/>
        <v>7.5409626288472993E-4</v>
      </c>
    </row>
    <row r="37" spans="1:9" x14ac:dyDescent="0.25">
      <c r="A37">
        <v>2.1160439942181201E-4</v>
      </c>
      <c r="B37" t="s">
        <v>517</v>
      </c>
      <c r="C37" t="s">
        <v>518</v>
      </c>
      <c r="D37" t="s">
        <v>519</v>
      </c>
      <c r="E37" s="19" t="s">
        <v>547</v>
      </c>
      <c r="F37" s="2">
        <f t="shared" si="0"/>
        <v>1.130667376018233E-2</v>
      </c>
    </row>
    <row r="38" spans="1:9" x14ac:dyDescent="0.25">
      <c r="A38">
        <v>1.82945173998654E-4</v>
      </c>
      <c r="B38" t="s">
        <v>517</v>
      </c>
      <c r="C38" t="s">
        <v>518</v>
      </c>
      <c r="D38" t="s">
        <v>519</v>
      </c>
      <c r="E38" s="19" t="s">
        <v>548</v>
      </c>
      <c r="F38" s="2">
        <f t="shared" si="0"/>
        <v>9.7753232165992115E-3</v>
      </c>
    </row>
    <row r="39" spans="1:9" x14ac:dyDescent="0.25">
      <c r="A39" s="9">
        <v>5.0175760927542703E-5</v>
      </c>
      <c r="B39" t="s">
        <v>517</v>
      </c>
      <c r="C39" t="s">
        <v>518</v>
      </c>
      <c r="D39" t="s">
        <v>519</v>
      </c>
      <c r="E39" s="19" t="s">
        <v>549</v>
      </c>
      <c r="F39" s="2">
        <f t="shared" si="0"/>
        <v>2.6810452005098994E-3</v>
      </c>
    </row>
    <row r="40" spans="1:9" x14ac:dyDescent="0.25">
      <c r="A40">
        <v>1.7676522721266601E-4</v>
      </c>
      <c r="B40" t="s">
        <v>517</v>
      </c>
      <c r="C40" t="s">
        <v>518</v>
      </c>
      <c r="D40" t="s">
        <v>519</v>
      </c>
      <c r="E40" s="19" t="s">
        <v>550</v>
      </c>
      <c r="F40" s="2">
        <f t="shared" si="0"/>
        <v>9.4451096560334621E-3</v>
      </c>
    </row>
    <row r="41" spans="1:9" x14ac:dyDescent="0.25">
      <c r="A41" s="9">
        <v>1.9746046200530898E-6</v>
      </c>
      <c r="B41" t="s">
        <v>517</v>
      </c>
      <c r="C41" t="s">
        <v>518</v>
      </c>
      <c r="D41" t="s">
        <v>519</v>
      </c>
      <c r="E41" s="19" t="s">
        <v>551</v>
      </c>
      <c r="F41" s="2">
        <f t="shared" si="0"/>
        <v>1.0550919690371855E-4</v>
      </c>
    </row>
    <row r="42" spans="1:9" x14ac:dyDescent="0.25">
      <c r="A42" s="13">
        <v>6.18602783723595E-3</v>
      </c>
      <c r="B42" s="13" t="s">
        <v>517</v>
      </c>
      <c r="C42" s="13" t="s">
        <v>518</v>
      </c>
      <c r="D42" s="13" t="s">
        <v>552</v>
      </c>
      <c r="E42" s="13" t="s">
        <v>254</v>
      </c>
      <c r="F42" s="20">
        <f t="shared" si="0"/>
        <v>0.33053848983360717</v>
      </c>
      <c r="G42" s="13"/>
      <c r="H42" s="13"/>
      <c r="I42" s="13"/>
    </row>
    <row r="43" spans="1:9" x14ac:dyDescent="0.25">
      <c r="A43">
        <v>5.8529392716984304E-4</v>
      </c>
      <c r="B43" t="s">
        <v>517</v>
      </c>
      <c r="C43" t="s">
        <v>518</v>
      </c>
      <c r="D43" t="s">
        <v>552</v>
      </c>
      <c r="E43" s="19" t="s">
        <v>553</v>
      </c>
      <c r="F43" s="2">
        <f t="shared" si="0"/>
        <v>3.1274054350512628E-2</v>
      </c>
    </row>
    <row r="44" spans="1:9" x14ac:dyDescent="0.25">
      <c r="A44">
        <v>2.59370328308192E-3</v>
      </c>
      <c r="B44" t="s">
        <v>517</v>
      </c>
      <c r="C44" t="s">
        <v>518</v>
      </c>
      <c r="D44" t="s">
        <v>552</v>
      </c>
      <c r="E44" s="19" t="s">
        <v>333</v>
      </c>
      <c r="F44" s="2">
        <f t="shared" si="0"/>
        <v>0.13858954224322328</v>
      </c>
    </row>
    <row r="45" spans="1:9" x14ac:dyDescent="0.25">
      <c r="A45">
        <v>1.16624055878598E-3</v>
      </c>
      <c r="B45" t="s">
        <v>517</v>
      </c>
      <c r="C45" t="s">
        <v>518</v>
      </c>
      <c r="D45" t="s">
        <v>552</v>
      </c>
      <c r="E45" s="19" t="s">
        <v>554</v>
      </c>
      <c r="F45" s="2">
        <f t="shared" si="0"/>
        <v>6.2315819331337514E-2</v>
      </c>
    </row>
    <row r="46" spans="1:9" x14ac:dyDescent="0.25">
      <c r="A46">
        <v>6.6142635249964699E-4</v>
      </c>
      <c r="B46" t="s">
        <v>517</v>
      </c>
      <c r="C46" t="s">
        <v>518</v>
      </c>
      <c r="D46" t="s">
        <v>552</v>
      </c>
      <c r="E46" s="19" t="s">
        <v>555</v>
      </c>
      <c r="F46" s="2">
        <f t="shared" si="0"/>
        <v>3.5342043948685432E-2</v>
      </c>
    </row>
    <row r="47" spans="1:9" x14ac:dyDescent="0.25">
      <c r="A47">
        <v>3.7375647368713201E-3</v>
      </c>
      <c r="B47" t="s">
        <v>517</v>
      </c>
      <c r="C47" t="s">
        <v>518</v>
      </c>
      <c r="D47" t="s">
        <v>552</v>
      </c>
      <c r="E47" s="19" t="s">
        <v>253</v>
      </c>
      <c r="F47" s="2">
        <f t="shared" si="0"/>
        <v>0.19970957717720145</v>
      </c>
    </row>
    <row r="49" spans="1:6" x14ac:dyDescent="0.25">
      <c r="A49" s="9">
        <f>SUM(A2:A47)</f>
        <v>1.8714999999999975E-2</v>
      </c>
      <c r="F49" s="17">
        <f>SUM(F2:F47)</f>
        <v>1</v>
      </c>
    </row>
    <row r="52" spans="1:6" x14ac:dyDescent="0.25">
      <c r="A52" s="19" t="s">
        <v>580</v>
      </c>
    </row>
    <row r="53" spans="1:6" x14ac:dyDescent="0.25">
      <c r="A53" s="9">
        <v>4.3799850220559902E-5</v>
      </c>
      <c r="B53" t="s">
        <v>517</v>
      </c>
      <c r="C53" t="s">
        <v>518</v>
      </c>
      <c r="D53" t="s">
        <v>519</v>
      </c>
      <c r="E53" t="s">
        <v>465</v>
      </c>
      <c r="F53" s="2">
        <f>A53/$A$80</f>
        <v>6.1024779799131984E-2</v>
      </c>
    </row>
    <row r="54" spans="1:6" x14ac:dyDescent="0.25">
      <c r="A54" s="9">
        <v>7.6172783903909099E-5</v>
      </c>
      <c r="B54" t="s">
        <v>517</v>
      </c>
      <c r="C54" t="s">
        <v>518</v>
      </c>
      <c r="D54" t="s">
        <v>519</v>
      </c>
      <c r="E54" t="s">
        <v>307</v>
      </c>
      <c r="F54" s="2">
        <f t="shared" ref="F54:F78" si="1">A54/$A$80</f>
        <v>0.1061288415603056</v>
      </c>
    </row>
    <row r="55" spans="1:6" x14ac:dyDescent="0.25">
      <c r="A55" s="9">
        <v>3.14703421323186E-6</v>
      </c>
      <c r="B55" t="s">
        <v>517</v>
      </c>
      <c r="C55" t="s">
        <v>518</v>
      </c>
      <c r="D55" t="s">
        <v>519</v>
      </c>
      <c r="E55" t="s">
        <v>563</v>
      </c>
      <c r="F55" s="2">
        <f t="shared" si="1"/>
        <v>4.3846512925439368E-3</v>
      </c>
    </row>
    <row r="56" spans="1:6" x14ac:dyDescent="0.25">
      <c r="A56" s="9">
        <v>2.5074521495186299E-5</v>
      </c>
      <c r="B56" t="s">
        <v>517</v>
      </c>
      <c r="C56" t="s">
        <v>518</v>
      </c>
      <c r="D56" t="s">
        <v>519</v>
      </c>
      <c r="E56" t="s">
        <v>311</v>
      </c>
      <c r="F56" s="2">
        <f t="shared" si="1"/>
        <v>3.4935442589574796E-2</v>
      </c>
    </row>
    <row r="57" spans="1:6" x14ac:dyDescent="0.25">
      <c r="A57" s="9">
        <v>2.44470324239701E-5</v>
      </c>
      <c r="B57" t="s">
        <v>517</v>
      </c>
      <c r="C57" t="s">
        <v>518</v>
      </c>
      <c r="D57" t="s">
        <v>519</v>
      </c>
      <c r="E57" t="s">
        <v>564</v>
      </c>
      <c r="F57" s="2">
        <f t="shared" si="1"/>
        <v>3.4061184294066842E-2</v>
      </c>
    </row>
    <row r="58" spans="1:6" x14ac:dyDescent="0.25">
      <c r="A58" s="9">
        <v>3.9044128958489601E-6</v>
      </c>
      <c r="B58" t="s">
        <v>517</v>
      </c>
      <c r="C58" t="s">
        <v>518</v>
      </c>
      <c r="D58" t="s">
        <v>519</v>
      </c>
      <c r="E58" t="s">
        <v>565</v>
      </c>
      <c r="F58" s="2">
        <f t="shared" si="1"/>
        <v>5.4398801825635158E-3</v>
      </c>
    </row>
    <row r="59" spans="1:6" x14ac:dyDescent="0.25">
      <c r="A59" s="9">
        <v>6.1830163619738697E-6</v>
      </c>
      <c r="B59" t="s">
        <v>517</v>
      </c>
      <c r="C59" t="s">
        <v>518</v>
      </c>
      <c r="D59" t="s">
        <v>519</v>
      </c>
      <c r="E59" t="s">
        <v>566</v>
      </c>
      <c r="F59" s="2">
        <f t="shared" si="1"/>
        <v>8.6145776774088287E-3</v>
      </c>
    </row>
    <row r="60" spans="1:6" x14ac:dyDescent="0.25">
      <c r="A60" s="9">
        <v>2.68887246418778E-7</v>
      </c>
      <c r="B60" t="s">
        <v>517</v>
      </c>
      <c r="C60" t="s">
        <v>518</v>
      </c>
      <c r="D60" t="s">
        <v>519</v>
      </c>
      <c r="E60" t="s">
        <v>567</v>
      </c>
      <c r="F60" s="2">
        <f t="shared" si="1"/>
        <v>3.7463107569711481E-4</v>
      </c>
    </row>
    <row r="61" spans="1:6" x14ac:dyDescent="0.25">
      <c r="A61" s="9">
        <v>5.2463744383394198E-6</v>
      </c>
      <c r="B61" t="s">
        <v>517</v>
      </c>
      <c r="C61" t="s">
        <v>518</v>
      </c>
      <c r="D61" t="s">
        <v>519</v>
      </c>
      <c r="E61" t="s">
        <v>568</v>
      </c>
      <c r="F61" s="2">
        <f t="shared" si="1"/>
        <v>7.3095876636850559E-3</v>
      </c>
    </row>
    <row r="62" spans="1:6" x14ac:dyDescent="0.25">
      <c r="A62" s="9">
        <v>8.2152269524586201E-6</v>
      </c>
      <c r="B62" t="s">
        <v>517</v>
      </c>
      <c r="C62" t="s">
        <v>518</v>
      </c>
      <c r="D62" t="s">
        <v>519</v>
      </c>
      <c r="E62" t="s">
        <v>569</v>
      </c>
      <c r="F62" s="2">
        <f t="shared" si="1"/>
        <v>1.1445984706549363E-2</v>
      </c>
    </row>
    <row r="63" spans="1:6" x14ac:dyDescent="0.25">
      <c r="A63" s="9">
        <v>4.0186373379283E-6</v>
      </c>
      <c r="B63" t="s">
        <v>517</v>
      </c>
      <c r="C63" t="s">
        <v>518</v>
      </c>
      <c r="D63" t="s">
        <v>519</v>
      </c>
      <c r="E63" t="s">
        <v>570</v>
      </c>
      <c r="F63" s="2">
        <f t="shared" si="1"/>
        <v>5.5990250515635109E-3</v>
      </c>
    </row>
    <row r="64" spans="1:6" x14ac:dyDescent="0.25">
      <c r="A64" s="9">
        <v>2.4093194453076801E-6</v>
      </c>
      <c r="B64" t="s">
        <v>517</v>
      </c>
      <c r="C64" t="s">
        <v>518</v>
      </c>
      <c r="D64" t="s">
        <v>519</v>
      </c>
      <c r="E64" t="s">
        <v>571</v>
      </c>
      <c r="F64" s="2">
        <f t="shared" si="1"/>
        <v>3.3568194383151594E-3</v>
      </c>
    </row>
    <row r="65" spans="1:6" x14ac:dyDescent="0.25">
      <c r="A65" s="9">
        <v>2.9209314717589698E-7</v>
      </c>
      <c r="B65" t="s">
        <v>517</v>
      </c>
      <c r="C65" t="s">
        <v>518</v>
      </c>
      <c r="D65" t="s">
        <v>519</v>
      </c>
      <c r="E65" t="s">
        <v>572</v>
      </c>
      <c r="F65" s="2">
        <f t="shared" si="1"/>
        <v>4.0696303520411224E-4</v>
      </c>
    </row>
    <row r="66" spans="1:6" x14ac:dyDescent="0.25">
      <c r="A66" s="9">
        <v>8.1961070003910297E-7</v>
      </c>
      <c r="B66" t="s">
        <v>517</v>
      </c>
      <c r="C66" t="s">
        <v>518</v>
      </c>
      <c r="D66" t="s">
        <v>519</v>
      </c>
      <c r="E66" t="s">
        <v>573</v>
      </c>
      <c r="F66" s="2">
        <f t="shared" si="1"/>
        <v>1.1419345554615759E-3</v>
      </c>
    </row>
    <row r="67" spans="1:6" x14ac:dyDescent="0.25">
      <c r="A67" s="9">
        <v>8.9401039359206195E-5</v>
      </c>
      <c r="B67" t="s">
        <v>517</v>
      </c>
      <c r="C67" t="s">
        <v>518</v>
      </c>
      <c r="D67" t="s">
        <v>519</v>
      </c>
      <c r="E67" t="s">
        <v>574</v>
      </c>
      <c r="F67" s="2">
        <f t="shared" si="1"/>
        <v>0.12455930130437209</v>
      </c>
    </row>
    <row r="68" spans="1:6" x14ac:dyDescent="0.25">
      <c r="A68" s="9">
        <v>1.28184510722252E-6</v>
      </c>
      <c r="B68" t="s">
        <v>517</v>
      </c>
      <c r="C68" t="s">
        <v>518</v>
      </c>
      <c r="D68" t="s">
        <v>519</v>
      </c>
      <c r="E68" t="s">
        <v>510</v>
      </c>
      <c r="F68" s="21">
        <f t="shared" si="1"/>
        <v>1.7859493813549632E-3</v>
      </c>
    </row>
    <row r="69" spans="1:6" x14ac:dyDescent="0.25">
      <c r="A69" s="9">
        <v>1.49287802703928E-5</v>
      </c>
      <c r="B69" t="s">
        <v>517</v>
      </c>
      <c r="C69" t="s">
        <v>518</v>
      </c>
      <c r="D69" t="s">
        <v>519</v>
      </c>
      <c r="E69" t="s">
        <v>539</v>
      </c>
      <c r="F69" s="2">
        <f t="shared" si="1"/>
        <v>2.0799740731595153E-2</v>
      </c>
    </row>
    <row r="70" spans="1:6" x14ac:dyDescent="0.25">
      <c r="A70" s="9">
        <v>3.4650168832006399E-6</v>
      </c>
      <c r="B70" t="s">
        <v>517</v>
      </c>
      <c r="C70" t="s">
        <v>518</v>
      </c>
      <c r="D70" t="s">
        <v>519</v>
      </c>
      <c r="E70" t="s">
        <v>511</v>
      </c>
      <c r="F70" s="2">
        <f t="shared" si="1"/>
        <v>4.8276852827760803E-3</v>
      </c>
    </row>
    <row r="71" spans="1:6" x14ac:dyDescent="0.25">
      <c r="A71" s="9">
        <v>1.80839631852639E-5</v>
      </c>
      <c r="B71" t="s">
        <v>517</v>
      </c>
      <c r="C71" t="s">
        <v>518</v>
      </c>
      <c r="D71" t="s">
        <v>519</v>
      </c>
      <c r="E71" t="s">
        <v>310</v>
      </c>
      <c r="F71" s="2">
        <f t="shared" si="1"/>
        <v>2.5195745321483245E-2</v>
      </c>
    </row>
    <row r="72" spans="1:6" x14ac:dyDescent="0.25">
      <c r="A72" s="9">
        <v>5.5413325308900197E-6</v>
      </c>
      <c r="B72" t="s">
        <v>517</v>
      </c>
      <c r="C72" t="s">
        <v>518</v>
      </c>
      <c r="D72" t="s">
        <v>519</v>
      </c>
      <c r="E72" t="s">
        <v>575</v>
      </c>
      <c r="F72" s="2">
        <f t="shared" si="1"/>
        <v>7.720542325795365E-3</v>
      </c>
    </row>
    <row r="73" spans="1:6" x14ac:dyDescent="0.25">
      <c r="A73" s="13">
        <v>3.4095249093473199E-4</v>
      </c>
      <c r="B73" s="13" t="s">
        <v>517</v>
      </c>
      <c r="C73" s="13" t="s">
        <v>518</v>
      </c>
      <c r="D73" s="13" t="s">
        <v>519</v>
      </c>
      <c r="E73" s="13" t="s">
        <v>312</v>
      </c>
      <c r="F73" s="20">
        <f t="shared" si="1"/>
        <v>0.47503702812871373</v>
      </c>
    </row>
    <row r="74" spans="1:6" x14ac:dyDescent="0.25">
      <c r="A74" s="9">
        <v>1.97631288006483E-6</v>
      </c>
      <c r="B74" t="s">
        <v>517</v>
      </c>
      <c r="C74" t="s">
        <v>518</v>
      </c>
      <c r="D74" t="s">
        <v>519</v>
      </c>
      <c r="E74" t="s">
        <v>576</v>
      </c>
      <c r="F74" s="2">
        <f t="shared" si="1"/>
        <v>2.7535267292656709E-3</v>
      </c>
    </row>
    <row r="75" spans="1:6" x14ac:dyDescent="0.25">
      <c r="A75" s="9">
        <v>3.0586524123255599E-6</v>
      </c>
      <c r="B75" t="s">
        <v>517</v>
      </c>
      <c r="C75" t="s">
        <v>518</v>
      </c>
      <c r="D75" t="s">
        <v>519</v>
      </c>
      <c r="E75" t="s">
        <v>577</v>
      </c>
      <c r="F75" s="2">
        <f t="shared" si="1"/>
        <v>4.2615120600717231E-3</v>
      </c>
    </row>
    <row r="76" spans="1:6" x14ac:dyDescent="0.25">
      <c r="A76" s="9">
        <v>6.4377953129970098E-6</v>
      </c>
      <c r="B76" t="s">
        <v>517</v>
      </c>
      <c r="C76" t="s">
        <v>518</v>
      </c>
      <c r="D76" t="s">
        <v>519</v>
      </c>
      <c r="E76" t="s">
        <v>578</v>
      </c>
      <c r="F76" s="2">
        <f t="shared" si="1"/>
        <v>8.9695521648864764E-3</v>
      </c>
    </row>
    <row r="77" spans="1:6" x14ac:dyDescent="0.25">
      <c r="A77" s="9">
        <v>3.7526432252123002E-6</v>
      </c>
      <c r="B77" t="s">
        <v>517</v>
      </c>
      <c r="C77" t="s">
        <v>518</v>
      </c>
      <c r="D77" t="s">
        <v>519</v>
      </c>
      <c r="E77" t="s">
        <v>579</v>
      </c>
      <c r="F77" s="2">
        <f t="shared" si="1"/>
        <v>5.2284248765715911E-3</v>
      </c>
    </row>
    <row r="78" spans="1:6" x14ac:dyDescent="0.25">
      <c r="A78" s="9">
        <v>2.4860094297782201E-5</v>
      </c>
      <c r="B78" t="s">
        <v>517</v>
      </c>
      <c r="C78" t="s">
        <v>518</v>
      </c>
      <c r="D78" t="s">
        <v>519</v>
      </c>
      <c r="E78" t="s">
        <v>514</v>
      </c>
      <c r="F78" s="2">
        <f t="shared" si="1"/>
        <v>3.4636688771042611E-2</v>
      </c>
    </row>
    <row r="80" spans="1:6" x14ac:dyDescent="0.25">
      <c r="A80" s="9">
        <f>SUM(A53:A78)</f>
        <v>7.1773876718163776E-4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workbookViewId="0">
      <selection activeCell="G8" sqref="G8"/>
    </sheetView>
  </sheetViews>
  <sheetFormatPr defaultRowHeight="15" x14ac:dyDescent="0.25"/>
  <sheetData>
    <row r="1" spans="1:12" x14ac:dyDescent="0.25">
      <c r="A1" t="s">
        <v>716</v>
      </c>
      <c r="L1" s="26" t="s">
        <v>715</v>
      </c>
    </row>
    <row r="3" spans="1:12" x14ac:dyDescent="0.25">
      <c r="A3" t="s">
        <v>86</v>
      </c>
      <c r="B3">
        <v>0.86399999999999999</v>
      </c>
    </row>
    <row r="4" spans="1:12" x14ac:dyDescent="0.25">
      <c r="A4" t="s">
        <v>103</v>
      </c>
      <c r="B4">
        <v>9.9000000000000005E-2</v>
      </c>
    </row>
    <row r="5" spans="1:12" x14ac:dyDescent="0.25">
      <c r="A5" t="s">
        <v>231</v>
      </c>
      <c r="B5">
        <v>1.6E-2</v>
      </c>
    </row>
    <row r="6" spans="1:12" x14ac:dyDescent="0.25">
      <c r="A6" t="s">
        <v>97</v>
      </c>
      <c r="B6">
        <v>2.1000000000000001E-2</v>
      </c>
    </row>
  </sheetData>
  <hyperlinks>
    <hyperlink ref="L1" r:id="rId1"/>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Summary</vt:lpstr>
      <vt:lpstr>BGS</vt:lpstr>
      <vt:lpstr>Copper</vt:lpstr>
      <vt:lpstr>Molybdenum</vt:lpstr>
      <vt:lpstr>Rhenium</vt:lpstr>
      <vt:lpstr>Pig iron</vt:lpstr>
      <vt:lpstr>Iron, ore</vt:lpstr>
      <vt:lpstr>REE Refining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Hahn Menacho Alvaro Jose</cp:lastModifiedBy>
  <dcterms:created xsi:type="dcterms:W3CDTF">2023-06-27T08:05:02Z</dcterms:created>
  <dcterms:modified xsi:type="dcterms:W3CDTF">2023-08-02T12:18:23Z</dcterms:modified>
</cp:coreProperties>
</file>