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ahnme_a\Desktop\PRISMA\Papers\2 - Data reduction\"/>
    </mc:Choice>
  </mc:AlternateContent>
  <xr:revisionPtr revIDLastSave="0" documentId="13_ncr:1_{E861819F-B05F-4D6E-8990-C37CDE886B6A}" xr6:coauthVersionLast="47" xr6:coauthVersionMax="47" xr10:uidLastSave="{00000000-0000-0000-0000-000000000000}"/>
  <bookViews>
    <workbookView xWindow="-120" yWindow="-21720" windowWidth="38640" windowHeight="21240" tabRatio="602" firstSheet="8" activeTab="19" xr2:uid="{00000000-000D-0000-FFFF-FFFF00000000}"/>
  </bookViews>
  <sheets>
    <sheet name="Materials" sheetId="1" r:id="rId1"/>
    <sheet name="Technologies" sheetId="2" r:id="rId2"/>
    <sheet name="References" sheetId="48" r:id="rId3"/>
    <sheet name="ICEV" sheetId="3" r:id="rId4"/>
    <sheet name="EV" sheetId="5" r:id="rId5"/>
    <sheet name="Wind-DDPM" sheetId="6" r:id="rId6"/>
    <sheet name="Wind-Gearbox" sheetId="8" r:id="rId7"/>
    <sheet name="c-Si" sheetId="11" r:id="rId8"/>
    <sheet name="CdTe" sheetId="12" r:id="rId9"/>
    <sheet name="CIGS" sheetId="13" r:id="rId10"/>
    <sheet name="a-Si" sheetId="14" r:id="rId11"/>
    <sheet name="perovskite" sheetId="47" r:id="rId12"/>
    <sheet name="Parabolic Trough - PB" sheetId="18" r:id="rId13"/>
    <sheet name="CSP Tower - PB" sheetId="16" r:id="rId14"/>
    <sheet name="Nuclear" sheetId="19" r:id="rId15"/>
    <sheet name="PEMFC" sheetId="40" r:id="rId16"/>
    <sheet name="SOFC - Y" sheetId="35" r:id="rId17"/>
    <sheet name="PAFC" sheetId="38" r:id="rId18"/>
    <sheet name="PEMEL" sheetId="34" r:id="rId19"/>
    <sheet name="AEL" sheetId="42" r:id="rId20"/>
    <sheet name="HTEL - Yttrium" sheetId="43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6" l="1"/>
  <c r="F17" i="6"/>
  <c r="E17" i="6"/>
  <c r="D17" i="6"/>
  <c r="H17" i="6"/>
  <c r="D16" i="5" l="1"/>
  <c r="E16" i="5"/>
  <c r="F16" i="5"/>
  <c r="G16" i="5"/>
  <c r="H16" i="5"/>
  <c r="D4" i="43" l="1"/>
  <c r="E4" i="43"/>
  <c r="F4" i="43"/>
  <c r="G4" i="43"/>
  <c r="D5" i="43"/>
  <c r="E5" i="43"/>
  <c r="F5" i="43"/>
  <c r="G5" i="43"/>
  <c r="D6" i="43"/>
  <c r="E6" i="43"/>
  <c r="F6" i="43"/>
  <c r="G6" i="43"/>
  <c r="D7" i="43"/>
  <c r="E7" i="43"/>
  <c r="F7" i="43"/>
  <c r="G7" i="43"/>
  <c r="D8" i="43"/>
  <c r="E8" i="43"/>
  <c r="F8" i="43"/>
  <c r="G8" i="43"/>
  <c r="D9" i="43"/>
  <c r="E9" i="43"/>
  <c r="F9" i="43"/>
  <c r="G9" i="43"/>
  <c r="D10" i="43"/>
  <c r="E10" i="43"/>
  <c r="F10" i="43"/>
  <c r="G10" i="43"/>
  <c r="D11" i="43"/>
  <c r="E11" i="43"/>
  <c r="F11" i="43"/>
  <c r="G11" i="43"/>
  <c r="D12" i="43"/>
  <c r="E12" i="43"/>
  <c r="F12" i="43"/>
  <c r="G12" i="43"/>
  <c r="D5" i="42"/>
  <c r="E5" i="42"/>
  <c r="F5" i="42"/>
  <c r="G5" i="42"/>
  <c r="D6" i="42"/>
  <c r="E6" i="42"/>
  <c r="F6" i="42"/>
  <c r="G6" i="42"/>
  <c r="D7" i="42"/>
  <c r="E7" i="42"/>
  <c r="F7" i="42"/>
  <c r="G7" i="42"/>
  <c r="D8" i="42"/>
  <c r="E8" i="42"/>
  <c r="F8" i="42"/>
  <c r="G8" i="42"/>
  <c r="D9" i="42"/>
  <c r="E9" i="42"/>
  <c r="F9" i="42"/>
  <c r="G9" i="42"/>
  <c r="D10" i="42"/>
  <c r="E10" i="42"/>
  <c r="F10" i="42"/>
  <c r="G10" i="42"/>
  <c r="D11" i="42"/>
  <c r="E11" i="42"/>
  <c r="F11" i="42"/>
  <c r="G11" i="42"/>
  <c r="G4" i="42"/>
  <c r="F4" i="42"/>
  <c r="E4" i="42"/>
  <c r="D4" i="42"/>
  <c r="D5" i="34"/>
  <c r="E5" i="34"/>
  <c r="F5" i="34"/>
  <c r="G5" i="34"/>
  <c r="D6" i="34"/>
  <c r="E6" i="34"/>
  <c r="F6" i="34"/>
  <c r="G6" i="34"/>
  <c r="D7" i="34"/>
  <c r="E7" i="34"/>
  <c r="F7" i="34"/>
  <c r="G7" i="34"/>
  <c r="D8" i="34"/>
  <c r="E8" i="34"/>
  <c r="F8" i="34"/>
  <c r="G8" i="34"/>
  <c r="D9" i="34"/>
  <c r="E9" i="34"/>
  <c r="F9" i="34"/>
  <c r="G9" i="34"/>
  <c r="D5" i="38"/>
  <c r="E5" i="38"/>
  <c r="F5" i="38"/>
  <c r="G5" i="38"/>
  <c r="D6" i="38"/>
  <c r="E6" i="38"/>
  <c r="F6" i="38"/>
  <c r="G6" i="38"/>
  <c r="D7" i="38"/>
  <c r="E7" i="38"/>
  <c r="F7" i="38"/>
  <c r="G7" i="38"/>
  <c r="D8" i="38"/>
  <c r="E8" i="38"/>
  <c r="F8" i="38"/>
  <c r="G8" i="38"/>
  <c r="D9" i="38"/>
  <c r="E9" i="38"/>
  <c r="F9" i="38"/>
  <c r="G9" i="38"/>
  <c r="D10" i="38"/>
  <c r="E10" i="38"/>
  <c r="F10" i="38"/>
  <c r="G10" i="38"/>
  <c r="D11" i="38"/>
  <c r="E11" i="38"/>
  <c r="F11" i="38"/>
  <c r="G11" i="38"/>
  <c r="D12" i="38"/>
  <c r="E12" i="38"/>
  <c r="F12" i="38"/>
  <c r="G12" i="38"/>
  <c r="D13" i="38"/>
  <c r="E13" i="38"/>
  <c r="F13" i="38"/>
  <c r="G13" i="38"/>
  <c r="D14" i="38"/>
  <c r="E14" i="38"/>
  <c r="F14" i="38"/>
  <c r="G14" i="38"/>
  <c r="D15" i="38"/>
  <c r="E15" i="38"/>
  <c r="F15" i="38"/>
  <c r="G15" i="38"/>
  <c r="G4" i="38"/>
  <c r="F4" i="38"/>
  <c r="E4" i="38"/>
  <c r="D4" i="38"/>
  <c r="D5" i="35"/>
  <c r="E5" i="35"/>
  <c r="F5" i="35"/>
  <c r="G5" i="35"/>
  <c r="D6" i="35"/>
  <c r="E6" i="35"/>
  <c r="F6" i="35"/>
  <c r="G6" i="35"/>
  <c r="D7" i="35"/>
  <c r="E7" i="35"/>
  <c r="F7" i="35"/>
  <c r="G7" i="35"/>
  <c r="D8" i="35"/>
  <c r="E8" i="35"/>
  <c r="F8" i="35"/>
  <c r="G8" i="35"/>
  <c r="D9" i="35"/>
  <c r="E9" i="35"/>
  <c r="F9" i="35"/>
  <c r="G9" i="35"/>
  <c r="D10" i="35"/>
  <c r="E10" i="35"/>
  <c r="F10" i="35"/>
  <c r="G10" i="35"/>
  <c r="D11" i="35"/>
  <c r="E11" i="35"/>
  <c r="F11" i="35"/>
  <c r="G11" i="35"/>
  <c r="D12" i="35"/>
  <c r="E12" i="35"/>
  <c r="F12" i="35"/>
  <c r="G12" i="35"/>
  <c r="D13" i="35"/>
  <c r="E13" i="35"/>
  <c r="F13" i="35"/>
  <c r="G13" i="35"/>
  <c r="D14" i="35"/>
  <c r="E14" i="35"/>
  <c r="F14" i="35"/>
  <c r="G14" i="35"/>
  <c r="D15" i="35"/>
  <c r="E15" i="35"/>
  <c r="F15" i="35"/>
  <c r="G15" i="35"/>
  <c r="D16" i="35"/>
  <c r="E16" i="35"/>
  <c r="F16" i="35"/>
  <c r="G16" i="35"/>
  <c r="D17" i="35"/>
  <c r="E17" i="35"/>
  <c r="F17" i="35"/>
  <c r="G17" i="35"/>
  <c r="G4" i="35"/>
  <c r="F4" i="35"/>
  <c r="E4" i="35"/>
  <c r="D4" i="35"/>
  <c r="D5" i="18"/>
  <c r="E5" i="18"/>
  <c r="F5" i="18"/>
  <c r="G5" i="18"/>
  <c r="D6" i="18"/>
  <c r="E6" i="18"/>
  <c r="F6" i="18"/>
  <c r="G6" i="18"/>
  <c r="D7" i="18"/>
  <c r="E7" i="18"/>
  <c r="F7" i="18"/>
  <c r="G7" i="18"/>
  <c r="D8" i="18"/>
  <c r="E8" i="18"/>
  <c r="F8" i="18"/>
  <c r="G8" i="18"/>
  <c r="D9" i="18"/>
  <c r="E9" i="18"/>
  <c r="F9" i="18"/>
  <c r="G9" i="18"/>
  <c r="D10" i="18"/>
  <c r="E10" i="18"/>
  <c r="F10" i="18"/>
  <c r="G10" i="18"/>
  <c r="D11" i="18"/>
  <c r="E11" i="18"/>
  <c r="F11" i="18"/>
  <c r="G11" i="18"/>
  <c r="D12" i="18"/>
  <c r="E12" i="18"/>
  <c r="F12" i="18"/>
  <c r="G12" i="18"/>
  <c r="D13" i="18"/>
  <c r="E13" i="18"/>
  <c r="F13" i="18"/>
  <c r="G13" i="18"/>
  <c r="D14" i="18"/>
  <c r="E14" i="18"/>
  <c r="F14" i="18"/>
  <c r="G14" i="18"/>
  <c r="G4" i="18"/>
  <c r="F4" i="18"/>
  <c r="E4" i="18"/>
  <c r="D4" i="18"/>
  <c r="F4" i="47"/>
  <c r="D5" i="14"/>
  <c r="E5" i="14"/>
  <c r="F5" i="14"/>
  <c r="G5" i="14"/>
  <c r="D6" i="14"/>
  <c r="E6" i="14"/>
  <c r="F6" i="14"/>
  <c r="G6" i="14"/>
  <c r="D7" i="14"/>
  <c r="E7" i="14"/>
  <c r="F7" i="14"/>
  <c r="G7" i="14"/>
  <c r="D8" i="14"/>
  <c r="E8" i="14"/>
  <c r="F8" i="14"/>
  <c r="G8" i="14"/>
  <c r="D9" i="14"/>
  <c r="E9" i="14"/>
  <c r="F9" i="14"/>
  <c r="G9" i="14"/>
  <c r="D10" i="14"/>
  <c r="E10" i="14"/>
  <c r="F10" i="14"/>
  <c r="G10" i="14"/>
  <c r="D11" i="14"/>
  <c r="E11" i="14"/>
  <c r="F11" i="14"/>
  <c r="G11" i="14"/>
  <c r="D12" i="14"/>
  <c r="E12" i="14"/>
  <c r="F12" i="14"/>
  <c r="G12" i="14"/>
  <c r="D13" i="14"/>
  <c r="E13" i="14"/>
  <c r="F13" i="14"/>
  <c r="G13" i="14"/>
  <c r="G4" i="14"/>
  <c r="F4" i="14"/>
  <c r="E4" i="14"/>
  <c r="D4" i="14"/>
  <c r="G15" i="8"/>
  <c r="G14" i="8"/>
  <c r="G13" i="8"/>
  <c r="G12" i="8"/>
  <c r="G11" i="8"/>
  <c r="G10" i="8"/>
  <c r="G8" i="8"/>
  <c r="G7" i="8"/>
  <c r="G6" i="8"/>
  <c r="G5" i="8"/>
  <c r="D5" i="8"/>
  <c r="G4" i="8"/>
  <c r="F15" i="8"/>
  <c r="F14" i="8"/>
  <c r="F13" i="8"/>
  <c r="F12" i="8"/>
  <c r="F11" i="8"/>
  <c r="F10" i="8"/>
  <c r="F9" i="8"/>
  <c r="F8" i="8"/>
  <c r="F7" i="8"/>
  <c r="F6" i="8"/>
  <c r="F5" i="8"/>
  <c r="F4" i="8"/>
  <c r="E15" i="8"/>
  <c r="E14" i="8"/>
  <c r="E13" i="8"/>
  <c r="E12" i="8"/>
  <c r="E11" i="8"/>
  <c r="E10" i="8"/>
  <c r="E9" i="8"/>
  <c r="E8" i="8"/>
  <c r="E7" i="8"/>
  <c r="E6" i="8"/>
  <c r="E5" i="8"/>
  <c r="E4" i="8"/>
  <c r="D15" i="8"/>
  <c r="D14" i="8"/>
  <c r="D13" i="8"/>
  <c r="D12" i="8"/>
  <c r="D11" i="8"/>
  <c r="D10" i="8"/>
  <c r="D9" i="8"/>
  <c r="D8" i="8"/>
  <c r="D7" i="8"/>
  <c r="D6" i="8"/>
  <c r="D4" i="8"/>
  <c r="G9" i="8"/>
  <c r="E4" i="47" l="1"/>
  <c r="D4" i="47"/>
  <c r="H6" i="42"/>
  <c r="H8" i="34" l="1"/>
  <c r="D14" i="6" l="1"/>
  <c r="E14" i="6"/>
  <c r="F14" i="6"/>
  <c r="G14" i="6"/>
  <c r="D15" i="6"/>
  <c r="E15" i="6"/>
  <c r="F15" i="6"/>
  <c r="G15" i="6"/>
  <c r="D9" i="6"/>
  <c r="E9" i="6"/>
  <c r="F9" i="6"/>
  <c r="G9" i="6"/>
  <c r="H9" i="6"/>
  <c r="H4" i="42" l="1"/>
  <c r="H11" i="42"/>
  <c r="H7" i="34"/>
  <c r="H7" i="42"/>
  <c r="H8" i="42"/>
  <c r="H9" i="42"/>
  <c r="H10" i="42"/>
  <c r="H9" i="34"/>
  <c r="H4" i="43"/>
  <c r="H5" i="43"/>
  <c r="H6" i="43"/>
  <c r="H7" i="43"/>
  <c r="H8" i="43"/>
  <c r="H9" i="43"/>
  <c r="H10" i="43"/>
  <c r="G14" i="43"/>
  <c r="H11" i="43"/>
  <c r="H12" i="43"/>
  <c r="H5" i="42"/>
  <c r="H5" i="40"/>
  <c r="G5" i="40"/>
  <c r="F5" i="40"/>
  <c r="G7" i="40" s="1"/>
  <c r="E5" i="40"/>
  <c r="D5" i="40"/>
  <c r="H4" i="40"/>
  <c r="G4" i="40"/>
  <c r="F4" i="40"/>
  <c r="E4" i="40"/>
  <c r="D4" i="40"/>
  <c r="G11" i="34"/>
  <c r="H5" i="34"/>
  <c r="H8" i="35"/>
  <c r="G20" i="35"/>
  <c r="H7" i="35"/>
  <c r="G19" i="35"/>
  <c r="H5" i="35"/>
  <c r="H15" i="38"/>
  <c r="H14" i="38"/>
  <c r="H13" i="38"/>
  <c r="H12" i="38"/>
  <c r="H11" i="38"/>
  <c r="H10" i="38"/>
  <c r="H9" i="38"/>
  <c r="H8" i="38"/>
  <c r="H7" i="38"/>
  <c r="H6" i="38"/>
  <c r="H5" i="38"/>
  <c r="H4" i="38"/>
  <c r="H4" i="35"/>
  <c r="H6" i="35"/>
  <c r="G21" i="35"/>
  <c r="H9" i="35"/>
  <c r="H10" i="35"/>
  <c r="H11" i="35"/>
  <c r="H12" i="35"/>
  <c r="H13" i="35"/>
  <c r="H14" i="35"/>
  <c r="G22" i="35"/>
  <c r="H15" i="35"/>
  <c r="H16" i="35"/>
  <c r="H17" i="35"/>
  <c r="H6" i="34"/>
  <c r="G12" i="34"/>
  <c r="E14" i="43" l="1"/>
  <c r="D14" i="43"/>
  <c r="E11" i="34"/>
  <c r="D11" i="34"/>
  <c r="E12" i="34"/>
  <c r="D12" i="34"/>
  <c r="D21" i="35"/>
  <c r="E21" i="35"/>
  <c r="D19" i="35"/>
  <c r="E19" i="35"/>
  <c r="D22" i="35"/>
  <c r="E22" i="35"/>
  <c r="D20" i="35"/>
  <c r="E20" i="35"/>
  <c r="E7" i="40"/>
  <c r="D7" i="40"/>
  <c r="D5" i="19"/>
  <c r="E5" i="19"/>
  <c r="F5" i="19"/>
  <c r="G5" i="19"/>
  <c r="H5" i="19"/>
  <c r="D6" i="19"/>
  <c r="E6" i="19"/>
  <c r="F6" i="19"/>
  <c r="G6" i="19"/>
  <c r="H6" i="19"/>
  <c r="D7" i="19" l="1"/>
  <c r="E7" i="19"/>
  <c r="F7" i="19"/>
  <c r="G7" i="19"/>
  <c r="H7" i="19"/>
  <c r="D8" i="19"/>
  <c r="E8" i="19"/>
  <c r="F8" i="19"/>
  <c r="G8" i="19"/>
  <c r="H8" i="19"/>
  <c r="D9" i="19"/>
  <c r="E9" i="19"/>
  <c r="F9" i="19"/>
  <c r="G9" i="19"/>
  <c r="H9" i="19"/>
  <c r="D10" i="19"/>
  <c r="E10" i="19"/>
  <c r="F10" i="19"/>
  <c r="G10" i="19"/>
  <c r="H10" i="19"/>
  <c r="D11" i="19"/>
  <c r="E11" i="19"/>
  <c r="F11" i="19"/>
  <c r="G11" i="19"/>
  <c r="H11" i="19"/>
  <c r="D12" i="19"/>
  <c r="E12" i="19"/>
  <c r="F12" i="19"/>
  <c r="G12" i="19"/>
  <c r="H12" i="19"/>
  <c r="D13" i="19"/>
  <c r="E13" i="19"/>
  <c r="F13" i="19"/>
  <c r="G13" i="19"/>
  <c r="H13" i="19"/>
  <c r="D14" i="19"/>
  <c r="E14" i="19"/>
  <c r="F14" i="19"/>
  <c r="G14" i="19"/>
  <c r="H14" i="19"/>
  <c r="D15" i="19"/>
  <c r="E15" i="19"/>
  <c r="F15" i="19"/>
  <c r="G15" i="19"/>
  <c r="H15" i="19"/>
  <c r="D16" i="19"/>
  <c r="E16" i="19"/>
  <c r="F16" i="19"/>
  <c r="G16" i="19"/>
  <c r="H16" i="19"/>
  <c r="D17" i="19"/>
  <c r="E17" i="19"/>
  <c r="F17" i="19"/>
  <c r="G17" i="19"/>
  <c r="H17" i="19"/>
  <c r="D18" i="19"/>
  <c r="E18" i="19"/>
  <c r="F18" i="19"/>
  <c r="G18" i="19"/>
  <c r="H18" i="19"/>
  <c r="D19" i="19"/>
  <c r="E19" i="19"/>
  <c r="F19" i="19"/>
  <c r="G19" i="19"/>
  <c r="H19" i="19"/>
  <c r="D20" i="19"/>
  <c r="E20" i="19"/>
  <c r="F20" i="19"/>
  <c r="G20" i="19"/>
  <c r="H20" i="19"/>
  <c r="D21" i="19"/>
  <c r="E21" i="19"/>
  <c r="F21" i="19"/>
  <c r="G21" i="19"/>
  <c r="H21" i="19"/>
  <c r="H4" i="19"/>
  <c r="G4" i="19"/>
  <c r="F4" i="19"/>
  <c r="E4" i="19"/>
  <c r="D4" i="19"/>
  <c r="H14" i="18"/>
  <c r="H13" i="18"/>
  <c r="H12" i="18"/>
  <c r="H11" i="18"/>
  <c r="H10" i="18"/>
  <c r="H9" i="18"/>
  <c r="H8" i="18"/>
  <c r="H7" i="18"/>
  <c r="H6" i="18"/>
  <c r="H5" i="18"/>
  <c r="H4" i="18"/>
  <c r="H14" i="16"/>
  <c r="G14" i="16"/>
  <c r="F14" i="16"/>
  <c r="E14" i="16"/>
  <c r="D14" i="16"/>
  <c r="H13" i="16"/>
  <c r="G13" i="16"/>
  <c r="F13" i="16"/>
  <c r="E13" i="16"/>
  <c r="D13" i="16"/>
  <c r="H12" i="16"/>
  <c r="G12" i="16"/>
  <c r="F12" i="16"/>
  <c r="E12" i="16"/>
  <c r="D12" i="16"/>
  <c r="H11" i="16"/>
  <c r="G11" i="16"/>
  <c r="F11" i="16"/>
  <c r="E11" i="16"/>
  <c r="D11" i="16"/>
  <c r="H10" i="16"/>
  <c r="G10" i="16"/>
  <c r="F10" i="16"/>
  <c r="E10" i="16"/>
  <c r="D10" i="16"/>
  <c r="H9" i="16"/>
  <c r="G9" i="16"/>
  <c r="F9" i="16"/>
  <c r="E9" i="16"/>
  <c r="D9" i="16"/>
  <c r="H8" i="16"/>
  <c r="G8" i="16"/>
  <c r="F8" i="16"/>
  <c r="E8" i="16"/>
  <c r="D8" i="16"/>
  <c r="H7" i="16"/>
  <c r="G7" i="16"/>
  <c r="F7" i="16"/>
  <c r="E7" i="16"/>
  <c r="D7" i="16"/>
  <c r="H6" i="16"/>
  <c r="G6" i="16"/>
  <c r="F6" i="16"/>
  <c r="E6" i="16"/>
  <c r="D6" i="16"/>
  <c r="H5" i="16"/>
  <c r="G5" i="16"/>
  <c r="F5" i="16"/>
  <c r="E5" i="16"/>
  <c r="D5" i="16"/>
  <c r="H4" i="16"/>
  <c r="G4" i="16"/>
  <c r="F4" i="16"/>
  <c r="E4" i="16"/>
  <c r="D4" i="16"/>
  <c r="H7" i="14"/>
  <c r="G17" i="14"/>
  <c r="H8" i="14"/>
  <c r="D5" i="13"/>
  <c r="E5" i="13"/>
  <c r="F5" i="13"/>
  <c r="G14" i="13" s="1"/>
  <c r="G5" i="13"/>
  <c r="H5" i="13"/>
  <c r="F4" i="12"/>
  <c r="D5" i="12"/>
  <c r="E5" i="12"/>
  <c r="F5" i="12"/>
  <c r="G16" i="12" s="1"/>
  <c r="G5" i="12"/>
  <c r="H5" i="12"/>
  <c r="H13" i="14"/>
  <c r="H12" i="14"/>
  <c r="H11" i="14"/>
  <c r="H10" i="14"/>
  <c r="H9" i="14"/>
  <c r="G16" i="14"/>
  <c r="H6" i="14"/>
  <c r="H5" i="14"/>
  <c r="H4" i="14"/>
  <c r="H12" i="13"/>
  <c r="G12" i="13"/>
  <c r="F12" i="13"/>
  <c r="E12" i="13"/>
  <c r="D12" i="13"/>
  <c r="H11" i="13"/>
  <c r="G11" i="13"/>
  <c r="F11" i="13"/>
  <c r="E11" i="13"/>
  <c r="D11" i="13"/>
  <c r="H10" i="13"/>
  <c r="G10" i="13"/>
  <c r="F10" i="13"/>
  <c r="E10" i="13"/>
  <c r="D10" i="13"/>
  <c r="H9" i="13"/>
  <c r="G9" i="13"/>
  <c r="F9" i="13"/>
  <c r="G17" i="13" s="1"/>
  <c r="E9" i="13"/>
  <c r="D9" i="13"/>
  <c r="H8" i="13"/>
  <c r="G8" i="13"/>
  <c r="F8" i="13"/>
  <c r="E8" i="13"/>
  <c r="D8" i="13"/>
  <c r="H7" i="13"/>
  <c r="G7" i="13"/>
  <c r="F7" i="13"/>
  <c r="G16" i="13" s="1"/>
  <c r="E7" i="13"/>
  <c r="D7" i="13"/>
  <c r="H6" i="13"/>
  <c r="G6" i="13"/>
  <c r="F6" i="13"/>
  <c r="G15" i="13" s="1"/>
  <c r="E6" i="13"/>
  <c r="D6" i="13"/>
  <c r="H4" i="13"/>
  <c r="G4" i="13"/>
  <c r="F4" i="13"/>
  <c r="E4" i="13"/>
  <c r="D4" i="13"/>
  <c r="H13" i="12"/>
  <c r="G13" i="12"/>
  <c r="F13" i="12"/>
  <c r="E13" i="12"/>
  <c r="D13" i="12"/>
  <c r="H12" i="12"/>
  <c r="G12" i="12"/>
  <c r="F12" i="12"/>
  <c r="G18" i="12" s="1"/>
  <c r="E12" i="12"/>
  <c r="D12" i="12"/>
  <c r="H11" i="12"/>
  <c r="G11" i="12"/>
  <c r="F11" i="12"/>
  <c r="E11" i="12"/>
  <c r="D11" i="12"/>
  <c r="H10" i="12"/>
  <c r="G10" i="12"/>
  <c r="F10" i="12"/>
  <c r="E10" i="12"/>
  <c r="D10" i="12"/>
  <c r="H9" i="12"/>
  <c r="G9" i="12"/>
  <c r="F9" i="12"/>
  <c r="E9" i="12"/>
  <c r="D9" i="12"/>
  <c r="H8" i="12"/>
  <c r="G8" i="12"/>
  <c r="F8" i="12"/>
  <c r="E8" i="12"/>
  <c r="D8" i="12"/>
  <c r="H7" i="12"/>
  <c r="G7" i="12"/>
  <c r="F7" i="12"/>
  <c r="G17" i="12" s="1"/>
  <c r="E7" i="12"/>
  <c r="D7" i="12"/>
  <c r="H6" i="12"/>
  <c r="G6" i="12"/>
  <c r="F6" i="12"/>
  <c r="E6" i="12"/>
  <c r="D6" i="12"/>
  <c r="H4" i="12"/>
  <c r="G4" i="12"/>
  <c r="E4" i="12"/>
  <c r="D4" i="12"/>
  <c r="D5" i="11"/>
  <c r="E5" i="11"/>
  <c r="F5" i="11"/>
  <c r="G5" i="11"/>
  <c r="D6" i="11"/>
  <c r="E6" i="11"/>
  <c r="F6" i="11"/>
  <c r="G6" i="11"/>
  <c r="D7" i="11"/>
  <c r="E7" i="11"/>
  <c r="F7" i="11"/>
  <c r="G7" i="11"/>
  <c r="D8" i="11"/>
  <c r="E8" i="11"/>
  <c r="F8" i="11"/>
  <c r="G12" i="11" s="1"/>
  <c r="G8" i="11"/>
  <c r="D9" i="11"/>
  <c r="E9" i="11"/>
  <c r="F9" i="11"/>
  <c r="G9" i="11"/>
  <c r="D10" i="11"/>
  <c r="E10" i="11"/>
  <c r="F10" i="11"/>
  <c r="G10" i="11"/>
  <c r="G4" i="11"/>
  <c r="F4" i="11"/>
  <c r="E4" i="11"/>
  <c r="D4" i="11"/>
  <c r="H8" i="11"/>
  <c r="H9" i="11"/>
  <c r="H10" i="11"/>
  <c r="H7" i="11"/>
  <c r="H6" i="11"/>
  <c r="H5" i="11"/>
  <c r="H4" i="11"/>
  <c r="D17" i="14" l="1"/>
  <c r="E17" i="14"/>
  <c r="E16" i="14"/>
  <c r="D16" i="14"/>
  <c r="E17" i="13"/>
  <c r="D17" i="13"/>
  <c r="D15" i="13"/>
  <c r="E15" i="13"/>
  <c r="D16" i="13"/>
  <c r="E16" i="13"/>
  <c r="E14" i="13"/>
  <c r="D14" i="13"/>
  <c r="D17" i="12"/>
  <c r="E17" i="12"/>
  <c r="D18" i="12"/>
  <c r="E18" i="12"/>
  <c r="E16" i="12"/>
  <c r="D16" i="12"/>
  <c r="E12" i="11"/>
  <c r="D12" i="11"/>
  <c r="D5" i="5"/>
  <c r="E5" i="5"/>
  <c r="F5" i="5"/>
  <c r="G5" i="5"/>
  <c r="H5" i="5"/>
  <c r="D6" i="5"/>
  <c r="E6" i="5"/>
  <c r="F6" i="5"/>
  <c r="G6" i="5"/>
  <c r="H6" i="5"/>
  <c r="D7" i="5"/>
  <c r="E7" i="5"/>
  <c r="F7" i="5"/>
  <c r="G7" i="5"/>
  <c r="H7" i="5"/>
  <c r="D8" i="5"/>
  <c r="E8" i="5"/>
  <c r="F8" i="5"/>
  <c r="G31" i="5" s="1"/>
  <c r="F31" i="5" s="1"/>
  <c r="G8" i="5"/>
  <c r="H8" i="5"/>
  <c r="D9" i="5"/>
  <c r="E9" i="5"/>
  <c r="F9" i="5"/>
  <c r="G9" i="5"/>
  <c r="H9" i="5"/>
  <c r="D10" i="5"/>
  <c r="E10" i="5"/>
  <c r="F10" i="5"/>
  <c r="G10" i="5"/>
  <c r="H10" i="5"/>
  <c r="D11" i="5"/>
  <c r="E11" i="5"/>
  <c r="F11" i="5"/>
  <c r="G11" i="5"/>
  <c r="H11" i="5"/>
  <c r="D12" i="5"/>
  <c r="E12" i="5"/>
  <c r="F12" i="5"/>
  <c r="G12" i="5"/>
  <c r="H12" i="5"/>
  <c r="D13" i="5"/>
  <c r="E13" i="5"/>
  <c r="F13" i="5"/>
  <c r="G13" i="5"/>
  <c r="H13" i="5"/>
  <c r="D14" i="5"/>
  <c r="E14" i="5"/>
  <c r="F14" i="5"/>
  <c r="G14" i="5"/>
  <c r="H14" i="5"/>
  <c r="D15" i="5"/>
  <c r="E15" i="5"/>
  <c r="F15" i="5"/>
  <c r="G15" i="5"/>
  <c r="H15" i="5"/>
  <c r="D17" i="5"/>
  <c r="E17" i="5"/>
  <c r="F17" i="5"/>
  <c r="G32" i="5" s="1"/>
  <c r="F32" i="5" s="1"/>
  <c r="G17" i="5"/>
  <c r="H17" i="5"/>
  <c r="D18" i="5"/>
  <c r="E18" i="5"/>
  <c r="F18" i="5"/>
  <c r="G18" i="5"/>
  <c r="H18" i="5"/>
  <c r="D19" i="5"/>
  <c r="E19" i="5"/>
  <c r="F19" i="5"/>
  <c r="G19" i="5"/>
  <c r="H19" i="5"/>
  <c r="D20" i="5"/>
  <c r="E20" i="5"/>
  <c r="F20" i="5"/>
  <c r="G20" i="5"/>
  <c r="H20" i="5"/>
  <c r="D21" i="5"/>
  <c r="E21" i="5"/>
  <c r="F21" i="5"/>
  <c r="G21" i="5"/>
  <c r="H21" i="5"/>
  <c r="D22" i="5"/>
  <c r="E22" i="5"/>
  <c r="F22" i="5"/>
  <c r="G22" i="5"/>
  <c r="H22" i="5"/>
  <c r="D23" i="5"/>
  <c r="E23" i="5"/>
  <c r="F23" i="5"/>
  <c r="G23" i="5"/>
  <c r="H23" i="5"/>
  <c r="D24" i="5"/>
  <c r="E24" i="5"/>
  <c r="F24" i="5"/>
  <c r="G24" i="5"/>
  <c r="H24" i="5"/>
  <c r="D25" i="5"/>
  <c r="E25" i="5"/>
  <c r="F25" i="5"/>
  <c r="G25" i="5"/>
  <c r="H25" i="5"/>
  <c r="D26" i="5"/>
  <c r="E26" i="5"/>
  <c r="F26" i="5"/>
  <c r="G26" i="5"/>
  <c r="H26" i="5"/>
  <c r="D27" i="5"/>
  <c r="E27" i="5"/>
  <c r="F27" i="5"/>
  <c r="G27" i="5"/>
  <c r="H27" i="5"/>
  <c r="D28" i="5"/>
  <c r="E28" i="5"/>
  <c r="F28" i="5"/>
  <c r="G28" i="5"/>
  <c r="H28" i="5"/>
  <c r="H4" i="5"/>
  <c r="G4" i="5"/>
  <c r="F4" i="5"/>
  <c r="E4" i="5"/>
  <c r="D4" i="5"/>
  <c r="D32" i="5" l="1"/>
  <c r="E32" i="5"/>
  <c r="D31" i="5"/>
  <c r="E31" i="5"/>
  <c r="H15" i="8" l="1"/>
  <c r="H14" i="8"/>
  <c r="H13" i="8"/>
  <c r="H12" i="8"/>
  <c r="H11" i="8"/>
  <c r="H10" i="8"/>
  <c r="G18" i="8"/>
  <c r="H9" i="8"/>
  <c r="H8" i="8"/>
  <c r="H7" i="8"/>
  <c r="G17" i="8"/>
  <c r="H6" i="8"/>
  <c r="H5" i="8"/>
  <c r="H4" i="8"/>
  <c r="D5" i="6"/>
  <c r="E5" i="6"/>
  <c r="F5" i="6"/>
  <c r="G5" i="6"/>
  <c r="H5" i="6"/>
  <c r="D6" i="6"/>
  <c r="E6" i="6"/>
  <c r="F6" i="6"/>
  <c r="G6" i="6"/>
  <c r="H6" i="6"/>
  <c r="D7" i="6"/>
  <c r="E7" i="6"/>
  <c r="F7" i="6"/>
  <c r="G7" i="6"/>
  <c r="H7" i="6"/>
  <c r="D8" i="6"/>
  <c r="E8" i="6"/>
  <c r="F8" i="6"/>
  <c r="G20" i="6" s="1"/>
  <c r="G8" i="6"/>
  <c r="H8" i="6"/>
  <c r="D10" i="6"/>
  <c r="E10" i="6"/>
  <c r="F10" i="6"/>
  <c r="G10" i="6"/>
  <c r="H10" i="6"/>
  <c r="D11" i="6"/>
  <c r="E11" i="6"/>
  <c r="F11" i="6"/>
  <c r="G11" i="6"/>
  <c r="H11" i="6"/>
  <c r="D12" i="6"/>
  <c r="E12" i="6"/>
  <c r="F12" i="6"/>
  <c r="G21" i="6" s="1"/>
  <c r="G12" i="6"/>
  <c r="H12" i="6"/>
  <c r="D13" i="6"/>
  <c r="E13" i="6"/>
  <c r="F13" i="6"/>
  <c r="G13" i="6"/>
  <c r="H13" i="6"/>
  <c r="H14" i="6"/>
  <c r="H15" i="6"/>
  <c r="D16" i="6"/>
  <c r="E16" i="6"/>
  <c r="F16" i="6"/>
  <c r="G16" i="6"/>
  <c r="H16" i="6"/>
  <c r="E17" i="8" l="1"/>
  <c r="D17" i="8"/>
  <c r="D18" i="8"/>
  <c r="E18" i="8"/>
  <c r="D21" i="6"/>
  <c r="E21" i="6"/>
  <c r="E20" i="6"/>
  <c r="D20" i="6"/>
  <c r="H4" i="6"/>
  <c r="G4" i="6"/>
  <c r="F4" i="6"/>
  <c r="E4" i="6"/>
  <c r="D4" i="6"/>
  <c r="F5" i="3" l="1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H4" i="3"/>
  <c r="G4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" i="3"/>
</calcChain>
</file>

<file path=xl/sharedStrings.xml><?xml version="1.0" encoding="utf-8"?>
<sst xmlns="http://schemas.openxmlformats.org/spreadsheetml/2006/main" count="1416" uniqueCount="393">
  <si>
    <t>DLR</t>
  </si>
  <si>
    <t>European Union</t>
  </si>
  <si>
    <t>WorldBank</t>
  </si>
  <si>
    <t>Aluminium</t>
  </si>
  <si>
    <t>Antimony</t>
  </si>
  <si>
    <t>Baryte</t>
  </si>
  <si>
    <t>Bauxite</t>
  </si>
  <si>
    <t>Beryllium</t>
  </si>
  <si>
    <t>Bismuth</t>
  </si>
  <si>
    <t>Borate</t>
  </si>
  <si>
    <t>Cadmium</t>
  </si>
  <si>
    <t>Cerium</t>
  </si>
  <si>
    <t>Chromium</t>
  </si>
  <si>
    <t>Cobalt</t>
  </si>
  <si>
    <t>Coking coal</t>
  </si>
  <si>
    <t>Copper</t>
  </si>
  <si>
    <t>Dysprosium</t>
  </si>
  <si>
    <t>Fluorspar</t>
  </si>
  <si>
    <t>Gadolinium</t>
  </si>
  <si>
    <t>Galium</t>
  </si>
  <si>
    <t>Gallium</t>
  </si>
  <si>
    <t>Germanium</t>
  </si>
  <si>
    <t>Graphite</t>
  </si>
  <si>
    <t>Hafnium</t>
  </si>
  <si>
    <t>Heavy Rare Earth Elements</t>
  </si>
  <si>
    <t>Indium</t>
  </si>
  <si>
    <t>Iridium</t>
  </si>
  <si>
    <t>Iron</t>
  </si>
  <si>
    <t>Lanthanum</t>
  </si>
  <si>
    <t>Lead</t>
  </si>
  <si>
    <t>Light Rare Earth Elements</t>
  </si>
  <si>
    <t>Lithium</t>
  </si>
  <si>
    <t>Magnesium</t>
  </si>
  <si>
    <t>Manganese</t>
  </si>
  <si>
    <t>Molybdenum</t>
  </si>
  <si>
    <t>Natural Graphite</t>
  </si>
  <si>
    <t>Natural Rubber</t>
  </si>
  <si>
    <t>Neodymium</t>
  </si>
  <si>
    <t>Nickel</t>
  </si>
  <si>
    <t>Niobium</t>
  </si>
  <si>
    <t>Phosphate rock</t>
  </si>
  <si>
    <t>Phosphorus</t>
  </si>
  <si>
    <t>Platinum</t>
  </si>
  <si>
    <t>Platinum Group Metals</t>
  </si>
  <si>
    <t>Potassium</t>
  </si>
  <si>
    <t>Scandium</t>
  </si>
  <si>
    <t>Selenium</t>
  </si>
  <si>
    <t>Silicon metal</t>
  </si>
  <si>
    <t>Silver</t>
  </si>
  <si>
    <t>Strontium</t>
  </si>
  <si>
    <t>Sulfur</t>
  </si>
  <si>
    <t>Tantalum</t>
  </si>
  <si>
    <t>Tellurium</t>
  </si>
  <si>
    <t>Titanium</t>
  </si>
  <si>
    <t>Tungsten</t>
  </si>
  <si>
    <t>Vanadium</t>
  </si>
  <si>
    <t>Yttrium</t>
  </si>
  <si>
    <t>Zinc</t>
  </si>
  <si>
    <t>Zirconium</t>
  </si>
  <si>
    <t>Technologies</t>
  </si>
  <si>
    <t>Subtechnologies</t>
  </si>
  <si>
    <t>Electric vehicles</t>
  </si>
  <si>
    <t>Wind Onshore</t>
  </si>
  <si>
    <t>Wind Offshore</t>
  </si>
  <si>
    <t>Fuel Cells</t>
  </si>
  <si>
    <t>Electrolysers</t>
  </si>
  <si>
    <t>Photovoltaic</t>
  </si>
  <si>
    <t>Perovskite</t>
  </si>
  <si>
    <t>Concentrated Solar Power</t>
  </si>
  <si>
    <t>ICE vehicles</t>
  </si>
  <si>
    <t>Material</t>
  </si>
  <si>
    <t>Unit</t>
  </si>
  <si>
    <t>Year</t>
  </si>
  <si>
    <t>Summary</t>
  </si>
  <si>
    <t>Cullbrand_2011</t>
  </si>
  <si>
    <t>value</t>
  </si>
  <si>
    <t>kg metal/kg vehicle</t>
  </si>
  <si>
    <t>Erbium</t>
  </si>
  <si>
    <t>Europium</t>
  </si>
  <si>
    <t>Palladium</t>
  </si>
  <si>
    <t>Praseodymium</t>
  </si>
  <si>
    <t>Rhodium</t>
  </si>
  <si>
    <t>Samarium</t>
  </si>
  <si>
    <t>Terbium</t>
  </si>
  <si>
    <t>Ytterbium</t>
  </si>
  <si>
    <t>Alonso_2012</t>
  </si>
  <si>
    <t>Gold</t>
  </si>
  <si>
    <t>Rubidium</t>
  </si>
  <si>
    <t>Rhenium</t>
  </si>
  <si>
    <t>Tin</t>
  </si>
  <si>
    <t>Ruthenium</t>
  </si>
  <si>
    <t>Fishman_2018</t>
  </si>
  <si>
    <t>Widmett_2015</t>
  </si>
  <si>
    <t>Widmet_2015</t>
  </si>
  <si>
    <t>ÖkoInstitut_2011</t>
  </si>
  <si>
    <t>mean</t>
  </si>
  <si>
    <t>median</t>
  </si>
  <si>
    <t>min</t>
  </si>
  <si>
    <t>max</t>
  </si>
  <si>
    <t>kg metal/kg motor</t>
  </si>
  <si>
    <t>Manberger_2018</t>
  </si>
  <si>
    <t>USDOE_2010</t>
  </si>
  <si>
    <t>Elwert_2016</t>
  </si>
  <si>
    <t>Hernandez_2017</t>
  </si>
  <si>
    <t>Nordelöf_2018</t>
  </si>
  <si>
    <t>Restrepo_2017</t>
  </si>
  <si>
    <t>Boron</t>
  </si>
  <si>
    <t>Count</t>
  </si>
  <si>
    <t>Hoenderdaal_2013</t>
  </si>
  <si>
    <t>Rademaker_2013</t>
  </si>
  <si>
    <t>Grandell_2016</t>
  </si>
  <si>
    <t>kg/MW</t>
  </si>
  <si>
    <t>Vestas_2017</t>
  </si>
  <si>
    <t>Vestas_2018</t>
  </si>
  <si>
    <t>Viebahn_2015</t>
  </si>
  <si>
    <t>Willburn_2011</t>
  </si>
  <si>
    <t>Moss_2011</t>
  </si>
  <si>
    <t>Habib_2014</t>
  </si>
  <si>
    <t>Imholte_2018</t>
  </si>
  <si>
    <t>Dominish_2019</t>
  </si>
  <si>
    <t>Nassar_2016</t>
  </si>
  <si>
    <t>Tokimatsu_2018</t>
  </si>
  <si>
    <t>Sander_2017</t>
  </si>
  <si>
    <t>Blagoeva_2016</t>
  </si>
  <si>
    <t>Bleicher_2020</t>
  </si>
  <si>
    <t>WorldBank_2017</t>
  </si>
  <si>
    <t>Elshkaki_2019</t>
  </si>
  <si>
    <t>Carrara_2020</t>
  </si>
  <si>
    <t>Fizaine_2015</t>
  </si>
  <si>
    <t>Leader_2019</t>
  </si>
  <si>
    <t>Sekine_2017</t>
  </si>
  <si>
    <t>deKoning_2018</t>
  </si>
  <si>
    <t>Li_2018</t>
  </si>
  <si>
    <t>Watari_2018</t>
  </si>
  <si>
    <t>Ohrlund_2012</t>
  </si>
  <si>
    <t>Giurco_2019</t>
  </si>
  <si>
    <t>Kavlak_2015</t>
  </si>
  <si>
    <t>Fthenakis_2012</t>
  </si>
  <si>
    <t>Pihl_2012</t>
  </si>
  <si>
    <t>Angerer_2009</t>
  </si>
  <si>
    <t>Moss_et_al_2011_EuroThrough_ET_150</t>
  </si>
  <si>
    <t>Moss_et_al_2011_Solnova_1</t>
  </si>
  <si>
    <t>World_Bank_Group_2017</t>
  </si>
  <si>
    <t>Teske_et_al_2016</t>
  </si>
  <si>
    <t>NREL_2020_Aalborg_CSP</t>
  </si>
  <si>
    <t>NREL_2020_Agua_Prieta_2</t>
  </si>
  <si>
    <t>NREL_2020_Andasol_1</t>
  </si>
  <si>
    <t>NREL_2020_Archimede</t>
  </si>
  <si>
    <t>NREL_2020_Borges_Termosolar</t>
  </si>
  <si>
    <t>NREL_2020_City_of_Medicine</t>
  </si>
  <si>
    <t>NREL_2020_Colorado_ISP</t>
  </si>
  <si>
    <t>NREL_2020_Enerstar</t>
  </si>
  <si>
    <t>NREL_2020_Godawari</t>
  </si>
  <si>
    <t>NREL_2020_Guzmán</t>
  </si>
  <si>
    <t>NREL_2020_Helioenergy</t>
  </si>
  <si>
    <t>NREL_2020_Ibersol</t>
  </si>
  <si>
    <t>NREL_2020_ISCC_Ain_Beni</t>
  </si>
  <si>
    <t>NREL_2020_ISCC_Kuraymat</t>
  </si>
  <si>
    <t>NREL_2020_La_Risca</t>
  </si>
  <si>
    <t>NREL_2020_Lebrija_1</t>
  </si>
  <si>
    <t>NREL_2020_Majadas_1</t>
  </si>
  <si>
    <t>NREL_2020_MNGSEC</t>
  </si>
  <si>
    <t>NREL_2020_Megha</t>
  </si>
  <si>
    <t>NREL_2020_Morón</t>
  </si>
  <si>
    <t>NREL_2020_National_Solar_Thermal</t>
  </si>
  <si>
    <t>NREL_2020_Olivenza_1</t>
  </si>
  <si>
    <t>NREL_2020_Orellana</t>
  </si>
  <si>
    <t>NREL_2020_Palma_del_Río_1</t>
  </si>
  <si>
    <t>NREL_2020_Saguaro</t>
  </si>
  <si>
    <t>NREL_2020_Shams_1</t>
  </si>
  <si>
    <t>NREL_2020_Solaben_1</t>
  </si>
  <si>
    <t>NREL_2020_SEGS_2</t>
  </si>
  <si>
    <t>NREL_2020_SEGS_3</t>
  </si>
  <si>
    <t>NREL_2020_SEGS_5</t>
  </si>
  <si>
    <t>NREL_2020_SEGS_6</t>
  </si>
  <si>
    <t>NREL_2020_SEGS_7</t>
  </si>
  <si>
    <t>NREL_2020_SGES_8</t>
  </si>
  <si>
    <t>NREL_2020_SEGS_9</t>
  </si>
  <si>
    <t>NREL_2020_Thai_SE_1</t>
  </si>
  <si>
    <t>Angerer_et_al_2009</t>
  </si>
  <si>
    <t>NREL_2020_ACME</t>
  </si>
  <si>
    <t>NREL_2020_Ashalim_Plot_B</t>
  </si>
  <si>
    <t>NREL_2020_ISEGS</t>
  </si>
  <si>
    <t>NREL_2020_Jemalong</t>
  </si>
  <si>
    <t>NREL_2020_Sierra_SunTower</t>
  </si>
  <si>
    <t>NREL_2020_Sundrop</t>
  </si>
  <si>
    <t>Valero_2018b</t>
  </si>
  <si>
    <t>Ashby_2013</t>
  </si>
  <si>
    <t>Brass</t>
  </si>
  <si>
    <t>Harvey_2018</t>
  </si>
  <si>
    <t>Marscheider-Weidemann_2016</t>
  </si>
  <si>
    <t>Stahl_2016</t>
  </si>
  <si>
    <t>Ahluwalia_2011</t>
  </si>
  <si>
    <t>James_2018</t>
  </si>
  <si>
    <t>USDOE_2011</t>
  </si>
  <si>
    <t>Sinha_2018</t>
  </si>
  <si>
    <t>Batelle_2013</t>
  </si>
  <si>
    <t>HyTechCycling_2018</t>
  </si>
  <si>
    <t>Kleijn_2010</t>
  </si>
  <si>
    <t>Kongkanand_2016</t>
  </si>
  <si>
    <t>Kurzweil_2013</t>
  </si>
  <si>
    <t>McLellan_2016</t>
  </si>
  <si>
    <t>Rooijen_2006</t>
  </si>
  <si>
    <t>Saurat_2009</t>
  </si>
  <si>
    <t>Stropnik_2019</t>
  </si>
  <si>
    <t>Wittstock_2018</t>
  </si>
  <si>
    <t>Bareiß_2019</t>
  </si>
  <si>
    <t>Bertuccioli_2014</t>
  </si>
  <si>
    <t>Grigoriev_2010</t>
  </si>
  <si>
    <t>Praseodimium</t>
  </si>
  <si>
    <t>Häfele_2016</t>
  </si>
  <si>
    <t>Millet_2010</t>
  </si>
  <si>
    <t>Siracusano_2011</t>
  </si>
  <si>
    <t>Smolinka_2018</t>
  </si>
  <si>
    <t>Staffel_2010</t>
  </si>
  <si>
    <t>Wulf_2018</t>
  </si>
  <si>
    <t>Wuppertal_2014</t>
  </si>
  <si>
    <t>Xu_2011</t>
  </si>
  <si>
    <t>Xu_2010</t>
  </si>
  <si>
    <t>Koj_2017</t>
  </si>
  <si>
    <t>Giraldi_2015</t>
  </si>
  <si>
    <t>Max is the minimum from 2020. Min was calculated considering the same reduction ratio as in Harvey_2018</t>
  </si>
  <si>
    <t>Min values for 2050 are taken from Schlichenmaier_2022. Future MAX values are present MIN</t>
  </si>
  <si>
    <t>We take the mean for 2020 as max, not to eliminate the possibility of having dysprosium in the future</t>
  </si>
  <si>
    <t>We take the mean for 2020 as max, not to eliminate the possibility of having Neodymium in the future</t>
  </si>
  <si>
    <t>For the max, I take present values for sputter process 1 from Roffeis_2022</t>
  </si>
  <si>
    <t>Schlichenmaier_2022</t>
  </si>
  <si>
    <t>NREL</t>
  </si>
  <si>
    <t>The Use of Potentially Critical Materials in Passenger Cars</t>
  </si>
  <si>
    <t>https://publications.lib.chalmers.se/records/fulltext/162842.pdf</t>
  </si>
  <si>
    <t>An assessment of the rare earth element content of conventional and electric vehicles</t>
  </si>
  <si>
    <t>https://www.jstor.org/stable/pdf/26268481.pdf?refreqid=excelsior%3Ab7df8b30df16f78642f06f7ac4de04fb&amp;ab_segments=&amp;origin=&amp;initiator=&amp;acceptTC=1</t>
  </si>
  <si>
    <t>Scarce metals in conventional passenger vehicles and end-of-life vehicle shredder output</t>
  </si>
  <si>
    <t>https://pubs.acs.org/doi/pdf/10.1021/es505415d</t>
  </si>
  <si>
    <t>Global metal flows in the renewable energy transition: Exploring the effects of substitutes, technological mix and development</t>
  </si>
  <si>
    <t>https://www.sciencedirect.com/science/article/pii/S0301421518302726</t>
  </si>
  <si>
    <t>Critical materials strategy</t>
  </si>
  <si>
    <t>https://www.energy.gov/sites/prod/files/piprod/documents/cms_dec_17_full_web.pdf</t>
  </si>
  <si>
    <t>Current Developments and Challenges in the Recycling of Key Components of (Hybrid) Electric Vehicles</t>
  </si>
  <si>
    <t>https://www.mdpi.com/2313-4321/1/1/25</t>
  </si>
  <si>
    <t>Environmental impact of traction electric motors for electric vehicles applications</t>
  </si>
  <si>
    <t>https://link.springer.com/article/10.1007/s11367-015-0973-9</t>
  </si>
  <si>
    <t>A scalable life cycle inventory of an electrical automotive traction machine - Part 1: design and composition</t>
  </si>
  <si>
    <t>https://link.springer.com/article/10.1007/s11367-017-1308-9#S</t>
  </si>
  <si>
    <t>Implications of Emerging Vehicle Technologies on Rare Earth Supply and Demand in the United States</t>
  </si>
  <si>
    <t>https://www.mdpi.com/2079-9276/7/1/9</t>
  </si>
  <si>
    <t>Ressourceneffizienz und ressourcenpolitische Aspekte des Systems Elektromobilität - Arbeitspaket 7 des Forschungsvorhaben OPTUM</t>
  </si>
  <si>
    <t>https://www.oeko.de/publikationen/p-details/ressourceneffizienz-und-ressourcenpolitische-aspekte-des-systems-elektromobilitaet-arbeitspaket-7-d</t>
  </si>
  <si>
    <t>Can a dysprosium shortage threaten green energy technologies?</t>
  </si>
  <si>
    <t>https://www.sciencedirect.com/science/article/abs/pii/S0360544212008055</t>
  </si>
  <si>
    <t>Recycling as a Strategy against Rare Earth Element Criticality: A Systematic Evaluation of the potential Yield of NdFeB Magnet Recycling</t>
  </si>
  <si>
    <t>https://pubs.acs.org/doi/10.1021/es305007w</t>
  </si>
  <si>
    <t>Role of critical metals in the future markets of clean energy technologies</t>
  </si>
  <si>
    <t>https://www.sciencedirect.com/science/article/abs/pii/S0960148116302816?via%3Dihub</t>
  </si>
  <si>
    <t>Stocks, Flows, and Distribution of Critical Metals in Embedded
Electronics in Passenger Vehicles</t>
  </si>
  <si>
    <t>https://pubs.acs.org/doi/10.1021/acs.est.6b05743</t>
  </si>
  <si>
    <t>Dynamic Substance Flow Analysis of Neodymium and Dysprosium Associated with Neodymium Magnets in Japan</t>
  </si>
  <si>
    <t>https://doi.org/10.1111/jiec.12458</t>
  </si>
  <si>
    <t>Metal supply constraints for a low-carbon economy?</t>
  </si>
  <si>
    <t>https://doi.org/10.1016/j.resconrec.2017.10.040</t>
  </si>
  <si>
    <t>Life Cycle Assessment of Electricity Production from an onshore V136-3.45 MW Wind Plant</t>
  </si>
  <si>
    <t>https://www.vestas.com/content/dam/vestas-com/global/en/sustainability/reports-and-ratings/lcas/V1363%2045MW_Mk3a_ISO_LCA_Final_31072017.pdf.coredownload.inline.pdf</t>
  </si>
  <si>
    <t>Life Cycle Assessment of Electricity Production from an onshore V116-2.0 MW Wind Plant</t>
  </si>
  <si>
    <t>https://www.vestas.com/content/dam/vestas-com/global/en/sustainability/reports-and-ratings/lcas/0075-0998_V01%20-%20LCA%20of%20Electricity%20Production%20from%20an%20onshore%20V116-2.0%20MW%20Wind%20Plant_120718_v1.1.pdf.coredownload.inline.pdf</t>
  </si>
  <si>
    <t>Assessing the need for critical minerals to shift the German energy system towards a high proportion of renewables</t>
  </si>
  <si>
    <t>https://www.sciencedirect.com/science/article/pii/S1364032115003408</t>
  </si>
  <si>
    <t>Wind Energy in the United States and Materials Required for the Land-based Wind Trubine Industry from 2010 through 2030</t>
  </si>
  <si>
    <t>https://pubs.usgs.gov/sir/2011/5036/sir2011-5036.pdf</t>
  </si>
  <si>
    <t>Critical Metals in Strategic Energy Technologies - Assessing Rare Metals as Supply-Chain Bottlenecks in Low-Carbon Energy Technologies</t>
  </si>
  <si>
    <t>https://publications.jrc.ec.europa.eu/repository/handle/JRC65592</t>
  </si>
  <si>
    <t>Exploring rare earth supply constraints for the emerging clean energy technologies and therole of recyling</t>
  </si>
  <si>
    <t>https://www.sciencedirect.com/science/article/pii/S0959652614003837</t>
  </si>
  <si>
    <t>An assessment of US rare earth availability for supporting US wind energy growing targets</t>
  </si>
  <si>
    <t>https://www.sciencedirect.com/science/article/pii/S0301421517307383</t>
  </si>
  <si>
    <t>Responsible Minerals Sourcing for Renewable Energy</t>
  </si>
  <si>
    <t>https://earthworks.org/wp-content/uploads/2019/04/Responsible-minerals-sourcing-for-renewable-energy-MCEC_UTS_Earthworks-Report.pdf</t>
  </si>
  <si>
    <t>Byproduct metal requirements for U.S. wind and solar photovoltaicelectricity generation up to the year 2040 under various Clean PowerPlan scenarios</t>
  </si>
  <si>
    <t>https://www.sciencedirect.com/science/article/pii/S0306261916311497</t>
  </si>
  <si>
    <t>Energy modeling approach to the global energy-mineral nexus: Exploring metal requirements and the well-below 2°C target with 100 percent renewable energy</t>
  </si>
  <si>
    <t>https://www.sciencedirect.com/science/article/pii/S0306261918307578</t>
  </si>
  <si>
    <t>Recyclingpotential strategischer Metalle (ReStra) - Abschussbericht</t>
  </si>
  <si>
    <t>https://www.umweltbundesamt.de/sites/default/files/medien/1410/publikationen/2017-08-21_texte_68-2017_restra_0.pdf</t>
  </si>
  <si>
    <t xml:space="preserve">Assessment of potential bottlenecks along the materials supply chain for the future deployment of low-carbon energy and transport technologies in the EU </t>
  </si>
  <si>
    <t>https://op.europa.eu/en/publication-detail/-/publication/0bdbe7fc-b214-11e6-871e-01aa75ed71a1/language-en</t>
  </si>
  <si>
    <t>The Material Basis of Energy Transitions</t>
  </si>
  <si>
    <t>https://www.sciencedirect.com/book/9780128195345/the-material-basis-of-energy-transitions</t>
  </si>
  <si>
    <t>The Growing Role of Minerals and Metals for a Low Carbon Future</t>
  </si>
  <si>
    <t>https://documents.worldbank.org/pt/publication/documents-reports/documentdetail/207371500386458722/the-growing-role-of-minerals-and-metals-for-a-low-carbon-future</t>
  </si>
  <si>
    <t>The impacts of national and international energy scenarios on critical metals use in China up to 2050 and their global implications</t>
  </si>
  <si>
    <t>https://www.sciencedirect.com/science/article/pii/S0360544219310382</t>
  </si>
  <si>
    <t>Raw materials demand for wind and solar PV technologies in the transition towards a decarbonised energy system</t>
  </si>
  <si>
    <t>https://op.europa.eu/en/publication-detail/-/publication/19aae047-7f88-11ea-aea8-01aa75ed71a1/language-en</t>
  </si>
  <si>
    <t>Renewable electricity producing technologies and metal depletion: A sensitivity analysis using the EROI</t>
  </si>
  <si>
    <t>https://www.sciencedirect.com/science/article/pii/S0921800914003681?via%3Dihub#ec0005</t>
  </si>
  <si>
    <t>The effect of critical material prices on the competitiveness of clean energy technologies</t>
  </si>
  <si>
    <t>https://doi.org/10.1007/s40243-019-0146-z</t>
  </si>
  <si>
    <t>Performance and cost of automotive fuel cell systems with ultra-low platinum loadings</t>
  </si>
  <si>
    <t>doi:10.1016/j.jpowsour.2011.01.059</t>
  </si>
  <si>
    <t>Rohstoffe für Zukunftstechnologien - Einfluss des branchenspezifischen Rohstoffbedarfs in rohstoffintensiven Zukunftstechnologien auf die zukünftige Rohstoffnachfrage</t>
  </si>
  <si>
    <t>https://www.isi.fraunhofer.de/content/dam/isi/dokumente/ccn/2009/Schlussbericht_lang_20090515.pdf</t>
  </si>
  <si>
    <t>Materials and the Environment. 2nd Edition</t>
  </si>
  <si>
    <t>Life cycle assessment of hydrogen from proton exchange membrane water electrolysis in future energy systems</t>
  </si>
  <si>
    <t>https://doi.org/10.1016/j.apenergy.2019.01.001</t>
  </si>
  <si>
    <t>https://doi.org/10.1016/C2010-0-66554-0</t>
  </si>
  <si>
    <t xml:space="preserve"> Study on development of water electrolysis in the EU. Final Report. Fuel Cells and Hydrogen Joint Undertaking</t>
  </si>
  <si>
    <t>https://refman.energytransitionmodel.com/publications/2020</t>
  </si>
  <si>
    <t>Manufacturing Cost Analysis of 10 kW and 25 kW Direct Hydrogen Polymer Electrolyte Membrane (PEM) Fuel Cell for Material Handling Applications</t>
  </si>
  <si>
    <t>https://www.energy.gov/eere/fuelcells/articles/manufacturing-cost-analysis-10-kw-and-25-kw-direct-hydrogen-polymer</t>
  </si>
  <si>
    <t>Sustainability metrics for extending thin-film photovoltaics to terawatt levels</t>
  </si>
  <si>
    <t>https://link.springer.com/article/10.1557/mrs.2012.50</t>
  </si>
  <si>
    <t>Life cycle assessment of hydrogen production from a high temperature electrolysis process coupled to a high temperature gas nuclear reactor</t>
  </si>
  <si>
    <t>https://doi.org/10.1016/j.ijhydene.2015.01.093</t>
  </si>
  <si>
    <t>Requirements for Minerals and Metals for 100% Renewable Scenarios</t>
  </si>
  <si>
    <t>Platinum and palladium nano-particles supported by graphitic nano-fibers as catalysts for PEM water electrolysis</t>
  </si>
  <si>
    <t>https://doi.org/10.1016/j.ijhydene.2010.07.013</t>
  </si>
  <si>
    <t>Life cycle assessment of the manufacture and operation of solid oxide electrolyser components and stacks</t>
  </si>
  <si>
    <t>https://doi.org/10.1016/j.ijhydene.2016.05.069</t>
  </si>
  <si>
    <t>Resource implications of alternative strategies for achieveing zero greenhouse gas emissions from light-duty vehicles by 2060</t>
  </si>
  <si>
    <t>https://www.sciencedirect.com/science/article/pii/S0306261917316732</t>
  </si>
  <si>
    <t>Regulatory analysis, critical materials and components identification and mapping of recycling technologies: D2.2 Existing end-of-life technologies applicable to FCH products</t>
  </si>
  <si>
    <t>http://hytechcycling.eu/wp-content/uploads/d2-2-report-on-existing-recycling-technologies-applicable-to-fch-products.pdf</t>
  </si>
  <si>
    <t>Mass Production Cost Estimation for Direct H 2 PEM Fuel Cell Systems for Automotive Applications: 2018 Update</t>
  </si>
  <si>
    <t>https://www.energy.gov/eere/fuelcells/articles/mass-production-cost-estimation-direct-h2-pem-fuel-cell-systems-7</t>
  </si>
  <si>
    <t>Metal production requirements for rapid photovoltaics deployment</t>
  </si>
  <si>
    <t>https://pubs.rsc.org/en/content/articlelanding/2015/ee/c5ee00585j</t>
  </si>
  <si>
    <t>Resource constraints in a hydrogen economy based on renewable energy sources: An exploration</t>
  </si>
  <si>
    <t>https://doi.org/10.1016/j.rser.2010.07.066</t>
  </si>
  <si>
    <t>Site-Dependent Environmental Impacts of Industrial Hydrogen Production by Alkaline Water Electrolysis</t>
  </si>
  <si>
    <t>https://doi.org/10.3390/en10070860</t>
  </si>
  <si>
    <t xml:space="preserve"> The Priority and Challenge of High-Power Performance of Low-Platinum PEMFCs</t>
  </si>
  <si>
    <t>http://dx.doi.org/10.1021/acs.jpclett.6b00216</t>
  </si>
  <si>
    <t>Phosphorsaure Brennstoffzelle (PAFC). In: Brennstoffzellentechnik</t>
  </si>
  <si>
    <t>https://doi.org/10.1007/978-3-658-00085-1_6</t>
  </si>
  <si>
    <t>Evaluation of long-term silver supply shortage for c-Si PV under different technological scenarios</t>
  </si>
  <si>
    <t>Rohstoffe für Zukunftstechnologien</t>
  </si>
  <si>
    <t>https://www.isi.fraunhofer.de/content/dam/isi/dokumente/ccn/2016/Studie_Zukunftstechnologien-2016.pdf</t>
  </si>
  <si>
    <t>Critical Minerals and Energy-Impacts and Limitations of Moving to Unconvential Resources</t>
  </si>
  <si>
    <t>https://doi.org/10.3390/resources5020019</t>
  </si>
  <si>
    <t>PEM water electrolyzers: From electrocatalysis to stack development</t>
  </si>
  <si>
    <t>https://doi.org/10.1016/j.ijhydene.2009.09.015</t>
  </si>
  <si>
    <t>National Renewable Energy Laboratory (NREL)</t>
  </si>
  <si>
    <t>https://www.nrel.gov/</t>
  </si>
  <si>
    <t>Future Metal Demand from Photovoltaic Cells and Wind Turbines</t>
  </si>
  <si>
    <t>https://www.europarl.europa.eu/RegData/etudes/etudes/join/2011/471604/IPOL-JOIN_ET(2011)471604_EN.pdf</t>
  </si>
  <si>
    <t>https://doi.org/10.1016/j.energy.2012.04.057</t>
  </si>
  <si>
    <t>A Life Cycle Assessment of the PureCell™ Stationary Fuel Cel System: Providing a Guide for Environmental Improvement</t>
  </si>
  <si>
    <t>https://css.umich.edu/sites/default/files/css_doc/CSS06-08.pdf</t>
  </si>
  <si>
    <t>Platinum Group Metal Flows of Europe, Part II: Exploring the Technological and Institutional Potential for Reducing Environmental Impacts</t>
  </si>
  <si>
    <t>https://doi.org/10.1111/j.1530-9290.2008.00106.x</t>
  </si>
  <si>
    <t>May material bottlenecks hamper the global energy transition towards the 1.5 °C target?</t>
  </si>
  <si>
    <t>https://doi.org/10.1016/j.egyr.2022.11.025</t>
  </si>
  <si>
    <t>Direct Hydrogen PEMFC Manufacturing Cost Estimation for Automotive Applications</t>
  </si>
  <si>
    <t>http://www1.eere.energy.gov/hydrogenandfuelcells/pdfs/fctt_pemfc_cost_review_0908.pdf</t>
  </si>
  <si>
    <t>An electrochemical study of a PEM stack for water electrolysis</t>
  </si>
  <si>
    <t>https://doi.org/10.1016/j.ijhydene.2011.06.019</t>
  </si>
  <si>
    <t>Studie IndWEDe: Industrialisierung der Wasserelektrolyse in Deutschland: Chancen und Herausforderungen für nachhaltigen Wasserstoff für Verkehr, Strom und Wärme</t>
  </si>
  <si>
    <t>https://www.ipa.fraunhofer.de/de/Publikationen/studien/studie-indWEDe.html</t>
  </si>
  <si>
    <t>Life cycle assessment of an alkaline fuel cell CHP system</t>
  </si>
  <si>
    <t>https://doi.org/10.1016/j.ijhydene.2009.12.135</t>
  </si>
  <si>
    <t>Critical materials in PEMFC systems and a LCA analysis for the potential reduction of environmental impacts with EoL strategies</t>
  </si>
  <si>
    <t>https://doi.org/10.1002/ese3.441</t>
  </si>
  <si>
    <t>Renewable Energy and Deep Sea Mining: Supply</t>
  </si>
  <si>
    <t>https://www.savethehighseas.org/wp-content/uploads/2017/05/DSM-RE-Resource-Report_UTS_July2016.pdf</t>
  </si>
  <si>
    <t>Global material requirements for the energy transition. An exergy flow analysis of decarbonisation pathways</t>
  </si>
  <si>
    <t>https://doi.org/10.1016/j.energy.2018.06.149</t>
  </si>
  <si>
    <t>Analysis of Potential for Critical Metal Resource Constraints in the International Energy Agency’s Long-Term Low-Carbon Energy Scenarios</t>
  </si>
  <si>
    <t>https://doi.org/10.3390/min8040156</t>
  </si>
  <si>
    <t>Assessment of the Demand for Critical Raw Materials for the Implementation of Fuel Cells for Stationary and Mobile Applications</t>
  </si>
  <si>
    <t>https://link.springer.com/content/pdf/10.1007/978-3-662-57886-5_14.pdf</t>
  </si>
  <si>
    <t>Hydrogen Supply Chains for Mobility - Environmental and Economic Assessment</t>
  </si>
  <si>
    <t>https://doi.org/10.3390/su10061699</t>
  </si>
  <si>
    <t>KRESSE - Kritische mineralische Ressourcen und Stoffströme bei der Transformation des deutschen Energieversorgungssystems</t>
  </si>
  <si>
    <t>https://epub.wupperinst.org/frontdoor/deliver/index/docId/5419/file/5419_KRESSE.pdf</t>
  </si>
  <si>
    <t>A novel catalyst layer with hydrophilic–hydrophobic meshwork and pore structurefor solid polymer electrolyte water electrolysis</t>
  </si>
  <si>
    <t>https://doi.org/10.1016/j.elecom.2011.02.014</t>
  </si>
  <si>
    <t xml:space="preserve"> The effects of ionomer content on PEM water electrolyser membrane electrode assembly performance</t>
  </si>
  <si>
    <t>https://doi.org/10.1016/j.ijhydene.2010.08.055</t>
  </si>
  <si>
    <t>Gearbox</t>
  </si>
  <si>
    <t>Direct Drive Permanent Magnet (DDPM)</t>
  </si>
  <si>
    <t>Crystalline Silicon  (c-Si)</t>
  </si>
  <si>
    <t>Amorphous Silicon (a-Si)</t>
  </si>
  <si>
    <t>Copper-Indium-Gallium-Selenide (CIGS)</t>
  </si>
  <si>
    <t>Cadmium-Telluride (CdTe)</t>
  </si>
  <si>
    <t>Parabolic Trough (PT)</t>
  </si>
  <si>
    <t>Solar Tower (ST)</t>
  </si>
  <si>
    <t>Proton-Exchange-Membrane / Polymer-Electrolyt-Membrane Fuel Cell (PEM)</t>
  </si>
  <si>
    <t>Solide-Oxide Fuel Cell based on Yttrium (SOFC)</t>
  </si>
  <si>
    <t>Phosphoric-Acid Fuel Cell (PAFC)</t>
  </si>
  <si>
    <t>Alkaline Electrolysis (AEL)</t>
  </si>
  <si>
    <t>Proton-Exchange-Membrane / Polymer-Electrolyt-Membrane Electrolysis (PEMEL)</t>
  </si>
  <si>
    <t>High-Temperature Electrolysis / Solide-Oxide Electrolysis (HTEL)</t>
  </si>
  <si>
    <t>Nuclear</t>
  </si>
  <si>
    <t>Bareiss_2019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</si>
</sst>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11" borderId="0" applyNumberFormat="0" applyBorder="0" applyAlignment="0" applyProtection="0"/>
  </cellStyleXfs>
  <cellXfs count="132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0" xfId="1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textRotation="90"/>
    </xf>
    <xf numFmtId="0" fontId="1" fillId="0" borderId="0" xfId="0" applyFont="1" applyFill="1" applyBorder="1" applyAlignment="1">
      <alignment horizontal="center"/>
    </xf>
    <xf numFmtId="2" fontId="0" fillId="0" borderId="0" xfId="0" applyNumberFormat="1" applyBorder="1"/>
    <xf numFmtId="2" fontId="0" fillId="0" borderId="3" xfId="0" applyNumberFormat="1" applyBorder="1"/>
    <xf numFmtId="0" fontId="1" fillId="10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 textRotation="90"/>
    </xf>
    <xf numFmtId="0" fontId="4" fillId="0" borderId="6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6" xfId="0" applyFill="1" applyBorder="1"/>
    <xf numFmtId="0" fontId="0" fillId="0" borderId="5" xfId="0" applyFill="1" applyBorder="1"/>
    <xf numFmtId="0" fontId="1" fillId="10" borderId="3" xfId="0" applyFont="1" applyFill="1" applyBorder="1" applyAlignment="1">
      <alignment horizontal="center" textRotation="90"/>
    </xf>
    <xf numFmtId="0" fontId="1" fillId="10" borderId="1" xfId="0" applyFont="1" applyFill="1" applyBorder="1" applyAlignment="1">
      <alignment horizontal="center" textRotation="90"/>
    </xf>
    <xf numFmtId="1" fontId="0" fillId="0" borderId="3" xfId="0" applyNumberFormat="1" applyBorder="1"/>
    <xf numFmtId="0" fontId="1" fillId="10" borderId="4" xfId="0" applyFont="1" applyFill="1" applyBorder="1" applyAlignment="1">
      <alignment horizontal="center" textRotation="90"/>
    </xf>
    <xf numFmtId="2" fontId="0" fillId="0" borderId="4" xfId="0" applyNumberFormat="1" applyBorder="1"/>
    <xf numFmtId="11" fontId="0" fillId="0" borderId="0" xfId="0" applyNumberFormat="1"/>
    <xf numFmtId="0" fontId="1" fillId="4" borderId="4" xfId="0" applyFont="1" applyFill="1" applyBorder="1" applyAlignment="1">
      <alignment horizontal="center" textRotation="90"/>
    </xf>
    <xf numFmtId="0" fontId="1" fillId="0" borderId="8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 textRotation="90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1" fillId="0" borderId="0" xfId="0" applyNumberFormat="1" applyFont="1" applyFill="1" applyBorder="1" applyAlignment="1">
      <alignment horizontal="center"/>
    </xf>
    <xf numFmtId="0" fontId="1" fillId="0" borderId="0" xfId="0" applyFont="1"/>
    <xf numFmtId="0" fontId="1" fillId="10" borderId="4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Alignment="1"/>
    <xf numFmtId="0" fontId="1" fillId="10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49" fontId="1" fillId="5" borderId="4" xfId="0" applyNumberFormat="1" applyFont="1" applyFill="1" applyBorder="1" applyAlignment="1"/>
    <xf numFmtId="0" fontId="1" fillId="10" borderId="7" xfId="0" applyFont="1" applyFill="1" applyBorder="1" applyAlignment="1"/>
    <xf numFmtId="0" fontId="1" fillId="10" borderId="3" xfId="0" applyFont="1" applyFill="1" applyBorder="1" applyAlignment="1"/>
    <xf numFmtId="0" fontId="1" fillId="10" borderId="4" xfId="0" applyFont="1" applyFill="1" applyBorder="1" applyAlignment="1"/>
    <xf numFmtId="49" fontId="1" fillId="4" borderId="4" xfId="0" applyNumberFormat="1" applyFont="1" applyFill="1" applyBorder="1" applyAlignment="1"/>
    <xf numFmtId="0" fontId="0" fillId="0" borderId="0" xfId="0" applyAlignment="1"/>
    <xf numFmtId="49" fontId="1" fillId="4" borderId="5" xfId="0" applyNumberFormat="1" applyFont="1" applyFill="1" applyBorder="1" applyAlignment="1"/>
    <xf numFmtId="0" fontId="1" fillId="4" borderId="5" xfId="0" applyFont="1" applyFill="1" applyBorder="1" applyAlignment="1">
      <alignment horizontal="center" textRotation="90"/>
    </xf>
    <xf numFmtId="0" fontId="1" fillId="0" borderId="6" xfId="0" applyFont="1" applyFill="1" applyBorder="1" applyAlignment="1">
      <alignment horizontal="center"/>
    </xf>
    <xf numFmtId="11" fontId="0" fillId="0" borderId="6" xfId="0" applyNumberFormat="1" applyBorder="1"/>
    <xf numFmtId="2" fontId="0" fillId="0" borderId="5" xfId="0" applyNumberFormat="1" applyBorder="1"/>
    <xf numFmtId="49" fontId="1" fillId="5" borderId="5" xfId="0" applyNumberFormat="1" applyFont="1" applyFill="1" applyBorder="1" applyAlignment="1"/>
    <xf numFmtId="0" fontId="1" fillId="5" borderId="5" xfId="0" applyFont="1" applyFill="1" applyBorder="1" applyAlignment="1">
      <alignment horizontal="center" textRotation="90"/>
    </xf>
    <xf numFmtId="11" fontId="0" fillId="0" borderId="6" xfId="0" applyNumberFormat="1" applyFill="1" applyBorder="1"/>
    <xf numFmtId="0" fontId="0" fillId="0" borderId="6" xfId="0" applyFont="1" applyFill="1" applyBorder="1" applyAlignment="1">
      <alignment horizontal="center"/>
    </xf>
    <xf numFmtId="11" fontId="1" fillId="0" borderId="6" xfId="0" applyNumberFormat="1" applyFont="1" applyFill="1" applyBorder="1" applyAlignment="1">
      <alignment horizontal="center"/>
    </xf>
    <xf numFmtId="11" fontId="0" fillId="0" borderId="6" xfId="0" applyNumberFormat="1" applyFont="1" applyFill="1" applyBorder="1" applyAlignment="1">
      <alignment horizontal="center"/>
    </xf>
    <xf numFmtId="11" fontId="0" fillId="0" borderId="5" xfId="0" applyNumberFormat="1" applyBorder="1"/>
    <xf numFmtId="49" fontId="1" fillId="4" borderId="5" xfId="0" applyNumberFormat="1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164" fontId="0" fillId="0" borderId="6" xfId="0" applyNumberFormat="1" applyFont="1" applyFill="1" applyBorder="1" applyAlignment="1">
      <alignment horizontal="center"/>
    </xf>
    <xf numFmtId="164" fontId="0" fillId="0" borderId="6" xfId="0" applyNumberFormat="1" applyBorder="1"/>
    <xf numFmtId="164" fontId="0" fillId="0" borderId="6" xfId="0" applyNumberFormat="1" applyFill="1" applyBorder="1"/>
    <xf numFmtId="0" fontId="1" fillId="0" borderId="3" xfId="0" applyFont="1" applyBorder="1" applyAlignment="1">
      <alignment horizontal="left" vertical="center"/>
    </xf>
    <xf numFmtId="0" fontId="3" fillId="0" borderId="3" xfId="1" applyFont="1" applyFill="1" applyBorder="1" applyAlignment="1">
      <alignment horizontal="left" vertical="center"/>
    </xf>
    <xf numFmtId="0" fontId="1" fillId="8" borderId="0" xfId="0" applyFont="1" applyFill="1" applyAlignment="1">
      <alignment horizontal="center"/>
    </xf>
    <xf numFmtId="2" fontId="0" fillId="0" borderId="0" xfId="0" applyNumberFormat="1" applyBorder="1" applyAlignment="1">
      <alignment vertical="center"/>
    </xf>
    <xf numFmtId="0" fontId="0" fillId="0" borderId="6" xfId="0" applyFill="1" applyBorder="1" applyAlignment="1">
      <alignment vertical="center"/>
    </xf>
    <xf numFmtId="11" fontId="1" fillId="0" borderId="0" xfId="0" applyNumberFormat="1" applyFont="1" applyFill="1" applyBorder="1" applyAlignment="1">
      <alignment horizontal="center" vertical="center"/>
    </xf>
    <xf numFmtId="11" fontId="1" fillId="0" borderId="8" xfId="0" applyNumberFormat="1" applyFont="1" applyFill="1" applyBorder="1" applyAlignment="1">
      <alignment horizontal="center"/>
    </xf>
    <xf numFmtId="11" fontId="0" fillId="0" borderId="8" xfId="0" applyNumberFormat="1" applyBorder="1"/>
    <xf numFmtId="11" fontId="1" fillId="0" borderId="8" xfId="0" applyNumberFormat="1" applyFont="1" applyBorder="1"/>
    <xf numFmtId="11" fontId="1" fillId="0" borderId="6" xfId="0" applyNumberFormat="1" applyFont="1" applyFill="1" applyBorder="1"/>
    <xf numFmtId="11" fontId="1" fillId="0" borderId="6" xfId="0" applyNumberFormat="1" applyFont="1" applyBorder="1"/>
    <xf numFmtId="1" fontId="0" fillId="0" borderId="4" xfId="0" applyNumberFormat="1" applyBorder="1"/>
    <xf numFmtId="0" fontId="1" fillId="10" borderId="7" xfId="0" applyFont="1" applyFill="1" applyBorder="1" applyAlignment="1">
      <alignment horizontal="center" textRotation="90"/>
    </xf>
    <xf numFmtId="0" fontId="1" fillId="0" borderId="9" xfId="0" applyFont="1" applyFill="1" applyBorder="1" applyAlignment="1">
      <alignment horizontal="center"/>
    </xf>
    <xf numFmtId="11" fontId="1" fillId="0" borderId="9" xfId="0" applyNumberFormat="1" applyFont="1" applyFill="1" applyBorder="1" applyAlignment="1">
      <alignment horizontal="center"/>
    </xf>
    <xf numFmtId="11" fontId="1" fillId="0" borderId="9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2" fontId="0" fillId="0" borderId="7" xfId="0" applyNumberFormat="1" applyBorder="1"/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11" fontId="0" fillId="0" borderId="8" xfId="0" applyNumberFormat="1" applyFill="1" applyBorder="1"/>
    <xf numFmtId="0" fontId="0" fillId="0" borderId="8" xfId="0" applyBorder="1"/>
    <xf numFmtId="11" fontId="0" fillId="0" borderId="6" xfId="0" applyNumberFormat="1" applyFont="1" applyBorder="1"/>
    <xf numFmtId="11" fontId="0" fillId="0" borderId="6" xfId="0" applyNumberFormat="1" applyFont="1" applyFill="1" applyBorder="1"/>
    <xf numFmtId="11" fontId="0" fillId="0" borderId="8" xfId="0" applyNumberFormat="1" applyFont="1" applyFill="1" applyBorder="1"/>
    <xf numFmtId="11" fontId="0" fillId="0" borderId="8" xfId="0" applyNumberFormat="1" applyFont="1" applyFill="1" applyBorder="1" applyAlignment="1">
      <alignment horizontal="center"/>
    </xf>
    <xf numFmtId="11" fontId="0" fillId="0" borderId="6" xfId="0" applyNumberFormat="1" applyFont="1" applyFill="1" applyBorder="1" applyAlignment="1">
      <alignment horizontal="right"/>
    </xf>
    <xf numFmtId="2" fontId="1" fillId="0" borderId="6" xfId="0" applyNumberFormat="1" applyFont="1" applyFill="1" applyBorder="1"/>
    <xf numFmtId="11" fontId="0" fillId="0" borderId="8" xfId="0" applyNumberFormat="1" applyFont="1" applyBorder="1"/>
    <xf numFmtId="2" fontId="0" fillId="0" borderId="6" xfId="0" applyNumberFormat="1" applyBorder="1"/>
    <xf numFmtId="0" fontId="0" fillId="0" borderId="4" xfId="0" applyBorder="1"/>
    <xf numFmtId="11" fontId="0" fillId="0" borderId="5" xfId="0" applyNumberFormat="1" applyFont="1" applyBorder="1"/>
    <xf numFmtId="11" fontId="0" fillId="0" borderId="4" xfId="0" applyNumberFormat="1" applyFont="1" applyBorder="1"/>
    <xf numFmtId="2" fontId="1" fillId="0" borderId="9" xfId="0" applyNumberFormat="1" applyFont="1" applyFill="1" applyBorder="1" applyAlignment="1">
      <alignment horizontal="center"/>
    </xf>
    <xf numFmtId="0" fontId="0" fillId="0" borderId="0" xfId="0" applyFont="1" applyAlignment="1">
      <alignment vertic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/>
    </xf>
    <xf numFmtId="2" fontId="1" fillId="0" borderId="9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1" applyAlignment="1"/>
    <xf numFmtId="0" fontId="2" fillId="0" borderId="0" xfId="1"/>
    <xf numFmtId="0" fontId="0" fillId="0" borderId="0" xfId="0" applyFill="1"/>
    <xf numFmtId="0" fontId="1" fillId="12" borderId="0" xfId="0" applyFont="1" applyFill="1"/>
    <xf numFmtId="0" fontId="0" fillId="13" borderId="0" xfId="0" applyFill="1"/>
    <xf numFmtId="0" fontId="0" fillId="13" borderId="0" xfId="2" applyFont="1" applyFill="1" applyAlignment="1"/>
    <xf numFmtId="0" fontId="3" fillId="13" borderId="0" xfId="0" applyFont="1" applyFill="1"/>
    <xf numFmtId="0" fontId="0" fillId="13" borderId="0" xfId="0" applyFill="1" applyBorder="1" applyAlignment="1">
      <alignment horizontal="left"/>
    </xf>
    <xf numFmtId="0" fontId="1" fillId="12" borderId="0" xfId="0" applyFont="1" applyFill="1" applyBorder="1"/>
    <xf numFmtId="0" fontId="1" fillId="14" borderId="1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1" fillId="10" borderId="7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</cellXfs>
  <cellStyles count="3">
    <cellStyle name="40% - Accent1" xfId="2" builtinId="3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C56" totalsRowShown="0">
  <autoFilter ref="A1:C56" xr:uid="{00000000-0009-0000-0100-000001000000}"/>
  <tableColumns count="3">
    <tableColumn id="1" xr3:uid="{00000000-0010-0000-0000-000001000000}" name="DLR"/>
    <tableColumn id="2" xr3:uid="{00000000-0010-0000-0000-000002000000}" name="European Union"/>
    <tableColumn id="3" xr3:uid="{00000000-0010-0000-0000-000003000000}" name="WorldBan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ciencedirect.com/science/article/pii/S0306261918307578" TargetMode="External"/><Relationship Id="rId21" Type="http://schemas.openxmlformats.org/officeDocument/2006/relationships/hyperlink" Target="https://publications.jrc.ec.europa.eu/repository/handle/JRC65592" TargetMode="External"/><Relationship Id="rId42" Type="http://schemas.openxmlformats.org/officeDocument/2006/relationships/hyperlink" Target="https://doi.org/10.1016/j.ijhydene.2016.05.069" TargetMode="External"/><Relationship Id="rId47" Type="http://schemas.openxmlformats.org/officeDocument/2006/relationships/hyperlink" Target="https://doi.org/10.1016/j.rser.2010.07.066" TargetMode="External"/><Relationship Id="rId63" Type="http://schemas.openxmlformats.org/officeDocument/2006/relationships/hyperlink" Target="https://doi.org/10.1002/ese3.441" TargetMode="External"/><Relationship Id="rId68" Type="http://schemas.openxmlformats.org/officeDocument/2006/relationships/hyperlink" Target="https://doi.org/10.3390/su10061699" TargetMode="External"/><Relationship Id="rId7" Type="http://schemas.openxmlformats.org/officeDocument/2006/relationships/hyperlink" Target="https://link.springer.com/article/10.1007/s11367-015-0973-9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www.jstor.org/stable/pdf/26268481.pdf?refreqid=excelsior%3Ab7df8b30df16f78642f06f7ac4de04fb&amp;ab_segments=&amp;origin=&amp;initiator=&amp;acceptTC=1" TargetMode="External"/><Relationship Id="rId16" Type="http://schemas.openxmlformats.org/officeDocument/2006/relationships/hyperlink" Target="https://doi.org/10.1016/j.resconrec.2017.10.040" TargetMode="External"/><Relationship Id="rId29" Type="http://schemas.openxmlformats.org/officeDocument/2006/relationships/hyperlink" Target="https://documents.worldbank.org/pt/publication/documents-reports/documentdetail/207371500386458722/the-growing-role-of-minerals-and-metals-for-a-low-carbon-future" TargetMode="External"/><Relationship Id="rId11" Type="http://schemas.openxmlformats.org/officeDocument/2006/relationships/hyperlink" Target="https://www.sciencedirect.com/science/article/abs/pii/S0360544212008055" TargetMode="External"/><Relationship Id="rId24" Type="http://schemas.openxmlformats.org/officeDocument/2006/relationships/hyperlink" Target="https://earthworks.org/wp-content/uploads/2019/04/Responsible-minerals-sourcing-for-renewable-energy-MCEC_UTS_Earthworks-Report.pdf" TargetMode="External"/><Relationship Id="rId32" Type="http://schemas.openxmlformats.org/officeDocument/2006/relationships/hyperlink" Target="https://www.sciencedirect.com/science/article/pii/S0921800914003681?via%3Dihub" TargetMode="External"/><Relationship Id="rId37" Type="http://schemas.openxmlformats.org/officeDocument/2006/relationships/hyperlink" Target="https://refman.energytransitionmodel.com/publications/2020" TargetMode="External"/><Relationship Id="rId40" Type="http://schemas.openxmlformats.org/officeDocument/2006/relationships/hyperlink" Target="https://doi.org/10.1016/j.ijhydene.2015.01.093" TargetMode="External"/><Relationship Id="rId45" Type="http://schemas.openxmlformats.org/officeDocument/2006/relationships/hyperlink" Target="https://www.energy.gov/eere/fuelcells/articles/mass-production-cost-estimation-direct-h2-pem-fuel-cell-systems-7" TargetMode="External"/><Relationship Id="rId53" Type="http://schemas.openxmlformats.org/officeDocument/2006/relationships/hyperlink" Target="https://www.europarl.europa.eu/RegData/etudes/etudes/join/2011/471604/IPOL-JOIN_ET(2011)471604_EN.pdf" TargetMode="External"/><Relationship Id="rId58" Type="http://schemas.openxmlformats.org/officeDocument/2006/relationships/hyperlink" Target="http://www1.eere.energy.gov/hydrogenandfuelcells/pdfs/fctt_pemfc_cost_review_0908.pdf" TargetMode="External"/><Relationship Id="rId66" Type="http://schemas.openxmlformats.org/officeDocument/2006/relationships/hyperlink" Target="https://doi.org/10.3390/min8040156" TargetMode="External"/><Relationship Id="rId5" Type="http://schemas.openxmlformats.org/officeDocument/2006/relationships/hyperlink" Target="https://www.energy.gov/sites/prod/files/piprod/documents/cms_dec_17_full_web.pdf" TargetMode="External"/><Relationship Id="rId61" Type="http://schemas.openxmlformats.org/officeDocument/2006/relationships/hyperlink" Target="https://doi.org/10.1016/j.ijhydene.2009.12.135" TargetMode="External"/><Relationship Id="rId19" Type="http://schemas.openxmlformats.org/officeDocument/2006/relationships/hyperlink" Target="https://www.sciencedirect.com/science/article/pii/S1364032115003408" TargetMode="External"/><Relationship Id="rId14" Type="http://schemas.openxmlformats.org/officeDocument/2006/relationships/hyperlink" Target="https://pubs.acs.org/doi/10.1021/acs.est.6b05743" TargetMode="External"/><Relationship Id="rId22" Type="http://schemas.openxmlformats.org/officeDocument/2006/relationships/hyperlink" Target="https://www.sciencedirect.com/science/article/pii/S0959652614003837" TargetMode="External"/><Relationship Id="rId27" Type="http://schemas.openxmlformats.org/officeDocument/2006/relationships/hyperlink" Target="https://www.umweltbundesamt.de/sites/default/files/medien/1410/publikationen/2017-08-21_texte_68-2017_restra_0.pdf" TargetMode="External"/><Relationship Id="rId30" Type="http://schemas.openxmlformats.org/officeDocument/2006/relationships/hyperlink" Target="https://www.sciencedirect.com/science/article/pii/S0360544219310382" TargetMode="External"/><Relationship Id="rId35" Type="http://schemas.openxmlformats.org/officeDocument/2006/relationships/hyperlink" Target="https://doi.org/10.1016/j.apenergy.2019.01.001" TargetMode="External"/><Relationship Id="rId43" Type="http://schemas.openxmlformats.org/officeDocument/2006/relationships/hyperlink" Target="https://www.sciencedirect.com/science/article/pii/S0306261917316732" TargetMode="External"/><Relationship Id="rId48" Type="http://schemas.openxmlformats.org/officeDocument/2006/relationships/hyperlink" Target="https://doi.org/10.3390/en10070860" TargetMode="External"/><Relationship Id="rId56" Type="http://schemas.openxmlformats.org/officeDocument/2006/relationships/hyperlink" Target="https://doi.org/10.1111/j.1530-9290.2008.00106.x" TargetMode="External"/><Relationship Id="rId64" Type="http://schemas.openxmlformats.org/officeDocument/2006/relationships/hyperlink" Target="https://www.savethehighseas.org/wp-content/uploads/2017/05/DSM-RE-Resource-Report_UTS_July2016.pdf" TargetMode="External"/><Relationship Id="rId69" Type="http://schemas.openxmlformats.org/officeDocument/2006/relationships/hyperlink" Target="https://epub.wupperinst.org/frontdoor/deliver/index/docId/5419/file/5419_KRESSE.pdf" TargetMode="External"/><Relationship Id="rId8" Type="http://schemas.openxmlformats.org/officeDocument/2006/relationships/hyperlink" Target="https://link.springer.com/article/10.1007/s11367-017-1308-9" TargetMode="External"/><Relationship Id="rId51" Type="http://schemas.openxmlformats.org/officeDocument/2006/relationships/hyperlink" Target="https://doi.org/10.3390/resources5020019" TargetMode="External"/><Relationship Id="rId3" Type="http://schemas.openxmlformats.org/officeDocument/2006/relationships/hyperlink" Target="https://pubs.acs.org/doi/pdf/10.1021/es505415d" TargetMode="External"/><Relationship Id="rId12" Type="http://schemas.openxmlformats.org/officeDocument/2006/relationships/hyperlink" Target="https://pubs.acs.org/doi/10.1021/es305007w" TargetMode="External"/><Relationship Id="rId17" Type="http://schemas.openxmlformats.org/officeDocument/2006/relationships/hyperlink" Target="https://www.vestas.com/content/dam/vestas-com/global/en/sustainability/reports-and-ratings/lcas/V1363%2045MW_Mk3a_ISO_LCA_Final_31072017.pdf.coredownload.inline.pdf" TargetMode="External"/><Relationship Id="rId25" Type="http://schemas.openxmlformats.org/officeDocument/2006/relationships/hyperlink" Target="https://www.sciencedirect.com/science/article/pii/S0306261916311497" TargetMode="External"/><Relationship Id="rId33" Type="http://schemas.openxmlformats.org/officeDocument/2006/relationships/hyperlink" Target="https://doi.org/10.1007/s40243-019-0146-z" TargetMode="External"/><Relationship Id="rId38" Type="http://schemas.openxmlformats.org/officeDocument/2006/relationships/hyperlink" Target="https://www.energy.gov/eere/fuelcells/articles/manufacturing-cost-analysis-10-kw-and-25-kw-direct-hydrogen-polymer" TargetMode="External"/><Relationship Id="rId46" Type="http://schemas.openxmlformats.org/officeDocument/2006/relationships/hyperlink" Target="https://pubs.rsc.org/en/content/articlelanding/2015/ee/c5ee00585j" TargetMode="External"/><Relationship Id="rId59" Type="http://schemas.openxmlformats.org/officeDocument/2006/relationships/hyperlink" Target="https://doi.org/10.1016/j.ijhydene.2011.06.019" TargetMode="External"/><Relationship Id="rId67" Type="http://schemas.openxmlformats.org/officeDocument/2006/relationships/hyperlink" Target="https://link.springer.com/content/pdf/10.1007/978-3-662-57886-5_14.pdf" TargetMode="External"/><Relationship Id="rId20" Type="http://schemas.openxmlformats.org/officeDocument/2006/relationships/hyperlink" Target="https://pubs.usgs.gov/sir/2011/5036/sir2011-5036.pdf" TargetMode="External"/><Relationship Id="rId41" Type="http://schemas.openxmlformats.org/officeDocument/2006/relationships/hyperlink" Target="https://doi.org/10.1016/j.ijhydene.2010.07.013" TargetMode="External"/><Relationship Id="rId54" Type="http://schemas.openxmlformats.org/officeDocument/2006/relationships/hyperlink" Target="https://doi.org/10.1016/j.energy.2012.04.057" TargetMode="External"/><Relationship Id="rId62" Type="http://schemas.openxmlformats.org/officeDocument/2006/relationships/hyperlink" Target="https://doi.org/10.1016/j.ijhydene.2009.12.135" TargetMode="External"/><Relationship Id="rId70" Type="http://schemas.openxmlformats.org/officeDocument/2006/relationships/hyperlink" Target="https://doi.org/10.1016/j.elecom.2011.02.014" TargetMode="External"/><Relationship Id="rId1" Type="http://schemas.openxmlformats.org/officeDocument/2006/relationships/hyperlink" Target="https://publications.lib.chalmers.se/records/fulltext/162842.pdf" TargetMode="External"/><Relationship Id="rId6" Type="http://schemas.openxmlformats.org/officeDocument/2006/relationships/hyperlink" Target="https://www.mdpi.com/2313-4321/1/1/25" TargetMode="External"/><Relationship Id="rId15" Type="http://schemas.openxmlformats.org/officeDocument/2006/relationships/hyperlink" Target="https://doi.org/10.1111/jiec.12458" TargetMode="External"/><Relationship Id="rId23" Type="http://schemas.openxmlformats.org/officeDocument/2006/relationships/hyperlink" Target="https://www.sciencedirect.com/science/article/pii/S0301421517307383" TargetMode="External"/><Relationship Id="rId28" Type="http://schemas.openxmlformats.org/officeDocument/2006/relationships/hyperlink" Target="https://op.europa.eu/en/publication-detail/-/publication/0bdbe7fc-b214-11e6-871e-01aa75ed71a1/language-en" TargetMode="External"/><Relationship Id="rId36" Type="http://schemas.openxmlformats.org/officeDocument/2006/relationships/hyperlink" Target="https://doi.org/10.1016/C2010-0-66554-0" TargetMode="External"/><Relationship Id="rId49" Type="http://schemas.openxmlformats.org/officeDocument/2006/relationships/hyperlink" Target="http://dx.doi.org/10.1021/acs.jpclett.6b00216" TargetMode="External"/><Relationship Id="rId57" Type="http://schemas.openxmlformats.org/officeDocument/2006/relationships/hyperlink" Target="https://doi.org/10.1016/j.egyr.2022.11.025" TargetMode="External"/><Relationship Id="rId10" Type="http://schemas.openxmlformats.org/officeDocument/2006/relationships/hyperlink" Target="https://www.oeko.de/publikationen/p-details/ressourceneffizienz-und-ressourcenpolitische-aspekte-des-systems-elektromobilitaet-arbeitspaket-7-d" TargetMode="External"/><Relationship Id="rId31" Type="http://schemas.openxmlformats.org/officeDocument/2006/relationships/hyperlink" Target="https://op.europa.eu/en/publication-detail/-/publication/19aae047-7f88-11ea-aea8-01aa75ed71a1/language-en" TargetMode="External"/><Relationship Id="rId44" Type="http://schemas.openxmlformats.org/officeDocument/2006/relationships/hyperlink" Target="http://hytechcycling.eu/wp-content/uploads/d2-2-report-on-existing-recycling-technologies-applicable-to-fch-products.pdf" TargetMode="External"/><Relationship Id="rId52" Type="http://schemas.openxmlformats.org/officeDocument/2006/relationships/hyperlink" Target="https://doi.org/10.1016/j.ijhydene.2009.09.015" TargetMode="External"/><Relationship Id="rId60" Type="http://schemas.openxmlformats.org/officeDocument/2006/relationships/hyperlink" Target="https://www.ipa.fraunhofer.de/de/Publikationen/studien/studie-indWEDe.html" TargetMode="External"/><Relationship Id="rId65" Type="http://schemas.openxmlformats.org/officeDocument/2006/relationships/hyperlink" Target="https://doi.org/10.1016/j.energy.2018.06.149" TargetMode="External"/><Relationship Id="rId4" Type="http://schemas.openxmlformats.org/officeDocument/2006/relationships/hyperlink" Target="https://www.sciencedirect.com/science/article/pii/S0301421518302726" TargetMode="External"/><Relationship Id="rId9" Type="http://schemas.openxmlformats.org/officeDocument/2006/relationships/hyperlink" Target="https://www.mdpi.com/2079-9276/7/1/9" TargetMode="External"/><Relationship Id="rId13" Type="http://schemas.openxmlformats.org/officeDocument/2006/relationships/hyperlink" Target="https://www.sciencedirect.com/science/article/abs/pii/S0960148116302816?via%3Dihub" TargetMode="External"/><Relationship Id="rId18" Type="http://schemas.openxmlformats.org/officeDocument/2006/relationships/hyperlink" Target="https://www.vestas.com/content/dam/vestas-com/global/en/sustainability/reports-and-ratings/lcas/0075-0998_V01%20-%20LCA%20of%20Electricity%20Production%20from%20an%20onshore%20V116-2.0%20MW%20Wind%20Plant_120718_v1.1.pdf.coredownload.inline.pdf" TargetMode="External"/><Relationship Id="rId39" Type="http://schemas.openxmlformats.org/officeDocument/2006/relationships/hyperlink" Target="https://link.springer.com/article/10.1557/mrs.2012.50" TargetMode="External"/><Relationship Id="rId34" Type="http://schemas.openxmlformats.org/officeDocument/2006/relationships/hyperlink" Target="https://www.isi.fraunhofer.de/content/dam/isi/dokumente/ccn/2009/Schlussbericht_lang_20090515.pdf" TargetMode="External"/><Relationship Id="rId50" Type="http://schemas.openxmlformats.org/officeDocument/2006/relationships/hyperlink" Target="https://doi.org/10.1007/978-3-658-00085-1_6" TargetMode="External"/><Relationship Id="rId55" Type="http://schemas.openxmlformats.org/officeDocument/2006/relationships/hyperlink" Target="https://css.umich.edu/sites/default/files/css_doc/CSS06-08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4" workbookViewId="0">
      <selection activeCell="A24" sqref="A24"/>
    </sheetView>
  </sheetViews>
  <sheetFormatPr defaultRowHeight="15" x14ac:dyDescent="0.25"/>
  <cols>
    <col min="1" max="1" width="12" bestFit="1" customWidth="1"/>
    <col min="2" max="2" width="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C2" t="s">
        <v>3</v>
      </c>
    </row>
    <row r="3" spans="1:3" x14ac:dyDescent="0.25">
      <c r="B3" t="s">
        <v>4</v>
      </c>
    </row>
    <row r="4" spans="1:3" x14ac:dyDescent="0.25">
      <c r="B4" t="s">
        <v>5</v>
      </c>
    </row>
    <row r="5" spans="1:3" x14ac:dyDescent="0.25">
      <c r="B5" t="s">
        <v>6</v>
      </c>
    </row>
    <row r="6" spans="1:3" x14ac:dyDescent="0.25">
      <c r="B6" t="s">
        <v>7</v>
      </c>
    </row>
    <row r="7" spans="1:3" x14ac:dyDescent="0.25">
      <c r="B7" t="s">
        <v>8</v>
      </c>
    </row>
    <row r="8" spans="1:3" x14ac:dyDescent="0.25">
      <c r="B8" t="s">
        <v>9</v>
      </c>
    </row>
    <row r="9" spans="1:3" x14ac:dyDescent="0.25">
      <c r="A9" t="s">
        <v>10</v>
      </c>
    </row>
    <row r="10" spans="1:3" x14ac:dyDescent="0.25">
      <c r="A10" t="s">
        <v>11</v>
      </c>
    </row>
    <row r="11" spans="1:3" x14ac:dyDescent="0.25">
      <c r="C11" t="s">
        <v>12</v>
      </c>
    </row>
    <row r="12" spans="1:3" x14ac:dyDescent="0.25">
      <c r="A12" t="s">
        <v>13</v>
      </c>
      <c r="B12" t="s">
        <v>13</v>
      </c>
      <c r="C12" t="s">
        <v>13</v>
      </c>
    </row>
    <row r="13" spans="1:3" x14ac:dyDescent="0.25">
      <c r="B13" t="s">
        <v>14</v>
      </c>
    </row>
    <row r="14" spans="1:3" x14ac:dyDescent="0.25">
      <c r="C14" t="s">
        <v>15</v>
      </c>
    </row>
    <row r="15" spans="1:3" x14ac:dyDescent="0.25">
      <c r="A15" t="s">
        <v>16</v>
      </c>
    </row>
    <row r="16" spans="1:3" x14ac:dyDescent="0.25">
      <c r="B16" t="s">
        <v>17</v>
      </c>
    </row>
    <row r="17" spans="1:3" x14ac:dyDescent="0.25">
      <c r="A17" t="s">
        <v>18</v>
      </c>
    </row>
    <row r="18" spans="1:3" x14ac:dyDescent="0.25">
      <c r="A18" t="s">
        <v>19</v>
      </c>
      <c r="B18" t="s">
        <v>20</v>
      </c>
    </row>
    <row r="19" spans="1:3" x14ac:dyDescent="0.25">
      <c r="A19" t="s">
        <v>21</v>
      </c>
      <c r="B19" t="s">
        <v>21</v>
      </c>
    </row>
    <row r="20" spans="1:3" x14ac:dyDescent="0.25">
      <c r="C20" t="s">
        <v>22</v>
      </c>
    </row>
    <row r="21" spans="1:3" x14ac:dyDescent="0.25">
      <c r="B21" t="s">
        <v>23</v>
      </c>
    </row>
    <row r="22" spans="1:3" x14ac:dyDescent="0.25">
      <c r="B22" t="s">
        <v>24</v>
      </c>
    </row>
    <row r="23" spans="1:3" x14ac:dyDescent="0.25">
      <c r="A23" t="s">
        <v>25</v>
      </c>
      <c r="B23" t="s">
        <v>25</v>
      </c>
      <c r="C23" t="s">
        <v>25</v>
      </c>
    </row>
    <row r="24" spans="1:3" x14ac:dyDescent="0.25">
      <c r="A24" t="s">
        <v>26</v>
      </c>
    </row>
    <row r="25" spans="1:3" x14ac:dyDescent="0.25">
      <c r="C25" t="s">
        <v>27</v>
      </c>
    </row>
    <row r="26" spans="1:3" x14ac:dyDescent="0.25">
      <c r="A26" t="s">
        <v>28</v>
      </c>
    </row>
    <row r="27" spans="1:3" x14ac:dyDescent="0.25">
      <c r="C27" t="s">
        <v>29</v>
      </c>
    </row>
    <row r="28" spans="1:3" x14ac:dyDescent="0.25">
      <c r="B28" t="s">
        <v>30</v>
      </c>
    </row>
    <row r="29" spans="1:3" x14ac:dyDescent="0.25">
      <c r="A29" t="s">
        <v>31</v>
      </c>
      <c r="B29" t="s">
        <v>31</v>
      </c>
      <c r="C29" t="s">
        <v>31</v>
      </c>
    </row>
    <row r="30" spans="1:3" x14ac:dyDescent="0.25">
      <c r="B30" t="s">
        <v>32</v>
      </c>
    </row>
    <row r="31" spans="1:3" x14ac:dyDescent="0.25">
      <c r="A31" t="s">
        <v>33</v>
      </c>
      <c r="C31" t="s">
        <v>33</v>
      </c>
    </row>
    <row r="32" spans="1:3" x14ac:dyDescent="0.25">
      <c r="C32" t="s">
        <v>34</v>
      </c>
    </row>
    <row r="33" spans="1:3" x14ac:dyDescent="0.25">
      <c r="B33" t="s">
        <v>35</v>
      </c>
    </row>
    <row r="34" spans="1:3" x14ac:dyDescent="0.25">
      <c r="B34" t="s">
        <v>36</v>
      </c>
    </row>
    <row r="35" spans="1:3" x14ac:dyDescent="0.25">
      <c r="A35" t="s">
        <v>37</v>
      </c>
      <c r="C35" t="s">
        <v>37</v>
      </c>
    </row>
    <row r="36" spans="1:3" x14ac:dyDescent="0.25">
      <c r="A36" t="s">
        <v>38</v>
      </c>
      <c r="C36" t="s">
        <v>38</v>
      </c>
    </row>
    <row r="37" spans="1:3" x14ac:dyDescent="0.25">
      <c r="B37" t="s">
        <v>39</v>
      </c>
    </row>
    <row r="38" spans="1:3" x14ac:dyDescent="0.25">
      <c r="B38" t="s">
        <v>40</v>
      </c>
    </row>
    <row r="39" spans="1:3" x14ac:dyDescent="0.25">
      <c r="B39" t="s">
        <v>41</v>
      </c>
    </row>
    <row r="40" spans="1:3" x14ac:dyDescent="0.25">
      <c r="A40" t="s">
        <v>42</v>
      </c>
    </row>
    <row r="41" spans="1:3" x14ac:dyDescent="0.25">
      <c r="B41" t="s">
        <v>43</v>
      </c>
    </row>
    <row r="42" spans="1:3" x14ac:dyDescent="0.25">
      <c r="A42" t="s">
        <v>44</v>
      </c>
    </row>
    <row r="43" spans="1:3" x14ac:dyDescent="0.25">
      <c r="A43" t="s">
        <v>45</v>
      </c>
      <c r="B43" t="s">
        <v>45</v>
      </c>
    </row>
    <row r="44" spans="1:3" x14ac:dyDescent="0.25">
      <c r="A44" t="s">
        <v>46</v>
      </c>
    </row>
    <row r="45" spans="1:3" x14ac:dyDescent="0.25">
      <c r="B45" t="s">
        <v>47</v>
      </c>
    </row>
    <row r="46" spans="1:3" x14ac:dyDescent="0.25">
      <c r="A46" t="s">
        <v>48</v>
      </c>
      <c r="C46" t="s">
        <v>48</v>
      </c>
    </row>
    <row r="47" spans="1:3" x14ac:dyDescent="0.25">
      <c r="A47" t="s">
        <v>49</v>
      </c>
      <c r="B47" t="s">
        <v>49</v>
      </c>
    </row>
    <row r="48" spans="1:3" x14ac:dyDescent="0.25">
      <c r="A48" t="s">
        <v>50</v>
      </c>
    </row>
    <row r="49" spans="1:3" x14ac:dyDescent="0.25">
      <c r="B49" t="s">
        <v>51</v>
      </c>
    </row>
    <row r="50" spans="1:3" x14ac:dyDescent="0.25">
      <c r="A50" t="s">
        <v>52</v>
      </c>
    </row>
    <row r="51" spans="1:3" x14ac:dyDescent="0.25">
      <c r="B51" t="s">
        <v>53</v>
      </c>
      <c r="C51" t="s">
        <v>53</v>
      </c>
    </row>
    <row r="52" spans="1:3" x14ac:dyDescent="0.25">
      <c r="B52" t="s">
        <v>54</v>
      </c>
    </row>
    <row r="53" spans="1:3" x14ac:dyDescent="0.25">
      <c r="A53" t="s">
        <v>55</v>
      </c>
      <c r="B53" t="s">
        <v>55</v>
      </c>
      <c r="C53" t="s">
        <v>55</v>
      </c>
    </row>
    <row r="54" spans="1:3" x14ac:dyDescent="0.25">
      <c r="A54" t="s">
        <v>56</v>
      </c>
    </row>
    <row r="55" spans="1:3" x14ac:dyDescent="0.25">
      <c r="C55" t="s">
        <v>57</v>
      </c>
    </row>
    <row r="56" spans="1:3" x14ac:dyDescent="0.25">
      <c r="A56" t="s">
        <v>58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59999389629810485"/>
  </sheetPr>
  <dimension ref="A1:T18"/>
  <sheetViews>
    <sheetView workbookViewId="0">
      <pane xSplit="1" topLeftCell="B1" activePane="topRight" state="frozen"/>
      <selection pane="topRight" activeCell="A6" sqref="A6"/>
    </sheetView>
  </sheetViews>
  <sheetFormatPr defaultRowHeight="15" x14ac:dyDescent="0.25"/>
  <cols>
    <col min="1" max="1" width="12.85546875" bestFit="1" customWidth="1"/>
    <col min="8" max="8" width="27.42578125" customWidth="1"/>
    <col min="9" max="9" width="13.28515625" bestFit="1" customWidth="1"/>
    <col min="10" max="10" width="10.7109375" bestFit="1" customWidth="1"/>
    <col min="11" max="12" width="12" bestFit="1" customWidth="1"/>
    <col min="13" max="13" width="13.42578125" bestFit="1" customWidth="1"/>
    <col min="14" max="14" width="12.28515625" bestFit="1" customWidth="1"/>
    <col min="15" max="15" width="16" bestFit="1" customWidth="1"/>
    <col min="16" max="16" width="12.28515625" bestFit="1" customWidth="1"/>
    <col min="17" max="17" width="14.5703125" bestFit="1" customWidth="1"/>
    <col min="18" max="18" width="11.7109375" bestFit="1" customWidth="1"/>
    <col min="19" max="19" width="13.5703125" bestFit="1" customWidth="1"/>
    <col min="20" max="20" width="14.7109375" bestFit="1" customWidth="1"/>
  </cols>
  <sheetData>
    <row r="1" spans="1:20" x14ac:dyDescent="0.25">
      <c r="A1" s="53" t="s">
        <v>70</v>
      </c>
      <c r="B1" s="27" t="s">
        <v>71</v>
      </c>
      <c r="C1" s="27" t="s">
        <v>72</v>
      </c>
      <c r="D1" s="129" t="s">
        <v>73</v>
      </c>
      <c r="E1" s="130"/>
      <c r="F1" s="130"/>
      <c r="G1" s="130"/>
      <c r="H1" s="131"/>
      <c r="I1" s="61" t="s">
        <v>126</v>
      </c>
      <c r="J1" s="66" t="s">
        <v>116</v>
      </c>
      <c r="K1" s="61" t="s">
        <v>133</v>
      </c>
      <c r="L1" s="66" t="s">
        <v>120</v>
      </c>
      <c r="M1" s="61" t="s">
        <v>134</v>
      </c>
      <c r="N1" s="66" t="s">
        <v>128</v>
      </c>
      <c r="O1" s="61" t="s">
        <v>100</v>
      </c>
      <c r="P1" s="66" t="s">
        <v>127</v>
      </c>
      <c r="Q1" s="59" t="s">
        <v>119</v>
      </c>
      <c r="R1" s="55" t="s">
        <v>136</v>
      </c>
      <c r="S1" s="59" t="s">
        <v>114</v>
      </c>
      <c r="T1" s="55" t="s">
        <v>137</v>
      </c>
    </row>
    <row r="2" spans="1:20" ht="40.5" x14ac:dyDescent="0.25">
      <c r="A2" s="23"/>
      <c r="B2" s="28"/>
      <c r="C2" s="28"/>
      <c r="D2" s="90" t="s">
        <v>95</v>
      </c>
      <c r="E2" s="33" t="s">
        <v>96</v>
      </c>
      <c r="F2" s="33" t="s">
        <v>97</v>
      </c>
      <c r="G2" s="34" t="s">
        <v>98</v>
      </c>
      <c r="H2" s="36" t="s">
        <v>107</v>
      </c>
      <c r="I2" s="62" t="s">
        <v>75</v>
      </c>
      <c r="J2" s="67" t="s">
        <v>75</v>
      </c>
      <c r="K2" s="62" t="s">
        <v>75</v>
      </c>
      <c r="L2" s="67" t="s">
        <v>75</v>
      </c>
      <c r="M2" s="62" t="s">
        <v>75</v>
      </c>
      <c r="N2" s="67" t="s">
        <v>75</v>
      </c>
      <c r="O2" s="62" t="s">
        <v>75</v>
      </c>
      <c r="P2" s="67" t="s">
        <v>75</v>
      </c>
      <c r="Q2" s="39" t="s">
        <v>75</v>
      </c>
      <c r="R2" s="41" t="s">
        <v>75</v>
      </c>
      <c r="S2" s="39" t="s">
        <v>75</v>
      </c>
      <c r="T2" s="41" t="s">
        <v>75</v>
      </c>
    </row>
    <row r="3" spans="1:20" x14ac:dyDescent="0.25">
      <c r="A3" s="24"/>
      <c r="B3" s="29"/>
      <c r="C3" s="30"/>
      <c r="D3" s="91"/>
      <c r="E3" s="24"/>
      <c r="F3" s="24"/>
      <c r="G3" s="24"/>
      <c r="H3" s="40"/>
      <c r="I3" s="69"/>
      <c r="J3" s="69"/>
      <c r="K3" s="69"/>
      <c r="L3" s="69"/>
      <c r="M3" s="69"/>
      <c r="N3" s="69"/>
      <c r="O3" s="69"/>
      <c r="P3" s="69"/>
      <c r="Q3" s="96"/>
      <c r="R3" s="96"/>
      <c r="S3" s="96"/>
      <c r="T3" s="96"/>
    </row>
    <row r="4" spans="1:20" x14ac:dyDescent="0.25">
      <c r="A4" t="s">
        <v>3</v>
      </c>
      <c r="B4" s="30" t="s">
        <v>111</v>
      </c>
      <c r="C4" s="31">
        <v>2020</v>
      </c>
      <c r="D4" s="92">
        <f t="shared" ref="D4:D12" si="0">AVERAGE(I4,J4,K4,L4,M4,N4,O4,P4,Q4,R4,S4,T4,U4,Y4,AC4,AG4,AK4,AO4)</f>
        <v>7.5</v>
      </c>
      <c r="E4" s="44">
        <f t="shared" ref="E4:E12" si="1">MEDIAN(I4,J4,K4,L4,M4,N4,O4,P4,Q4,R4,S4,T4,U4,Y4,AC4,AG4,AK4,AO4)</f>
        <v>7.5</v>
      </c>
      <c r="F4" s="44">
        <f t="shared" ref="F4:F12" si="2">MIN(I4,J4,K4,L4,M4,N4,O4,P4,Q4,R4,S4,T4,U4,Y4,AC4,AG4,AK4,AO4)</f>
        <v>7.5</v>
      </c>
      <c r="G4" s="44">
        <f t="shared" ref="G4:G12" si="3">MAX(I4,J4,K4,L4,M4,N4,O4,P4,Q4,R4,S4,T4,U4,Y4,AC4,AG4,AK4,AO4)</f>
        <v>7.5</v>
      </c>
      <c r="H4" s="40">
        <f t="shared" ref="H4:H12" si="4">COUNT(I4,J4,K4,L4,M4,N4,O4,P4,Q4,R4,S4,T4,U4,Y4,AC4,AG4,AK4,AO4,AS4)</f>
        <v>1</v>
      </c>
      <c r="I4" s="71"/>
      <c r="J4" s="71"/>
      <c r="K4" s="71"/>
      <c r="L4" s="71"/>
      <c r="M4" s="71"/>
      <c r="N4" s="71"/>
      <c r="O4" s="71"/>
      <c r="P4" s="71">
        <v>7.5</v>
      </c>
      <c r="Q4" s="104"/>
      <c r="R4" s="104"/>
      <c r="S4" s="104"/>
      <c r="T4" s="104"/>
    </row>
    <row r="5" spans="1:20" x14ac:dyDescent="0.25">
      <c r="A5" t="s">
        <v>10</v>
      </c>
      <c r="B5" s="30" t="s">
        <v>111</v>
      </c>
      <c r="C5" s="31">
        <v>2020</v>
      </c>
      <c r="D5" s="92">
        <f t="shared" si="0"/>
        <v>89.076666666666668</v>
      </c>
      <c r="E5" s="44">
        <f t="shared" si="1"/>
        <v>1.3</v>
      </c>
      <c r="F5" s="44">
        <f t="shared" si="2"/>
        <v>0.93</v>
      </c>
      <c r="G5" s="44">
        <f t="shared" si="3"/>
        <v>265</v>
      </c>
      <c r="H5" s="40">
        <f t="shared" si="4"/>
        <v>3</v>
      </c>
      <c r="I5" s="71"/>
      <c r="J5" s="71"/>
      <c r="K5" s="71"/>
      <c r="L5" s="71"/>
      <c r="M5" s="71">
        <v>0.93</v>
      </c>
      <c r="N5" s="71">
        <v>265</v>
      </c>
      <c r="O5" s="71"/>
      <c r="P5" s="71"/>
      <c r="Q5" s="104"/>
      <c r="R5" s="104"/>
      <c r="S5" s="104">
        <v>1.3</v>
      </c>
      <c r="T5" s="104"/>
    </row>
    <row r="6" spans="1:20" x14ac:dyDescent="0.25">
      <c r="A6" t="s">
        <v>20</v>
      </c>
      <c r="B6" s="30" t="s">
        <v>111</v>
      </c>
      <c r="C6" s="31">
        <v>2020</v>
      </c>
      <c r="D6" s="92">
        <f t="shared" si="0"/>
        <v>17.785666666666664</v>
      </c>
      <c r="E6" s="44">
        <f t="shared" si="1"/>
        <v>6.085</v>
      </c>
      <c r="F6" s="44">
        <f t="shared" si="2"/>
        <v>2.3199999999999998</v>
      </c>
      <c r="G6" s="44">
        <f t="shared" si="3"/>
        <v>124</v>
      </c>
      <c r="H6" s="40">
        <f t="shared" si="4"/>
        <v>10</v>
      </c>
      <c r="I6" s="71">
        <v>11</v>
      </c>
      <c r="J6" s="71">
        <v>2.3199999999999998</v>
      </c>
      <c r="K6" s="71">
        <v>7.5</v>
      </c>
      <c r="L6" s="71">
        <v>6</v>
      </c>
      <c r="M6" s="71">
        <v>6.17</v>
      </c>
      <c r="N6" s="71">
        <v>124</v>
      </c>
      <c r="O6" s="71">
        <v>4</v>
      </c>
      <c r="P6" s="71">
        <v>4.666666666666667</v>
      </c>
      <c r="Q6" s="104"/>
      <c r="R6" s="104">
        <v>5</v>
      </c>
      <c r="S6" s="104">
        <v>7.2</v>
      </c>
      <c r="T6" s="104"/>
    </row>
    <row r="7" spans="1:20" x14ac:dyDescent="0.25">
      <c r="A7" t="s">
        <v>25</v>
      </c>
      <c r="B7" s="30" t="s">
        <v>111</v>
      </c>
      <c r="C7" s="31">
        <v>2020</v>
      </c>
      <c r="D7" s="92">
        <f t="shared" si="0"/>
        <v>40.311388888888892</v>
      </c>
      <c r="E7" s="44">
        <f t="shared" si="1"/>
        <v>25.5</v>
      </c>
      <c r="F7" s="44">
        <f t="shared" si="2"/>
        <v>13</v>
      </c>
      <c r="G7" s="44">
        <f t="shared" si="3"/>
        <v>83.79</v>
      </c>
      <c r="H7" s="40">
        <f t="shared" si="4"/>
        <v>12</v>
      </c>
      <c r="I7" s="71">
        <v>23</v>
      </c>
      <c r="J7" s="71">
        <v>63.28</v>
      </c>
      <c r="K7" s="71">
        <v>23</v>
      </c>
      <c r="L7" s="71">
        <v>22.833333333333332</v>
      </c>
      <c r="M7" s="71">
        <v>83.79</v>
      </c>
      <c r="N7" s="71">
        <v>55</v>
      </c>
      <c r="O7" s="71">
        <v>13</v>
      </c>
      <c r="P7" s="71">
        <v>17.333333333333332</v>
      </c>
      <c r="Q7" s="104">
        <v>28</v>
      </c>
      <c r="R7" s="104">
        <v>16</v>
      </c>
      <c r="S7" s="104">
        <v>55.5</v>
      </c>
      <c r="T7" s="104">
        <v>83</v>
      </c>
    </row>
    <row r="8" spans="1:20" x14ac:dyDescent="0.25">
      <c r="A8" t="s">
        <v>34</v>
      </c>
      <c r="B8" s="30" t="s">
        <v>111</v>
      </c>
      <c r="C8" s="31">
        <v>2020</v>
      </c>
      <c r="D8" s="92">
        <f t="shared" si="0"/>
        <v>72.89</v>
      </c>
      <c r="E8" s="44">
        <f t="shared" si="1"/>
        <v>72.89</v>
      </c>
      <c r="F8" s="44">
        <f t="shared" si="2"/>
        <v>36.78</v>
      </c>
      <c r="G8" s="44">
        <f t="shared" si="3"/>
        <v>109</v>
      </c>
      <c r="H8" s="40">
        <f t="shared" si="4"/>
        <v>2</v>
      </c>
      <c r="I8" s="71"/>
      <c r="J8" s="71"/>
      <c r="K8" s="71"/>
      <c r="L8" s="71"/>
      <c r="M8" s="71">
        <v>36.78</v>
      </c>
      <c r="N8" s="71">
        <v>109</v>
      </c>
      <c r="O8" s="71"/>
      <c r="P8" s="71"/>
      <c r="Q8" s="104"/>
      <c r="R8" s="104"/>
      <c r="S8" s="104"/>
      <c r="T8" s="104"/>
    </row>
    <row r="9" spans="1:20" x14ac:dyDescent="0.25">
      <c r="A9" t="s">
        <v>46</v>
      </c>
      <c r="B9" s="30" t="s">
        <v>111</v>
      </c>
      <c r="C9" s="31">
        <v>2020</v>
      </c>
      <c r="D9" s="92">
        <f t="shared" si="0"/>
        <v>49.145757575757578</v>
      </c>
      <c r="E9" s="44">
        <f t="shared" si="1"/>
        <v>41</v>
      </c>
      <c r="F9" s="44">
        <f t="shared" si="2"/>
        <v>6</v>
      </c>
      <c r="G9" s="44">
        <f t="shared" si="3"/>
        <v>110</v>
      </c>
      <c r="H9" s="40">
        <f t="shared" si="4"/>
        <v>11</v>
      </c>
      <c r="I9" s="71">
        <v>6</v>
      </c>
      <c r="J9" s="71">
        <v>9.56</v>
      </c>
      <c r="K9" s="71">
        <v>45</v>
      </c>
      <c r="L9" s="71">
        <v>52.333333333333336</v>
      </c>
      <c r="M9" s="71">
        <v>84.41</v>
      </c>
      <c r="N9" s="71">
        <v>110</v>
      </c>
      <c r="O9" s="71">
        <v>41</v>
      </c>
      <c r="P9" s="71">
        <v>39</v>
      </c>
      <c r="Q9" s="104">
        <v>41</v>
      </c>
      <c r="R9" s="104">
        <v>73</v>
      </c>
      <c r="S9" s="104">
        <v>39.299999999999997</v>
      </c>
      <c r="T9" s="104"/>
    </row>
    <row r="10" spans="1:20" x14ac:dyDescent="0.25">
      <c r="A10" t="s">
        <v>48</v>
      </c>
      <c r="B10" s="30" t="s">
        <v>111</v>
      </c>
      <c r="C10" s="31">
        <v>2020</v>
      </c>
      <c r="D10" s="92">
        <f t="shared" si="0"/>
        <v>80</v>
      </c>
      <c r="E10" s="44">
        <f t="shared" si="1"/>
        <v>80</v>
      </c>
      <c r="F10" s="44">
        <f t="shared" si="2"/>
        <v>80</v>
      </c>
      <c r="G10" s="44">
        <f t="shared" si="3"/>
        <v>80</v>
      </c>
      <c r="H10" s="40">
        <f t="shared" si="4"/>
        <v>1</v>
      </c>
      <c r="I10" s="71"/>
      <c r="J10" s="71"/>
      <c r="K10" s="71">
        <v>80</v>
      </c>
      <c r="L10" s="71"/>
      <c r="M10" s="71"/>
      <c r="N10" s="71"/>
      <c r="O10" s="71"/>
      <c r="P10" s="71"/>
      <c r="Q10" s="104"/>
      <c r="R10" s="104"/>
      <c r="S10" s="104"/>
      <c r="T10" s="104"/>
    </row>
    <row r="11" spans="1:20" x14ac:dyDescent="0.25">
      <c r="A11" t="s">
        <v>89</v>
      </c>
      <c r="B11" s="30" t="s">
        <v>111</v>
      </c>
      <c r="C11" s="31">
        <v>2020</v>
      </c>
      <c r="D11" s="92">
        <f t="shared" si="0"/>
        <v>5.95</v>
      </c>
      <c r="E11" s="44">
        <f t="shared" si="1"/>
        <v>5.95</v>
      </c>
      <c r="F11" s="44">
        <f t="shared" si="2"/>
        <v>5.95</v>
      </c>
      <c r="G11" s="44">
        <f t="shared" si="3"/>
        <v>5.95</v>
      </c>
      <c r="H11" s="40">
        <f t="shared" si="4"/>
        <v>2</v>
      </c>
      <c r="I11" s="71"/>
      <c r="J11" s="71">
        <v>5.95</v>
      </c>
      <c r="K11" s="71"/>
      <c r="L11" s="71"/>
      <c r="M11" s="71">
        <v>5.95</v>
      </c>
      <c r="N11" s="71"/>
      <c r="O11" s="71"/>
      <c r="P11" s="71"/>
      <c r="Q11" s="104"/>
      <c r="R11" s="104"/>
      <c r="S11" s="104"/>
      <c r="T11" s="104"/>
    </row>
    <row r="12" spans="1:20" x14ac:dyDescent="0.25">
      <c r="A12" t="s">
        <v>57</v>
      </c>
      <c r="B12" s="30" t="s">
        <v>111</v>
      </c>
      <c r="C12" s="31">
        <v>2020</v>
      </c>
      <c r="D12" s="92">
        <f t="shared" si="0"/>
        <v>75.495000000000005</v>
      </c>
      <c r="E12" s="44">
        <f t="shared" si="1"/>
        <v>75.495000000000005</v>
      </c>
      <c r="F12" s="44">
        <f t="shared" si="2"/>
        <v>29.99</v>
      </c>
      <c r="G12" s="44">
        <f t="shared" si="3"/>
        <v>121</v>
      </c>
      <c r="H12" s="40">
        <f t="shared" si="4"/>
        <v>2</v>
      </c>
      <c r="I12" s="101"/>
      <c r="J12" s="102"/>
      <c r="K12" s="102"/>
      <c r="L12" s="102"/>
      <c r="M12" s="101">
        <v>29.99</v>
      </c>
      <c r="N12" s="102">
        <v>121</v>
      </c>
      <c r="O12" s="102"/>
      <c r="P12" s="102"/>
      <c r="Q12" s="103"/>
      <c r="R12" s="103"/>
      <c r="S12" s="107"/>
      <c r="T12" s="103"/>
    </row>
    <row r="13" spans="1:20" x14ac:dyDescent="0.25">
      <c r="B13" s="30"/>
      <c r="C13" s="31"/>
      <c r="D13" s="92"/>
      <c r="E13" s="44"/>
      <c r="F13" s="44"/>
      <c r="G13" s="44"/>
      <c r="H13" s="40"/>
      <c r="I13" s="64"/>
      <c r="J13" s="68"/>
      <c r="K13" s="68"/>
      <c r="L13" s="68"/>
      <c r="M13" s="64"/>
      <c r="N13" s="68"/>
      <c r="O13" s="87"/>
      <c r="P13" s="68"/>
      <c r="Q13" s="99"/>
      <c r="R13" s="99"/>
      <c r="S13" s="85"/>
      <c r="T13" s="99"/>
    </row>
    <row r="14" spans="1:20" ht="60" x14ac:dyDescent="0.25">
      <c r="A14" s="98" t="s">
        <v>10</v>
      </c>
      <c r="B14" s="82" t="s">
        <v>111</v>
      </c>
      <c r="C14" s="82">
        <v>2050</v>
      </c>
      <c r="D14" s="93">
        <f>AVERAGE(F14:G14)</f>
        <v>0.46500000000000002</v>
      </c>
      <c r="E14" s="83">
        <f>AVERAGE(F14:G14)</f>
        <v>0.46500000000000002</v>
      </c>
      <c r="F14" s="83">
        <v>0</v>
      </c>
      <c r="G14" s="83">
        <f>F5</f>
        <v>0.93</v>
      </c>
      <c r="H14" s="97" t="s">
        <v>222</v>
      </c>
      <c r="I14" s="64"/>
      <c r="J14" s="68"/>
      <c r="K14" s="68"/>
      <c r="L14" s="68"/>
      <c r="M14" s="108"/>
      <c r="N14" s="68"/>
      <c r="O14" s="106"/>
      <c r="P14" s="68"/>
      <c r="Q14" s="99"/>
      <c r="R14" s="99"/>
      <c r="S14" s="85"/>
      <c r="T14" s="99"/>
    </row>
    <row r="15" spans="1:20" ht="60" x14ac:dyDescent="0.25">
      <c r="A15" s="98" t="s">
        <v>20</v>
      </c>
      <c r="B15" s="82" t="s">
        <v>111</v>
      </c>
      <c r="C15" s="82">
        <v>2050</v>
      </c>
      <c r="D15" s="93">
        <f t="shared" ref="D15:D17" si="5">AVERAGE(F15:G15)</f>
        <v>1.56</v>
      </c>
      <c r="E15" s="83">
        <f t="shared" ref="E15:E17" si="6">AVERAGE(F15:G15)</f>
        <v>1.56</v>
      </c>
      <c r="F15" s="83">
        <v>0.8</v>
      </c>
      <c r="G15" s="83">
        <f>F6</f>
        <v>2.3199999999999998</v>
      </c>
      <c r="H15" s="97" t="s">
        <v>222</v>
      </c>
      <c r="I15" s="64"/>
      <c r="J15" s="68"/>
      <c r="K15" s="68"/>
      <c r="L15" s="68"/>
      <c r="M15" s="108"/>
      <c r="N15" s="68"/>
      <c r="O15" s="106"/>
      <c r="P15" s="68"/>
      <c r="Q15" s="99"/>
      <c r="R15" s="99"/>
      <c r="S15" s="85"/>
      <c r="T15" s="99"/>
    </row>
    <row r="16" spans="1:20" ht="60" x14ac:dyDescent="0.25">
      <c r="A16" s="98" t="s">
        <v>25</v>
      </c>
      <c r="B16" s="82" t="s">
        <v>111</v>
      </c>
      <c r="C16" s="82">
        <v>2050</v>
      </c>
      <c r="D16" s="93">
        <f t="shared" si="5"/>
        <v>8</v>
      </c>
      <c r="E16" s="83">
        <f t="shared" si="6"/>
        <v>8</v>
      </c>
      <c r="F16" s="83">
        <v>3</v>
      </c>
      <c r="G16" s="83">
        <f>F7</f>
        <v>13</v>
      </c>
      <c r="H16" s="97" t="s">
        <v>222</v>
      </c>
      <c r="I16" s="64"/>
      <c r="J16" s="68"/>
      <c r="K16" s="68"/>
      <c r="L16" s="68"/>
      <c r="M16" s="108"/>
      <c r="N16" s="68"/>
      <c r="O16" s="106"/>
      <c r="P16" s="68"/>
      <c r="Q16" s="99"/>
      <c r="R16" s="99"/>
      <c r="S16" s="85"/>
      <c r="T16" s="99"/>
    </row>
    <row r="17" spans="1:20" ht="60" x14ac:dyDescent="0.25">
      <c r="A17" s="98" t="s">
        <v>46</v>
      </c>
      <c r="B17" s="82" t="s">
        <v>111</v>
      </c>
      <c r="C17" s="82">
        <v>2050</v>
      </c>
      <c r="D17" s="93">
        <f t="shared" si="5"/>
        <v>6</v>
      </c>
      <c r="E17" s="83">
        <f t="shared" si="6"/>
        <v>6</v>
      </c>
      <c r="F17" s="83">
        <v>6</v>
      </c>
      <c r="G17" s="83">
        <f>F9</f>
        <v>6</v>
      </c>
      <c r="H17" s="97" t="s">
        <v>222</v>
      </c>
      <c r="I17" s="64"/>
      <c r="J17" s="68"/>
      <c r="K17" s="68"/>
      <c r="L17" s="68"/>
      <c r="M17" s="108"/>
      <c r="N17" s="68"/>
      <c r="O17" s="106"/>
      <c r="P17" s="68"/>
      <c r="Q17" s="99"/>
      <c r="R17" s="99"/>
      <c r="S17" s="85"/>
      <c r="T17" s="99"/>
    </row>
    <row r="18" spans="1:20" x14ac:dyDescent="0.25">
      <c r="A18" s="26"/>
      <c r="B18" s="32"/>
      <c r="C18" s="32"/>
      <c r="D18" s="95"/>
      <c r="E18" s="26"/>
      <c r="F18" s="26"/>
      <c r="G18" s="26"/>
      <c r="H18" s="89"/>
      <c r="I18" s="65"/>
      <c r="J18" s="65"/>
      <c r="K18" s="65"/>
      <c r="L18" s="65"/>
      <c r="M18" s="65"/>
      <c r="N18" s="65"/>
      <c r="O18" s="65"/>
      <c r="P18" s="65"/>
      <c r="Q18" s="37"/>
      <c r="R18" s="37"/>
      <c r="S18" s="37"/>
      <c r="T18" s="37"/>
    </row>
  </sheetData>
  <mergeCells count="1">
    <mergeCell ref="D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Q18"/>
  <sheetViews>
    <sheetView workbookViewId="0">
      <pane xSplit="1" topLeftCell="B1" activePane="topRight" state="frozen"/>
      <selection pane="topRight" activeCell="A12" sqref="A12"/>
    </sheetView>
  </sheetViews>
  <sheetFormatPr defaultRowHeight="15" x14ac:dyDescent="0.25"/>
  <cols>
    <col min="1" max="1" width="12.85546875" bestFit="1" customWidth="1"/>
    <col min="8" max="8" width="29.85546875" customWidth="1"/>
    <col min="9" max="9" width="13.28515625" bestFit="1" customWidth="1"/>
    <col min="10" max="10" width="10.7109375" bestFit="1" customWidth="1"/>
    <col min="11" max="11" width="12" bestFit="1" customWidth="1"/>
    <col min="12" max="12" width="13.42578125" bestFit="1" customWidth="1"/>
    <col min="13" max="13" width="12.28515625" bestFit="1" customWidth="1"/>
    <col min="14" max="14" width="16" bestFit="1" customWidth="1"/>
    <col min="15" max="15" width="12.28515625" bestFit="1" customWidth="1"/>
    <col min="16" max="16" width="13.5703125" bestFit="1" customWidth="1"/>
    <col min="17" max="17" width="14.7109375" bestFit="1" customWidth="1"/>
  </cols>
  <sheetData>
    <row r="1" spans="1:17" x14ac:dyDescent="0.25">
      <c r="A1" s="53" t="s">
        <v>70</v>
      </c>
      <c r="B1" s="27" t="s">
        <v>71</v>
      </c>
      <c r="C1" s="27" t="s">
        <v>72</v>
      </c>
      <c r="D1" s="129" t="s">
        <v>73</v>
      </c>
      <c r="E1" s="130"/>
      <c r="F1" s="130"/>
      <c r="G1" s="130"/>
      <c r="H1" s="131"/>
      <c r="I1" s="61" t="s">
        <v>126</v>
      </c>
      <c r="J1" s="55" t="s">
        <v>116</v>
      </c>
      <c r="K1" s="59" t="s">
        <v>120</v>
      </c>
      <c r="L1" s="55" t="s">
        <v>134</v>
      </c>
      <c r="M1" s="59" t="s">
        <v>128</v>
      </c>
      <c r="N1" s="55" t="s">
        <v>100</v>
      </c>
      <c r="O1" s="59" t="s">
        <v>127</v>
      </c>
      <c r="P1" s="55" t="s">
        <v>114</v>
      </c>
      <c r="Q1" s="59" t="s">
        <v>137</v>
      </c>
    </row>
    <row r="2" spans="1:17" ht="40.5" x14ac:dyDescent="0.25">
      <c r="A2" s="23"/>
      <c r="B2" s="28"/>
      <c r="C2" s="28"/>
      <c r="D2" s="90" t="s">
        <v>95</v>
      </c>
      <c r="E2" s="33" t="s">
        <v>96</v>
      </c>
      <c r="F2" s="33" t="s">
        <v>97</v>
      </c>
      <c r="G2" s="34" t="s">
        <v>98</v>
      </c>
      <c r="H2" s="36" t="s">
        <v>107</v>
      </c>
      <c r="I2" s="62" t="s">
        <v>75</v>
      </c>
      <c r="J2" s="41" t="s">
        <v>75</v>
      </c>
      <c r="K2" s="39" t="s">
        <v>75</v>
      </c>
      <c r="L2" s="41" t="s">
        <v>75</v>
      </c>
      <c r="M2" s="39" t="s">
        <v>75</v>
      </c>
      <c r="N2" s="41" t="s">
        <v>75</v>
      </c>
      <c r="O2" s="39" t="s">
        <v>75</v>
      </c>
      <c r="P2" s="41" t="s">
        <v>75</v>
      </c>
      <c r="Q2" s="39" t="s">
        <v>75</v>
      </c>
    </row>
    <row r="3" spans="1:17" x14ac:dyDescent="0.25">
      <c r="A3" s="24"/>
      <c r="B3" s="29"/>
      <c r="C3" s="30"/>
      <c r="D3" s="91"/>
      <c r="E3" s="24"/>
      <c r="F3" s="24"/>
      <c r="G3" s="24"/>
      <c r="H3" s="40"/>
      <c r="I3" s="71"/>
      <c r="J3" s="104"/>
      <c r="K3" s="104"/>
      <c r="L3" s="104"/>
      <c r="M3" s="104"/>
      <c r="N3" s="104"/>
      <c r="O3" s="104"/>
      <c r="P3" s="104"/>
      <c r="Q3" s="104"/>
    </row>
    <row r="4" spans="1:17" x14ac:dyDescent="0.25">
      <c r="A4" t="s">
        <v>3</v>
      </c>
      <c r="B4" s="30" t="s">
        <v>111</v>
      </c>
      <c r="C4" s="31">
        <v>2020</v>
      </c>
      <c r="D4" s="92">
        <f>AVERAGE(I4,J4,K4,L4,M4,N4,O4,P4,Q4)</f>
        <v>54.75</v>
      </c>
      <c r="E4" s="44">
        <f>MEDIAN(I4,J4,K4,L4,M4,N4,O4,P4,Q4)</f>
        <v>54.75</v>
      </c>
      <c r="F4" s="44">
        <f>MIN(I4,J4,K4,L4,M4,N4,O4,P4,Q4)</f>
        <v>7.5</v>
      </c>
      <c r="G4" s="44">
        <f>MAX(I4,J4,K4,L4,M4,N4,O4,P4,Q4)</f>
        <v>102</v>
      </c>
      <c r="H4" s="40">
        <f>COUNT(I4,J4,K4,L4,M4,N4,O4,P4,Q4,#REF!,#REF!,#REF!,R4,V4,Z4,AD4,AH4,AL4,AP4)</f>
        <v>2</v>
      </c>
      <c r="I4" s="71"/>
      <c r="J4" s="104"/>
      <c r="K4" s="104"/>
      <c r="L4" s="104">
        <v>102</v>
      </c>
      <c r="M4" s="104"/>
      <c r="N4" s="104"/>
      <c r="O4" s="104">
        <v>7.5</v>
      </c>
      <c r="P4" s="104"/>
      <c r="Q4" s="104"/>
    </row>
    <row r="5" spans="1:17" x14ac:dyDescent="0.25">
      <c r="A5" t="s">
        <v>106</v>
      </c>
      <c r="B5" s="30" t="s">
        <v>111</v>
      </c>
      <c r="C5" s="31">
        <v>2020</v>
      </c>
      <c r="D5" s="92">
        <f t="shared" ref="D5:D13" si="0">AVERAGE(I5,J5,K5,L5,M5,N5,O5,P5,Q5)</f>
        <v>8.0000000000000004E-4</v>
      </c>
      <c r="E5" s="44">
        <f t="shared" ref="E5:E13" si="1">MEDIAN(I5,J5,K5,L5,M5,N5,O5,P5,Q5)</f>
        <v>8.0000000000000004E-4</v>
      </c>
      <c r="F5" s="44">
        <f t="shared" ref="F5:F13" si="2">MIN(I5,J5,K5,L5,M5,N5,O5,P5,Q5)</f>
        <v>8.0000000000000004E-4</v>
      </c>
      <c r="G5" s="44">
        <f t="shared" ref="G5:G13" si="3">MAX(I5,J5,K5,L5,M5,N5,O5,P5,Q5)</f>
        <v>8.0000000000000004E-4</v>
      </c>
      <c r="H5" s="40">
        <f>COUNT(I5,J5,K5,L5,M5,N5,O5,P5,Q5,#REF!,#REF!,#REF!,R5,V5,Z5,AD5,AH5,AL5,AP5)</f>
        <v>1</v>
      </c>
      <c r="I5" s="71"/>
      <c r="J5" s="104"/>
      <c r="K5" s="104"/>
      <c r="L5" s="104">
        <v>8.0000000000000004E-4</v>
      </c>
      <c r="M5" s="104"/>
      <c r="N5" s="104"/>
      <c r="O5" s="104"/>
      <c r="P5" s="104"/>
      <c r="Q5" s="104"/>
    </row>
    <row r="6" spans="1:17" x14ac:dyDescent="0.25">
      <c r="A6" t="s">
        <v>12</v>
      </c>
      <c r="B6" s="30" t="s">
        <v>111</v>
      </c>
      <c r="C6" s="31">
        <v>2020</v>
      </c>
      <c r="D6" s="92">
        <f t="shared" si="0"/>
        <v>634</v>
      </c>
      <c r="E6" s="44">
        <f t="shared" si="1"/>
        <v>634</v>
      </c>
      <c r="F6" s="44">
        <f t="shared" si="2"/>
        <v>634</v>
      </c>
      <c r="G6" s="44">
        <f t="shared" si="3"/>
        <v>634</v>
      </c>
      <c r="H6" s="40">
        <f>COUNT(I6,J6,K6,L6,M6,N6,O6,P6,Q6,#REF!,#REF!,#REF!,R6,V6,Z6,AD6,AH6,AL6,AP6)</f>
        <v>1</v>
      </c>
      <c r="I6" s="71"/>
      <c r="J6" s="104"/>
      <c r="K6" s="104"/>
      <c r="L6" s="104"/>
      <c r="M6" s="104">
        <v>634</v>
      </c>
      <c r="N6" s="104"/>
      <c r="O6" s="104"/>
      <c r="P6" s="104"/>
      <c r="Q6" s="104"/>
    </row>
    <row r="7" spans="1:17" x14ac:dyDescent="0.25">
      <c r="A7" t="s">
        <v>10</v>
      </c>
      <c r="B7" s="30" t="s">
        <v>111</v>
      </c>
      <c r="C7" s="31">
        <v>2020</v>
      </c>
      <c r="D7" s="92">
        <f t="shared" si="0"/>
        <v>6.61</v>
      </c>
      <c r="E7" s="44">
        <f t="shared" si="1"/>
        <v>6.61</v>
      </c>
      <c r="F7" s="44">
        <f t="shared" si="2"/>
        <v>6.61</v>
      </c>
      <c r="G7" s="44">
        <f t="shared" si="3"/>
        <v>6.61</v>
      </c>
      <c r="H7" s="40">
        <f>COUNT(I7,J7,K7,L7,M7,N7,O7,P7,Q7,#REF!,#REF!,#REF!,R7,V7,Z7,AD7,AH7,AL7,AP7)</f>
        <v>1</v>
      </c>
      <c r="I7" s="71"/>
      <c r="J7" s="104"/>
      <c r="K7" s="104"/>
      <c r="L7" s="104"/>
      <c r="M7" s="104">
        <v>6.61</v>
      </c>
      <c r="N7" s="104"/>
      <c r="O7" s="104"/>
      <c r="P7" s="104"/>
      <c r="Q7" s="104"/>
    </row>
    <row r="8" spans="1:17" x14ac:dyDescent="0.25">
      <c r="A8" t="s">
        <v>21</v>
      </c>
      <c r="B8" s="30" t="s">
        <v>111</v>
      </c>
      <c r="C8" s="31">
        <v>2020</v>
      </c>
      <c r="D8" s="92">
        <f t="shared" si="0"/>
        <v>62.833333333333336</v>
      </c>
      <c r="E8" s="44">
        <f t="shared" si="1"/>
        <v>65.166666666666671</v>
      </c>
      <c r="F8" s="44">
        <f t="shared" si="2"/>
        <v>48</v>
      </c>
      <c r="G8" s="44">
        <f t="shared" si="3"/>
        <v>73</v>
      </c>
      <c r="H8" s="40">
        <f>COUNT(I8,J8,K8,L8,M8,N8,O8,P8,Q8,#REF!,#REF!,#REF!,R8,V8,Z8,AD8,AH8,AL8,AP8)</f>
        <v>4</v>
      </c>
      <c r="I8" s="71">
        <v>73</v>
      </c>
      <c r="J8" s="104"/>
      <c r="K8" s="104">
        <v>57.333333333333336</v>
      </c>
      <c r="L8" s="104"/>
      <c r="M8" s="104"/>
      <c r="N8" s="104"/>
      <c r="O8" s="104">
        <v>48</v>
      </c>
      <c r="P8" s="104"/>
      <c r="Q8" s="104">
        <v>73</v>
      </c>
    </row>
    <row r="9" spans="1:17" x14ac:dyDescent="0.25">
      <c r="A9" t="s">
        <v>25</v>
      </c>
      <c r="B9" s="30" t="s">
        <v>111</v>
      </c>
      <c r="C9" s="31">
        <v>2020</v>
      </c>
      <c r="D9" s="92">
        <f t="shared" si="0"/>
        <v>5.7528000000000006</v>
      </c>
      <c r="E9" s="44">
        <f t="shared" si="1"/>
        <v>5.32</v>
      </c>
      <c r="F9" s="44">
        <f t="shared" si="2"/>
        <v>0.71399999999999997</v>
      </c>
      <c r="G9" s="44">
        <f t="shared" si="3"/>
        <v>13.41</v>
      </c>
      <c r="H9" s="40">
        <f>COUNT(I9,J9,K9,L9,M9,N9,O9,P9,Q9,#REF!,#REF!,#REF!,R9,V9,Z9,AD9,AH9,AL9,AP9)</f>
        <v>5</v>
      </c>
      <c r="I9" s="71"/>
      <c r="J9" s="104">
        <v>0.71399999999999997</v>
      </c>
      <c r="K9" s="104"/>
      <c r="L9" s="104">
        <v>5.32</v>
      </c>
      <c r="M9" s="104">
        <v>13.41</v>
      </c>
      <c r="N9" s="104">
        <v>5.32</v>
      </c>
      <c r="O9" s="104"/>
      <c r="P9" s="104">
        <v>4</v>
      </c>
      <c r="Q9" s="104"/>
    </row>
    <row r="10" spans="1:17" x14ac:dyDescent="0.25">
      <c r="A10" t="s">
        <v>34</v>
      </c>
      <c r="B10" s="30" t="s">
        <v>111</v>
      </c>
      <c r="C10" s="31">
        <v>2020</v>
      </c>
      <c r="D10" s="92">
        <f t="shared" si="0"/>
        <v>10.62</v>
      </c>
      <c r="E10" s="44">
        <f t="shared" si="1"/>
        <v>10.62</v>
      </c>
      <c r="F10" s="44">
        <f t="shared" si="2"/>
        <v>10.62</v>
      </c>
      <c r="G10" s="44">
        <f t="shared" si="3"/>
        <v>10.62</v>
      </c>
      <c r="H10" s="40">
        <f>COUNT(I10,J10,K10,L10,M10,N10,O10,P10,Q10,#REF!,#REF!,#REF!,R10,V10,Z10,AD10,AH10,AL10,AP10)</f>
        <v>1</v>
      </c>
      <c r="I10" s="71"/>
      <c r="J10" s="104"/>
      <c r="K10" s="104"/>
      <c r="L10" s="104"/>
      <c r="M10" s="104">
        <v>10.62</v>
      </c>
      <c r="N10" s="104"/>
      <c r="O10" s="104"/>
      <c r="P10" s="104"/>
      <c r="Q10" s="104"/>
    </row>
    <row r="11" spans="1:17" x14ac:dyDescent="0.25">
      <c r="A11" t="s">
        <v>38</v>
      </c>
      <c r="B11" s="30" t="s">
        <v>111</v>
      </c>
      <c r="C11" s="31">
        <v>2020</v>
      </c>
      <c r="D11" s="92">
        <f t="shared" si="0"/>
        <v>334</v>
      </c>
      <c r="E11" s="44">
        <f t="shared" si="1"/>
        <v>334</v>
      </c>
      <c r="F11" s="44">
        <f t="shared" si="2"/>
        <v>334</v>
      </c>
      <c r="G11" s="44">
        <f t="shared" si="3"/>
        <v>334</v>
      </c>
      <c r="H11" s="40">
        <f>COUNT(I11,J11,K11,L11,M11,N11,O11,P11,Q11,#REF!,#REF!,#REF!,R11,V11,Z11,AD11,AH11,AL11,AP11)</f>
        <v>1</v>
      </c>
      <c r="I11" s="71"/>
      <c r="J11" s="104"/>
      <c r="K11" s="104"/>
      <c r="L11" s="104"/>
      <c r="M11" s="104">
        <v>334</v>
      </c>
      <c r="N11" s="104"/>
      <c r="O11" s="104"/>
      <c r="P11" s="104"/>
      <c r="Q11" s="104"/>
    </row>
    <row r="12" spans="1:17" x14ac:dyDescent="0.25">
      <c r="A12" t="s">
        <v>52</v>
      </c>
      <c r="B12" s="30" t="s">
        <v>111</v>
      </c>
      <c r="C12" s="31">
        <v>2020</v>
      </c>
      <c r="D12" s="92">
        <f t="shared" si="0"/>
        <v>7.5</v>
      </c>
      <c r="E12" s="44">
        <f t="shared" si="1"/>
        <v>7.5</v>
      </c>
      <c r="F12" s="44">
        <f t="shared" si="2"/>
        <v>7.5</v>
      </c>
      <c r="G12" s="44">
        <f t="shared" si="3"/>
        <v>7.5</v>
      </c>
      <c r="H12" s="40">
        <f>COUNT(I12,J12,K12,L12,M12,N12,O12,P12,Q12,#REF!,#REF!,#REF!,R12,V12,Z12,AD12,AH12,AL12,AP12)</f>
        <v>1</v>
      </c>
      <c r="I12" s="71"/>
      <c r="J12" s="104"/>
      <c r="K12" s="104"/>
      <c r="L12" s="104"/>
      <c r="M12" s="104">
        <v>7.5</v>
      </c>
      <c r="N12" s="104"/>
      <c r="O12" s="104"/>
      <c r="P12" s="104"/>
      <c r="Q12" s="104"/>
    </row>
    <row r="13" spans="1:17" x14ac:dyDescent="0.25">
      <c r="A13" t="s">
        <v>89</v>
      </c>
      <c r="B13" s="30" t="s">
        <v>111</v>
      </c>
      <c r="C13" s="31">
        <v>2020</v>
      </c>
      <c r="D13" s="92">
        <f t="shared" si="0"/>
        <v>83.87</v>
      </c>
      <c r="E13" s="44">
        <f t="shared" si="1"/>
        <v>103.08</v>
      </c>
      <c r="F13" s="44">
        <f t="shared" si="2"/>
        <v>5.32</v>
      </c>
      <c r="G13" s="44">
        <f t="shared" si="3"/>
        <v>143.21</v>
      </c>
      <c r="H13" s="40">
        <f>COUNT(I13,J13,K13,L13,M13,N13,O13,P13,Q13,#REF!,#REF!,#REF!,R13,V13,Z13,AD13,AH13,AL13,AP13)</f>
        <v>3</v>
      </c>
      <c r="I13" s="71"/>
      <c r="J13" s="104">
        <v>5.32</v>
      </c>
      <c r="K13" s="104"/>
      <c r="L13" s="104">
        <v>103.08</v>
      </c>
      <c r="M13" s="104">
        <v>143.21</v>
      </c>
      <c r="N13" s="104"/>
      <c r="O13" s="104"/>
      <c r="P13" s="104"/>
      <c r="Q13" s="104"/>
    </row>
    <row r="14" spans="1:17" x14ac:dyDescent="0.25">
      <c r="B14" s="30"/>
      <c r="C14" s="31"/>
      <c r="D14" s="92"/>
      <c r="E14" s="44"/>
      <c r="F14" s="44"/>
      <c r="G14" s="44"/>
      <c r="H14" s="40"/>
      <c r="I14" s="71"/>
      <c r="J14" s="104"/>
      <c r="K14" s="104"/>
      <c r="L14" s="104"/>
      <c r="M14" s="104"/>
      <c r="N14" s="104"/>
      <c r="O14" s="104"/>
      <c r="P14" s="104"/>
      <c r="Q14" s="104"/>
    </row>
    <row r="15" spans="1:17" x14ac:dyDescent="0.25">
      <c r="B15" s="30"/>
      <c r="C15" s="31"/>
      <c r="D15" s="92"/>
      <c r="E15" s="44"/>
      <c r="F15" s="44"/>
      <c r="G15" s="44"/>
      <c r="H15" s="40"/>
      <c r="I15" s="71"/>
      <c r="J15" s="104"/>
      <c r="K15" s="104"/>
      <c r="L15" s="104"/>
      <c r="M15" s="104"/>
      <c r="N15" s="104"/>
      <c r="O15" s="104"/>
      <c r="P15" s="104"/>
      <c r="Q15" s="104"/>
    </row>
    <row r="16" spans="1:17" ht="60" x14ac:dyDescent="0.25">
      <c r="A16" s="98" t="s">
        <v>25</v>
      </c>
      <c r="B16" s="82" t="s">
        <v>111</v>
      </c>
      <c r="C16" s="82">
        <v>2050</v>
      </c>
      <c r="D16" s="93">
        <f>AVERAGE(F16:G16)</f>
        <v>0.35699999999999998</v>
      </c>
      <c r="E16" s="83">
        <f>AVERAGE(F16:G16)</f>
        <v>0.35699999999999998</v>
      </c>
      <c r="F16" s="83">
        <v>0</v>
      </c>
      <c r="G16" s="83">
        <f>F9</f>
        <v>0.71399999999999997</v>
      </c>
      <c r="H16" s="97" t="s">
        <v>222</v>
      </c>
      <c r="I16" s="71"/>
      <c r="J16" s="104"/>
      <c r="K16" s="104"/>
      <c r="L16" s="104"/>
      <c r="M16" s="104"/>
      <c r="N16" s="104"/>
      <c r="O16" s="104"/>
      <c r="P16" s="104"/>
      <c r="Q16" s="104"/>
    </row>
    <row r="17" spans="1:17" ht="60" x14ac:dyDescent="0.25">
      <c r="A17" s="98" t="s">
        <v>21</v>
      </c>
      <c r="B17" s="82" t="s">
        <v>111</v>
      </c>
      <c r="C17" s="82">
        <v>2050</v>
      </c>
      <c r="D17" s="93">
        <f>AVERAGE(F17:G17)</f>
        <v>29</v>
      </c>
      <c r="E17" s="83">
        <f>AVERAGE(F17:G17)</f>
        <v>29</v>
      </c>
      <c r="F17" s="83">
        <v>10</v>
      </c>
      <c r="G17" s="83">
        <f>F8</f>
        <v>48</v>
      </c>
      <c r="H17" s="97" t="s">
        <v>222</v>
      </c>
      <c r="I17" s="63"/>
      <c r="J17" s="40"/>
      <c r="K17" s="40"/>
      <c r="L17" s="40"/>
      <c r="M17" s="40"/>
      <c r="N17" s="40"/>
      <c r="O17" s="40"/>
      <c r="P17" s="40"/>
      <c r="Q17" s="40"/>
    </row>
    <row r="18" spans="1:17" x14ac:dyDescent="0.25">
      <c r="A18" s="26"/>
      <c r="B18" s="32"/>
      <c r="C18" s="32"/>
      <c r="D18" s="95"/>
      <c r="E18" s="26"/>
      <c r="F18" s="26"/>
      <c r="G18" s="26"/>
      <c r="H18" s="89"/>
      <c r="I18" s="65"/>
      <c r="J18" s="37"/>
      <c r="K18" s="37"/>
      <c r="L18" s="37"/>
      <c r="M18" s="37"/>
      <c r="N18" s="37"/>
      <c r="O18" s="37"/>
      <c r="P18" s="37"/>
      <c r="Q18" s="37"/>
    </row>
  </sheetData>
  <mergeCells count="1">
    <mergeCell ref="D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F118-5F61-4117-9BF7-0D3682952AE0}">
  <sheetPr>
    <tabColor theme="7" tint="0.59999389629810485"/>
  </sheetPr>
  <dimension ref="A1:I5"/>
  <sheetViews>
    <sheetView zoomScale="115" zoomScaleNormal="115" workbookViewId="0">
      <pane xSplit="1" topLeftCell="B1" activePane="topRight" state="frozen"/>
      <selection pane="topRight" activeCell="I1" sqref="I1"/>
    </sheetView>
  </sheetViews>
  <sheetFormatPr defaultRowHeight="15" x14ac:dyDescent="0.25"/>
  <cols>
    <col min="1" max="1" width="12.85546875" bestFit="1" customWidth="1"/>
    <col min="5" max="5" width="12" bestFit="1" customWidth="1"/>
    <col min="8" max="8" width="35.85546875" customWidth="1"/>
    <col min="9" max="9" width="20.140625" bestFit="1" customWidth="1"/>
  </cols>
  <sheetData>
    <row r="1" spans="1:9" x14ac:dyDescent="0.25">
      <c r="A1" s="52" t="s">
        <v>70</v>
      </c>
      <c r="B1" s="27" t="s">
        <v>71</v>
      </c>
      <c r="C1" s="27" t="s">
        <v>72</v>
      </c>
      <c r="D1" s="129" t="s">
        <v>73</v>
      </c>
      <c r="E1" s="130"/>
      <c r="F1" s="130"/>
      <c r="G1" s="130"/>
      <c r="H1" s="131"/>
      <c r="I1" s="59" t="s">
        <v>226</v>
      </c>
    </row>
    <row r="2" spans="1:9" ht="40.5" x14ac:dyDescent="0.25">
      <c r="A2" s="23"/>
      <c r="B2" s="28"/>
      <c r="C2" s="28"/>
      <c r="D2" s="90" t="s">
        <v>95</v>
      </c>
      <c r="E2" s="33" t="s">
        <v>96</v>
      </c>
      <c r="F2" s="33" t="s">
        <v>97</v>
      </c>
      <c r="G2" s="34" t="s">
        <v>98</v>
      </c>
      <c r="H2" s="36" t="s">
        <v>107</v>
      </c>
      <c r="I2" s="39" t="s">
        <v>75</v>
      </c>
    </row>
    <row r="3" spans="1:9" x14ac:dyDescent="0.25">
      <c r="A3" s="24"/>
      <c r="B3" s="29"/>
      <c r="C3" s="30"/>
      <c r="D3" s="91"/>
      <c r="E3" s="24"/>
      <c r="F3" s="24"/>
      <c r="G3" s="24"/>
      <c r="H3" s="40"/>
      <c r="I3" s="100"/>
    </row>
    <row r="4" spans="1:9" ht="30" x14ac:dyDescent="0.25">
      <c r="A4" t="s">
        <v>25</v>
      </c>
      <c r="B4" s="30" t="s">
        <v>111</v>
      </c>
      <c r="C4" s="31">
        <v>2050</v>
      </c>
      <c r="D4" s="92">
        <f>G4/2</f>
        <v>1.2176050152787866E-6</v>
      </c>
      <c r="E4" s="44">
        <f>G4/2</f>
        <v>1.2176050152787866E-6</v>
      </c>
      <c r="F4" s="44">
        <f>I4</f>
        <v>0</v>
      </c>
      <c r="G4" s="44">
        <v>2.4352100305575732E-6</v>
      </c>
      <c r="H4" s="97" t="s">
        <v>225</v>
      </c>
      <c r="I4" s="100">
        <v>0</v>
      </c>
    </row>
    <row r="5" spans="1:9" x14ac:dyDescent="0.25">
      <c r="A5" s="26"/>
      <c r="B5" s="32"/>
      <c r="C5" s="32"/>
      <c r="D5" s="95"/>
      <c r="E5" s="26"/>
      <c r="F5" s="26"/>
      <c r="G5" s="26"/>
      <c r="H5" s="89"/>
      <c r="I5" s="109"/>
    </row>
  </sheetData>
  <mergeCells count="1">
    <mergeCell ref="D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39997558519241921"/>
  </sheetPr>
  <dimension ref="A1:AW15"/>
  <sheetViews>
    <sheetView zoomScale="70" zoomScaleNormal="70" workbookViewId="0">
      <selection activeCell="A13" sqref="A13"/>
    </sheetView>
  </sheetViews>
  <sheetFormatPr defaultRowHeight="15" x14ac:dyDescent="0.25"/>
  <cols>
    <col min="4" max="7" width="12.5703125" bestFit="1" customWidth="1"/>
    <col min="9" max="9" width="12.85546875" bestFit="1" customWidth="1"/>
    <col min="10" max="10" width="18.85546875" bestFit="1" customWidth="1"/>
    <col min="11" max="11" width="36.28515625" bestFit="1" customWidth="1"/>
    <col min="12" max="12" width="26.7109375" bestFit="1" customWidth="1"/>
    <col min="13" max="13" width="23.85546875" bestFit="1" customWidth="1"/>
    <col min="14" max="14" width="22.85546875" bestFit="1" customWidth="1"/>
    <col min="15" max="15" width="32.42578125" bestFit="1" customWidth="1"/>
    <col min="16" max="16" width="34.28515625" bestFit="1" customWidth="1"/>
    <col min="17" max="17" width="28.7109375" bestFit="1" customWidth="1"/>
    <col min="18" max="18" width="29.140625" bestFit="1" customWidth="1"/>
    <col min="19" max="19" width="39.28515625" bestFit="1" customWidth="1"/>
    <col min="20" max="20" width="37.140625" bestFit="1" customWidth="1"/>
    <col min="21" max="21" width="32.85546875" bestFit="1" customWidth="1"/>
    <col min="22" max="22" width="26.28515625" bestFit="1" customWidth="1"/>
    <col min="23" max="23" width="27.7109375" bestFit="1" customWidth="1"/>
    <col min="24" max="24" width="25.85546875" bestFit="1" customWidth="1"/>
    <col min="25" max="25" width="30.5703125" bestFit="1" customWidth="1"/>
    <col min="26" max="26" width="24.42578125" bestFit="1" customWidth="1"/>
    <col min="27" max="27" width="34.42578125" bestFit="1" customWidth="1"/>
    <col min="28" max="28" width="34.85546875" bestFit="1" customWidth="1"/>
    <col min="29" max="29" width="27.7109375" bestFit="1" customWidth="1"/>
    <col min="30" max="30" width="27.28515625" bestFit="1" customWidth="1"/>
    <col min="31" max="31" width="28.85546875" bestFit="1" customWidth="1"/>
    <col min="32" max="32" width="27.140625" bestFit="1" customWidth="1"/>
    <col min="33" max="33" width="24.42578125" bestFit="1" customWidth="1"/>
    <col min="34" max="34" width="23.5703125" bestFit="1" customWidth="1"/>
    <col min="35" max="35" width="44.85546875" bestFit="1" customWidth="1"/>
    <col min="36" max="36" width="29.28515625" bestFit="1" customWidth="1"/>
    <col min="37" max="37" width="26.7109375" bestFit="1" customWidth="1"/>
    <col min="38" max="38" width="36.85546875" bestFit="1" customWidth="1"/>
    <col min="39" max="39" width="26.7109375" bestFit="1" customWidth="1"/>
    <col min="40" max="40" width="27.140625" bestFit="1" customWidth="1"/>
    <col min="41" max="41" width="28.85546875" bestFit="1" customWidth="1"/>
    <col min="42" max="47" width="26.28515625" bestFit="1" customWidth="1"/>
    <col min="48" max="48" width="18.140625" bestFit="1" customWidth="1"/>
    <col min="49" max="49" width="20.42578125" bestFit="1" customWidth="1"/>
  </cols>
  <sheetData>
    <row r="1" spans="1:49" x14ac:dyDescent="0.25">
      <c r="A1" s="53" t="s">
        <v>70</v>
      </c>
      <c r="B1" s="27" t="s">
        <v>71</v>
      </c>
      <c r="C1" s="27" t="s">
        <v>72</v>
      </c>
      <c r="D1" s="129" t="s">
        <v>73</v>
      </c>
      <c r="E1" s="130"/>
      <c r="F1" s="130"/>
      <c r="G1" s="130"/>
      <c r="H1" s="131"/>
      <c r="I1" s="61" t="s">
        <v>138</v>
      </c>
      <c r="J1" s="66" t="s">
        <v>179</v>
      </c>
      <c r="K1" s="61" t="s">
        <v>140</v>
      </c>
      <c r="L1" s="66" t="s">
        <v>141</v>
      </c>
      <c r="M1" s="61" t="s">
        <v>142</v>
      </c>
      <c r="N1" s="66" t="s">
        <v>143</v>
      </c>
      <c r="O1" s="61" t="s">
        <v>144</v>
      </c>
      <c r="P1" s="66" t="s">
        <v>145</v>
      </c>
      <c r="Q1" s="61" t="s">
        <v>146</v>
      </c>
      <c r="R1" s="66" t="s">
        <v>147</v>
      </c>
      <c r="S1" s="61" t="s">
        <v>148</v>
      </c>
      <c r="T1" s="66" t="s">
        <v>149</v>
      </c>
      <c r="U1" s="61" t="s">
        <v>150</v>
      </c>
      <c r="V1" s="66" t="s">
        <v>151</v>
      </c>
      <c r="W1" s="61" t="s">
        <v>152</v>
      </c>
      <c r="X1" s="66" t="s">
        <v>153</v>
      </c>
      <c r="Y1" s="61" t="s">
        <v>154</v>
      </c>
      <c r="Z1" s="66" t="s">
        <v>155</v>
      </c>
      <c r="AA1" s="61" t="s">
        <v>156</v>
      </c>
      <c r="AB1" s="66" t="s">
        <v>157</v>
      </c>
      <c r="AC1" s="61" t="s">
        <v>158</v>
      </c>
      <c r="AD1" s="66" t="s">
        <v>159</v>
      </c>
      <c r="AE1" s="61" t="s">
        <v>160</v>
      </c>
      <c r="AF1" s="66" t="s">
        <v>161</v>
      </c>
      <c r="AG1" s="61" t="s">
        <v>162</v>
      </c>
      <c r="AH1" s="66" t="s">
        <v>163</v>
      </c>
      <c r="AI1" s="61" t="s">
        <v>164</v>
      </c>
      <c r="AJ1" s="66" t="s">
        <v>165</v>
      </c>
      <c r="AK1" s="61" t="s">
        <v>166</v>
      </c>
      <c r="AL1" s="66" t="s">
        <v>167</v>
      </c>
      <c r="AM1" s="61" t="s">
        <v>168</v>
      </c>
      <c r="AN1" s="66" t="s">
        <v>169</v>
      </c>
      <c r="AO1" s="61" t="s">
        <v>170</v>
      </c>
      <c r="AP1" s="66" t="s">
        <v>171</v>
      </c>
      <c r="AQ1" s="61" t="s">
        <v>172</v>
      </c>
      <c r="AR1" s="66" t="s">
        <v>173</v>
      </c>
      <c r="AS1" s="61" t="s">
        <v>174</v>
      </c>
      <c r="AT1" s="55" t="s">
        <v>175</v>
      </c>
      <c r="AU1" s="59" t="s">
        <v>176</v>
      </c>
      <c r="AV1" s="55" t="s">
        <v>177</v>
      </c>
      <c r="AW1" s="59" t="s">
        <v>178</v>
      </c>
    </row>
    <row r="2" spans="1:49" ht="40.5" x14ac:dyDescent="0.25">
      <c r="A2" s="23"/>
      <c r="B2" s="28"/>
      <c r="C2" s="28"/>
      <c r="D2" s="90" t="s">
        <v>95</v>
      </c>
      <c r="E2" s="33" t="s">
        <v>96</v>
      </c>
      <c r="F2" s="33" t="s">
        <v>97</v>
      </c>
      <c r="G2" s="34" t="s">
        <v>98</v>
      </c>
      <c r="H2" s="36" t="s">
        <v>107</v>
      </c>
      <c r="I2" s="62" t="s">
        <v>75</v>
      </c>
      <c r="J2" s="67" t="s">
        <v>75</v>
      </c>
      <c r="K2" s="62" t="s">
        <v>75</v>
      </c>
      <c r="L2" s="67" t="s">
        <v>75</v>
      </c>
      <c r="M2" s="62" t="s">
        <v>75</v>
      </c>
      <c r="N2" s="67" t="s">
        <v>75</v>
      </c>
      <c r="O2" s="62" t="s">
        <v>75</v>
      </c>
      <c r="P2" s="67" t="s">
        <v>75</v>
      </c>
      <c r="Q2" s="62" t="s">
        <v>75</v>
      </c>
      <c r="R2" s="67" t="s">
        <v>75</v>
      </c>
      <c r="S2" s="62" t="s">
        <v>75</v>
      </c>
      <c r="T2" s="67" t="s">
        <v>75</v>
      </c>
      <c r="U2" s="62" t="s">
        <v>75</v>
      </c>
      <c r="V2" s="67" t="s">
        <v>75</v>
      </c>
      <c r="W2" s="62" t="s">
        <v>75</v>
      </c>
      <c r="X2" s="67" t="s">
        <v>75</v>
      </c>
      <c r="Y2" s="62" t="s">
        <v>75</v>
      </c>
      <c r="Z2" s="67" t="s">
        <v>75</v>
      </c>
      <c r="AA2" s="62" t="s">
        <v>75</v>
      </c>
      <c r="AB2" s="67" t="s">
        <v>75</v>
      </c>
      <c r="AC2" s="62" t="s">
        <v>75</v>
      </c>
      <c r="AD2" s="67" t="s">
        <v>75</v>
      </c>
      <c r="AE2" s="62" t="s">
        <v>75</v>
      </c>
      <c r="AF2" s="67" t="s">
        <v>75</v>
      </c>
      <c r="AG2" s="62" t="s">
        <v>75</v>
      </c>
      <c r="AH2" s="67" t="s">
        <v>75</v>
      </c>
      <c r="AI2" s="62" t="s">
        <v>75</v>
      </c>
      <c r="AJ2" s="67" t="s">
        <v>75</v>
      </c>
      <c r="AK2" s="62" t="s">
        <v>75</v>
      </c>
      <c r="AL2" s="67" t="s">
        <v>75</v>
      </c>
      <c r="AM2" s="62" t="s">
        <v>75</v>
      </c>
      <c r="AN2" s="67" t="s">
        <v>75</v>
      </c>
      <c r="AO2" s="62" t="s">
        <v>75</v>
      </c>
      <c r="AP2" s="67" t="s">
        <v>75</v>
      </c>
      <c r="AQ2" s="62" t="s">
        <v>75</v>
      </c>
      <c r="AR2" s="67" t="s">
        <v>75</v>
      </c>
      <c r="AS2" s="62" t="s">
        <v>75</v>
      </c>
      <c r="AT2" s="41" t="s">
        <v>75</v>
      </c>
      <c r="AU2" s="39" t="s">
        <v>75</v>
      </c>
      <c r="AV2" s="41" t="s">
        <v>75</v>
      </c>
      <c r="AW2" s="39" t="s">
        <v>75</v>
      </c>
    </row>
    <row r="3" spans="1:49" x14ac:dyDescent="0.25">
      <c r="A3" s="24"/>
      <c r="B3" s="29"/>
      <c r="C3" s="30"/>
      <c r="D3" s="91"/>
      <c r="E3" s="24"/>
      <c r="F3" s="24"/>
      <c r="G3" s="24"/>
      <c r="H3" s="40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40"/>
      <c r="AU3" s="40"/>
      <c r="AV3" s="40"/>
      <c r="AW3" s="40"/>
    </row>
    <row r="4" spans="1:49" x14ac:dyDescent="0.25">
      <c r="A4" t="s">
        <v>3</v>
      </c>
      <c r="B4" s="30" t="s">
        <v>111</v>
      </c>
      <c r="C4" s="31">
        <v>2020</v>
      </c>
      <c r="D4" s="92">
        <f>AVERAGE(I4,J4,K4,L4,M4,N4,O4,P4,Q4,R4,S4,T4,U4,V4,W4,X4,Y4,Z4,AA4,AB4,AC4,AD4,AE4,AF4,AG4,AH4,AI4,AJ4,AK4,AL4,AM4,AN4,AO4,AP4,AQ4,AR4,AS4,AT4,AU4,AV4,AW4)</f>
        <v>740</v>
      </c>
      <c r="E4" s="44">
        <f>MEDIAN(I4,J4,K4,L4,M4,N4,O4,P4,Q4,R4,S4,T4,U4,V4,W4,X4,Y4,Z4,AA4,AB4,AC4,AD4,AE4,AF4,AG4,AH4,AI4,AJ4,AK4,AL4,AM4,AN4,AO4,AP4,AQ4,AR4,AS4,AT4,AU4,AV4,AW4)</f>
        <v>740</v>
      </c>
      <c r="F4" s="44">
        <f>MIN(I4,J4,K4,L4,M4,N4,O4,P4,Q4,R4,S4,T4,U4,V4,W4,X4,Y4,Z4,AA4,AB4,AC4,AD4,AE4,AF4,AG4,AH4,AI4,AJ4,AK4,AL4,AM4,AN4,AO4,AP4,AQ4,AR4,AS4,AT4,AU4,AV4,AW4)</f>
        <v>740</v>
      </c>
      <c r="G4" s="44">
        <f>MAX(I4,J4,K4,L4,M4,N4,O4,P4,Q4,R4,S4,T4,U4,V4,W4,X4,Y4,Z4,AA4,AB4,AC4,AD4,AE4,AF4,AG4,AH4,AI4,AJ4,AK4,AL4,AM4,AN4,AO4,AP4,AQ4,AR4,AS4,AT4,AU4,AV4,AW4)</f>
        <v>740</v>
      </c>
      <c r="H4" s="40">
        <f>COUNT(I4,J4,K4,L4,M4,N4,O4,P4,Q4,R4,S4,T4,U4,V4,W4,X4,Y4,Z4,AA4,AA4,AB4,AC4,AD4,AE4,AF4,AG4,AH4,AI4,AJ4,AK4,AL4,AM4,AN4,AO4,AP4,AQ4,AR4,AS4,AT4,AU4,AV4,AW4,#REF!,#REF!)</f>
        <v>1</v>
      </c>
      <c r="I4" s="71">
        <v>740</v>
      </c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104"/>
      <c r="AU4" s="104"/>
      <c r="AV4" s="104"/>
      <c r="AW4" s="104"/>
    </row>
    <row r="5" spans="1:49" x14ac:dyDescent="0.25">
      <c r="A5" t="s">
        <v>12</v>
      </c>
      <c r="B5" s="30" t="s">
        <v>111</v>
      </c>
      <c r="C5" s="31">
        <v>2020</v>
      </c>
      <c r="D5" s="92">
        <f t="shared" ref="D5:D14" si="0">AVERAGE(I5,J5,K5,L5,M5,N5,O5,P5,Q5,R5,S5,T5,U5,V5,W5,X5,Y5,Z5,AA5,AB5,AC5,AD5,AE5,AF5,AG5,AH5,AI5,AJ5,AK5,AL5,AM5,AN5,AO5,AP5,AQ5,AR5,AS5,AT5,AU5,AV5,AW5)</f>
        <v>2200</v>
      </c>
      <c r="E5" s="44">
        <f t="shared" ref="E5:E14" si="1">MEDIAN(I5,J5,K5,L5,M5,N5,O5,P5,Q5,R5,S5,T5,U5,V5,W5,X5,Y5,Z5,AA5,AB5,AC5,AD5,AE5,AF5,AG5,AH5,AI5,AJ5,AK5,AL5,AM5,AN5,AO5,AP5,AQ5,AR5,AS5,AT5,AU5,AV5,AW5)</f>
        <v>2200</v>
      </c>
      <c r="F5" s="44">
        <f t="shared" ref="F5:F14" si="2">MIN(I5,J5,K5,L5,M5,N5,O5,P5,Q5,R5,S5,T5,U5,V5,W5,X5,Y5,Z5,AA5,AB5,AC5,AD5,AE5,AF5,AG5,AH5,AI5,AJ5,AK5,AL5,AM5,AN5,AO5,AP5,AQ5,AR5,AS5,AT5,AU5,AV5,AW5)</f>
        <v>2200</v>
      </c>
      <c r="G5" s="44">
        <f t="shared" ref="G5:G14" si="3">MAX(I5,J5,K5,L5,M5,N5,O5,P5,Q5,R5,S5,T5,U5,V5,W5,X5,Y5,Z5,AA5,AB5,AC5,AD5,AE5,AF5,AG5,AH5,AI5,AJ5,AK5,AL5,AM5,AN5,AO5,AP5,AQ5,AR5,AS5,AT5,AU5,AV5,AW5)</f>
        <v>2200</v>
      </c>
      <c r="H5" s="40">
        <f>COUNT(I5,J5,K5,L5,M5,N5,O5,P5,Q5,R5,S5,T5,U5,V5,W5,X5,Y5,Z5,AA5,AA5,AB5,AC5,AD5,AE5,AF5,AG5,AH5,AI5,AJ5,AK5,AL5,AM5,AN5,AO5,AP5,AQ5,AR5,AS5,AT5,AU5,AV5,AW5,#REF!,#REF!)</f>
        <v>1</v>
      </c>
      <c r="I5" s="71">
        <v>2200</v>
      </c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104"/>
      <c r="AU5" s="104"/>
      <c r="AV5" s="104"/>
      <c r="AW5" s="104"/>
    </row>
    <row r="6" spans="1:49" x14ac:dyDescent="0.25">
      <c r="A6" t="s">
        <v>32</v>
      </c>
      <c r="B6" s="30" t="s">
        <v>111</v>
      </c>
      <c r="C6" s="31">
        <v>2020</v>
      </c>
      <c r="D6" s="92">
        <f t="shared" si="0"/>
        <v>3000</v>
      </c>
      <c r="E6" s="44">
        <f t="shared" si="1"/>
        <v>3000</v>
      </c>
      <c r="F6" s="44">
        <f t="shared" si="2"/>
        <v>3000</v>
      </c>
      <c r="G6" s="44">
        <f t="shared" si="3"/>
        <v>3000</v>
      </c>
      <c r="H6" s="40">
        <f>COUNT(I6,J6,K6,L6,M6,N6,O6,P6,Q6,R6,S6,T6,U6,V6,W6,X6,Y6,Z6,AA6,AA6,AB6,AC6,AD6,AE6,AF6,AG6,AH6,AI6,AJ6,AK6,AL6,AM6,AN6,AO6,AP6,AQ6,AR6,AS6,AT6,AU6,AV6,AW6,#REF!,#REF!)</f>
        <v>1</v>
      </c>
      <c r="I6" s="71">
        <v>3000</v>
      </c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104"/>
      <c r="AU6" s="104"/>
      <c r="AV6" s="104"/>
      <c r="AW6" s="104"/>
    </row>
    <row r="7" spans="1:49" x14ac:dyDescent="0.25">
      <c r="A7" t="s">
        <v>33</v>
      </c>
      <c r="B7" s="30" t="s">
        <v>111</v>
      </c>
      <c r="C7" s="31">
        <v>2020</v>
      </c>
      <c r="D7" s="92">
        <f t="shared" si="0"/>
        <v>2000</v>
      </c>
      <c r="E7" s="44">
        <f t="shared" si="1"/>
        <v>2000</v>
      </c>
      <c r="F7" s="44">
        <f t="shared" si="2"/>
        <v>2000</v>
      </c>
      <c r="G7" s="44">
        <f t="shared" si="3"/>
        <v>2000</v>
      </c>
      <c r="H7" s="40">
        <f>COUNT(I7,J7,K7,L7,M7,N7,O7,P7,Q7,R7,S7,T7,U7,V7,W7,X7,Y7,Z7,AA7,AA7,AB7,AC7,AD7,AE7,AF7,AG7,AH7,AI7,AJ7,AK7,AL7,AM7,AN7,AO7,AP7,AQ7,AR7,AS7,AT7,AU7,AV7,AW7,#REF!,#REF!)</f>
        <v>1</v>
      </c>
      <c r="I7" s="71">
        <v>2000</v>
      </c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104"/>
      <c r="AU7" s="104"/>
      <c r="AV7" s="104"/>
      <c r="AW7" s="104"/>
    </row>
    <row r="8" spans="1:49" x14ac:dyDescent="0.25">
      <c r="A8" t="s">
        <v>34</v>
      </c>
      <c r="B8" s="30" t="s">
        <v>111</v>
      </c>
      <c r="C8" s="31">
        <v>2020</v>
      </c>
      <c r="D8" s="92">
        <f t="shared" si="0"/>
        <v>200</v>
      </c>
      <c r="E8" s="44">
        <f t="shared" si="1"/>
        <v>200</v>
      </c>
      <c r="F8" s="44">
        <f t="shared" si="2"/>
        <v>200</v>
      </c>
      <c r="G8" s="44">
        <f t="shared" si="3"/>
        <v>200</v>
      </c>
      <c r="H8" s="40">
        <f>COUNT(I8,J8,K8,L8,M8,N8,O8,P8,Q8,R8,S8,T8,U8,V8,W8,X8,Y8,Z8,AA8,AA8,AB8,AC8,AD8,AE8,AF8,AG8,AH8,AI8,AJ8,AK8,AL8,AM8,AN8,AO8,AP8,AQ8,AR8,AS8,AT8,AU8,AV8,AW8,#REF!,#REF!)</f>
        <v>1</v>
      </c>
      <c r="I8" s="71">
        <v>200</v>
      </c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104"/>
      <c r="AU8" s="104"/>
      <c r="AV8" s="104"/>
      <c r="AW8" s="104"/>
    </row>
    <row r="9" spans="1:49" x14ac:dyDescent="0.25">
      <c r="A9" t="s">
        <v>38</v>
      </c>
      <c r="B9" s="30" t="s">
        <v>111</v>
      </c>
      <c r="C9" s="31">
        <v>2020</v>
      </c>
      <c r="D9" s="92">
        <f t="shared" si="0"/>
        <v>940</v>
      </c>
      <c r="E9" s="44">
        <f t="shared" si="1"/>
        <v>940</v>
      </c>
      <c r="F9" s="44">
        <f t="shared" si="2"/>
        <v>940</v>
      </c>
      <c r="G9" s="44">
        <f t="shared" si="3"/>
        <v>940</v>
      </c>
      <c r="H9" s="40">
        <f>COUNT(I9,J9,K9,L9,M9,N9,O9,P9,Q9,R9,S9,T9,U9,V9,W9,X9,Y9,Z9,AA9,AA9,AB9,AC9,AD9,AE9,AF9,AG9,AH9,AI9,AJ9,AK9,AL9,AM9,AN9,AO9,AP9,AQ9,AR9,AS9,AT9,AU9,AV9,AW9,#REF!,#REF!)</f>
        <v>1</v>
      </c>
      <c r="I9" s="71">
        <v>940</v>
      </c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104"/>
      <c r="AU9" s="104"/>
      <c r="AV9" s="104"/>
      <c r="AW9" s="104"/>
    </row>
    <row r="10" spans="1:49" x14ac:dyDescent="0.25">
      <c r="A10" t="s">
        <v>39</v>
      </c>
      <c r="B10" s="30" t="s">
        <v>111</v>
      </c>
      <c r="C10" s="31">
        <v>2020</v>
      </c>
      <c r="D10" s="92">
        <f t="shared" si="0"/>
        <v>0</v>
      </c>
      <c r="E10" s="44">
        <f t="shared" si="1"/>
        <v>0</v>
      </c>
      <c r="F10" s="44">
        <f t="shared" si="2"/>
        <v>0</v>
      </c>
      <c r="G10" s="44">
        <f t="shared" si="3"/>
        <v>0</v>
      </c>
      <c r="H10" s="40">
        <f>COUNT(I10,J10,K10,L10,M10,N10,O10,P10,Q10,R10,S10,T10,U10,V10,W10,X10,Y10,Z10,AA10,AA10,AB10,AC10,AD10,AE10,AF10,AG10,AH10,AI10,AJ10,AK10,AL10,AM10,AN10,AO10,AP10,AQ10,AR10,AS10,AT10,AU10,AV10,AW10,#REF!,#REF!)</f>
        <v>1</v>
      </c>
      <c r="I10" s="71">
        <v>0</v>
      </c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104"/>
      <c r="AU10" s="104"/>
      <c r="AV10" s="104"/>
      <c r="AW10" s="104"/>
    </row>
    <row r="11" spans="1:49" x14ac:dyDescent="0.25">
      <c r="A11" t="s">
        <v>48</v>
      </c>
      <c r="B11" s="30" t="s">
        <v>111</v>
      </c>
      <c r="C11" s="31">
        <v>2020</v>
      </c>
      <c r="D11" s="92">
        <f t="shared" si="0"/>
        <v>25.491341463414635</v>
      </c>
      <c r="E11" s="44">
        <f t="shared" si="1"/>
        <v>24.849999999999998</v>
      </c>
      <c r="F11" s="44">
        <f t="shared" si="2"/>
        <v>6.4050000000000002</v>
      </c>
      <c r="G11" s="44">
        <f t="shared" si="3"/>
        <v>40.354999999999997</v>
      </c>
      <c r="H11" s="40">
        <f>COUNT(I11,J11,K11,L11,M11,N11,O11,P11,Q11,R11,S11,T11,U11,V11,W11,X11,Y11,Z11,AA11,AA11,AB11,AC11,AD11,AE11,AF11,AG11,AH11,AI11,AJ11,AK11,AL11,AM11,AN11,AO11,AP11,AQ11,AR11,AS11,AT11,AU11,AV11,AW11,#REF!,#REF!)</f>
        <v>42</v>
      </c>
      <c r="I11" s="71">
        <v>22.75</v>
      </c>
      <c r="J11" s="71">
        <v>18</v>
      </c>
      <c r="K11" s="71">
        <v>23.45</v>
      </c>
      <c r="L11" s="71">
        <v>22.05</v>
      </c>
      <c r="M11" s="71">
        <v>13.125</v>
      </c>
      <c r="N11" s="71">
        <v>14</v>
      </c>
      <c r="O11" s="71">
        <v>6.4050000000000002</v>
      </c>
      <c r="P11" s="71">
        <v>24.01</v>
      </c>
      <c r="Q11" s="71">
        <v>40.354999999999997</v>
      </c>
      <c r="R11" s="71">
        <v>25.2</v>
      </c>
      <c r="S11" s="71">
        <v>29.050000000000004</v>
      </c>
      <c r="T11" s="71">
        <v>18.900000000000002</v>
      </c>
      <c r="U11" s="71">
        <v>12.950000000000001</v>
      </c>
      <c r="V11" s="71">
        <v>26.95</v>
      </c>
      <c r="W11" s="71">
        <v>30.800000000000004</v>
      </c>
      <c r="X11" s="71">
        <v>24.5</v>
      </c>
      <c r="Y11" s="71">
        <v>23.8</v>
      </c>
      <c r="Z11" s="71">
        <v>22.75</v>
      </c>
      <c r="AA11" s="71">
        <v>36.050000000000004</v>
      </c>
      <c r="AB11" s="71">
        <v>25.900000000000002</v>
      </c>
      <c r="AC11" s="71">
        <v>28</v>
      </c>
      <c r="AD11" s="71">
        <v>32.550000000000004</v>
      </c>
      <c r="AE11" s="71">
        <v>29.400000000000002</v>
      </c>
      <c r="AF11" s="71">
        <v>24.5</v>
      </c>
      <c r="AG11" s="71">
        <v>29.050000000000004</v>
      </c>
      <c r="AH11" s="71">
        <v>30.099999999999998</v>
      </c>
      <c r="AI11" s="71">
        <v>31.5</v>
      </c>
      <c r="AJ11" s="71">
        <v>31.849999999999998</v>
      </c>
      <c r="AK11" s="71">
        <v>32.199999999999996</v>
      </c>
      <c r="AL11" s="71">
        <v>29.400000000000002</v>
      </c>
      <c r="AM11" s="71">
        <v>35.35</v>
      </c>
      <c r="AN11" s="71">
        <v>24.849999999999998</v>
      </c>
      <c r="AO11" s="71">
        <v>23.8</v>
      </c>
      <c r="AP11" s="71">
        <v>22.75</v>
      </c>
      <c r="AQ11" s="71">
        <v>27.650000000000002</v>
      </c>
      <c r="AR11" s="71">
        <v>30.099999999999998</v>
      </c>
      <c r="AS11" s="71">
        <v>21.349999999999998</v>
      </c>
      <c r="AT11" s="104">
        <v>22.05</v>
      </c>
      <c r="AU11" s="104">
        <v>20.650000000000002</v>
      </c>
      <c r="AV11" s="104">
        <v>21.349999999999998</v>
      </c>
      <c r="AW11" s="104">
        <v>35.699999999999996</v>
      </c>
    </row>
    <row r="12" spans="1:49" x14ac:dyDescent="0.25">
      <c r="A12" t="s">
        <v>53</v>
      </c>
      <c r="B12" s="30" t="s">
        <v>111</v>
      </c>
      <c r="C12" s="31">
        <v>2020</v>
      </c>
      <c r="D12" s="92">
        <f t="shared" si="0"/>
        <v>25</v>
      </c>
      <c r="E12" s="44">
        <f t="shared" si="1"/>
        <v>25</v>
      </c>
      <c r="F12" s="44">
        <f t="shared" si="2"/>
        <v>25</v>
      </c>
      <c r="G12" s="44">
        <f t="shared" si="3"/>
        <v>25</v>
      </c>
      <c r="H12" s="40">
        <f>COUNT(I12,J12,K12,L12,M12,N12,O12,P12,Q12,R12,S12,T12,U12,V12,W12,X12,Y12,Z12,AA12,AA12,AB12,AC12,AD12,AE12,AF12,AG12,AH12,AI12,AJ12,AK12,AL12,AM12,AN12,AO12,AP12,AQ12,AR12,AS12,AT12,AU12,AV12,AW12,#REF!,#REF!)</f>
        <v>1</v>
      </c>
      <c r="I12" s="71">
        <v>25</v>
      </c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104"/>
      <c r="AU12" s="104"/>
      <c r="AV12" s="104"/>
      <c r="AW12" s="104"/>
    </row>
    <row r="13" spans="1:49" x14ac:dyDescent="0.25">
      <c r="A13" t="s">
        <v>55</v>
      </c>
      <c r="B13" s="30" t="s">
        <v>111</v>
      </c>
      <c r="C13" s="31">
        <v>2020</v>
      </c>
      <c r="D13" s="92">
        <f t="shared" si="0"/>
        <v>1.9</v>
      </c>
      <c r="E13" s="44">
        <f t="shared" si="1"/>
        <v>1.9</v>
      </c>
      <c r="F13" s="44">
        <f t="shared" si="2"/>
        <v>1.9</v>
      </c>
      <c r="G13" s="44">
        <f t="shared" si="3"/>
        <v>1.9</v>
      </c>
      <c r="H13" s="40">
        <f>COUNT(I13,J13,K13,L13,M13,N13,O13,P13,Q13,R13,S13,T13,U13,V13,W13,X13,Y13,Z13,AA13,AA13,AB13,AC13,AD13,AE13,AF13,AG13,AH13,AI13,AJ13,AK13,AL13,AM13,AN13,AO13,AP13,AQ13,AR13,AS13,AT13,AU13,AV13,AW13,#REF!,#REF!)</f>
        <v>1</v>
      </c>
      <c r="I13" s="71">
        <v>1.9</v>
      </c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104"/>
      <c r="AU13" s="104"/>
      <c r="AV13" s="104"/>
      <c r="AW13" s="104"/>
    </row>
    <row r="14" spans="1:49" x14ac:dyDescent="0.25">
      <c r="A14" t="s">
        <v>57</v>
      </c>
      <c r="B14" s="30" t="s">
        <v>111</v>
      </c>
      <c r="C14" s="31">
        <v>2020</v>
      </c>
      <c r="D14" s="92">
        <f t="shared" si="0"/>
        <v>650</v>
      </c>
      <c r="E14" s="44">
        <f t="shared" si="1"/>
        <v>650</v>
      </c>
      <c r="F14" s="44">
        <f t="shared" si="2"/>
        <v>650</v>
      </c>
      <c r="G14" s="44">
        <f t="shared" si="3"/>
        <v>650</v>
      </c>
      <c r="H14" s="40">
        <f>COUNT(I14,J14,K14,L14,M14,N14,O14,P14,Q14,R14,S14,T14,U14,V14,W14,X14,Y14,Z14,AA14,AA14,AB14,AC14,AD14,AE14,AF14,AG14,AH14,AI14,AJ14,AK14,AL14,AM14,AN14,AO14,AP14,AQ14,AR14,AS14,AT14,AU14,AV14,AW14,#REF!,#REF!)</f>
        <v>1</v>
      </c>
      <c r="I14" s="71">
        <v>650</v>
      </c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104"/>
      <c r="AU14" s="104"/>
      <c r="AV14" s="104"/>
      <c r="AW14" s="104"/>
    </row>
    <row r="15" spans="1:49" x14ac:dyDescent="0.25">
      <c r="A15" s="26"/>
      <c r="B15" s="32"/>
      <c r="C15" s="32"/>
      <c r="D15" s="95"/>
      <c r="E15" s="26"/>
      <c r="F15" s="26"/>
      <c r="G15" s="26"/>
      <c r="H15" s="89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37"/>
      <c r="AU15" s="37"/>
      <c r="AV15" s="37"/>
      <c r="AW15" s="37"/>
    </row>
  </sheetData>
  <mergeCells count="1">
    <mergeCell ref="D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39997558519241921"/>
  </sheetPr>
  <dimension ref="A1:Q15"/>
  <sheetViews>
    <sheetView workbookViewId="0">
      <pane xSplit="1" topLeftCell="B1" activePane="topRight" state="frozen"/>
      <selection pane="topRight" activeCell="A13" sqref="A13"/>
    </sheetView>
  </sheetViews>
  <sheetFormatPr defaultRowHeight="15" x14ac:dyDescent="0.25"/>
  <cols>
    <col min="1" max="1" width="12.85546875" bestFit="1" customWidth="1"/>
    <col min="9" max="9" width="9.42578125" bestFit="1" customWidth="1"/>
    <col min="10" max="10" width="13.28515625" bestFit="1" customWidth="1"/>
    <col min="11" max="11" width="16.7109375" bestFit="1" customWidth="1"/>
    <col min="12" max="12" width="16.85546875" bestFit="1" customWidth="1"/>
    <col min="13" max="13" width="25.85546875" bestFit="1" customWidth="1"/>
    <col min="14" max="14" width="16.5703125" bestFit="1" customWidth="1"/>
    <col min="15" max="15" width="20.140625" bestFit="1" customWidth="1"/>
    <col min="16" max="16" width="27" bestFit="1" customWidth="1"/>
    <col min="17" max="17" width="19.140625" bestFit="1" customWidth="1"/>
  </cols>
  <sheetData>
    <row r="1" spans="1:17" x14ac:dyDescent="0.25">
      <c r="A1" s="53" t="s">
        <v>70</v>
      </c>
      <c r="B1" s="27" t="s">
        <v>71</v>
      </c>
      <c r="C1" s="27" t="s">
        <v>72</v>
      </c>
      <c r="D1" s="129" t="s">
        <v>73</v>
      </c>
      <c r="E1" s="130"/>
      <c r="F1" s="130"/>
      <c r="G1" s="130"/>
      <c r="H1" s="131"/>
      <c r="I1" s="59" t="s">
        <v>138</v>
      </c>
      <c r="J1" s="66" t="s">
        <v>139</v>
      </c>
      <c r="K1" s="61" t="s">
        <v>143</v>
      </c>
      <c r="L1" s="66" t="s">
        <v>180</v>
      </c>
      <c r="M1" s="61" t="s">
        <v>181</v>
      </c>
      <c r="N1" s="66" t="s">
        <v>182</v>
      </c>
      <c r="O1" s="61" t="s">
        <v>183</v>
      </c>
      <c r="P1" s="66" t="s">
        <v>184</v>
      </c>
      <c r="Q1" s="59" t="s">
        <v>185</v>
      </c>
    </row>
    <row r="2" spans="1:17" ht="87" customHeight="1" x14ac:dyDescent="0.25">
      <c r="A2" s="23"/>
      <c r="B2" s="28"/>
      <c r="C2" s="28"/>
      <c r="D2" s="90" t="s">
        <v>95</v>
      </c>
      <c r="E2" s="33" t="s">
        <v>96</v>
      </c>
      <c r="F2" s="33" t="s">
        <v>97</v>
      </c>
      <c r="G2" s="34" t="s">
        <v>98</v>
      </c>
      <c r="H2" s="36" t="s">
        <v>107</v>
      </c>
      <c r="I2" s="39" t="s">
        <v>75</v>
      </c>
      <c r="J2" s="67" t="s">
        <v>75</v>
      </c>
      <c r="K2" s="62" t="s">
        <v>75</v>
      </c>
      <c r="L2" s="67" t="s">
        <v>75</v>
      </c>
      <c r="M2" s="62" t="s">
        <v>75</v>
      </c>
      <c r="N2" s="67" t="s">
        <v>75</v>
      </c>
      <c r="O2" s="62" t="s">
        <v>75</v>
      </c>
      <c r="P2" s="67" t="s">
        <v>75</v>
      </c>
      <c r="Q2" s="39" t="s">
        <v>75</v>
      </c>
    </row>
    <row r="3" spans="1:17" x14ac:dyDescent="0.25">
      <c r="A3" s="24"/>
      <c r="B3" s="29"/>
      <c r="C3" s="30"/>
      <c r="D3" s="91"/>
      <c r="E3" s="24"/>
      <c r="F3" s="24"/>
      <c r="G3" s="24"/>
      <c r="H3" s="40"/>
      <c r="I3" s="104"/>
      <c r="J3" s="71"/>
      <c r="K3" s="71"/>
      <c r="L3" s="71"/>
      <c r="M3" s="71"/>
      <c r="N3" s="71"/>
      <c r="O3" s="71"/>
      <c r="P3" s="71"/>
      <c r="Q3" s="104"/>
    </row>
    <row r="4" spans="1:17" x14ac:dyDescent="0.25">
      <c r="A4" t="s">
        <v>3</v>
      </c>
      <c r="B4" s="30" t="s">
        <v>111</v>
      </c>
      <c r="C4" s="31">
        <v>2020</v>
      </c>
      <c r="D4" s="92">
        <f t="shared" ref="D4:D14" si="0">AVERAGE(I4,J4,K4,L4,M4,N4,O4,P4,Q4,R4,V4,Z4,AD4,AH4,AL4,AP4,AT4,AX4)</f>
        <v>33000</v>
      </c>
      <c r="E4" s="44">
        <f t="shared" ref="E4:E14" si="1">MEDIAN(I4,J4,K4,L4,M4,N4,O4,P4,Q4,R4,V4,Z4,AD4,AH4,AL4,AP4,AT4,AX4)</f>
        <v>33000</v>
      </c>
      <c r="F4" s="44">
        <f t="shared" ref="F4:F14" si="2">MIN(I4,J4,K4,L4,M4,N4,O4,P4,Q4,R4,V4,Z4,AD4,AH4,AL4,AP4,AT4,AX4)</f>
        <v>33000</v>
      </c>
      <c r="G4" s="44">
        <f t="shared" ref="G4:G14" si="3">MAX(I4,J4,K4,L4,M4,N4,O4,P4,Q4,R4,V4,Z4,AD4,AH4,AL4,AP4,AT4,AX4)</f>
        <v>33000</v>
      </c>
      <c r="H4" s="40">
        <f t="shared" ref="H4:H14" si="4">COUNT(I4,J4,K4,L4,M4,N4,O4,P4,Q4,R4,V4,Z4,AD4,AH4,AL4,AP4,AT4,AX4,BB4)</f>
        <v>1</v>
      </c>
      <c r="I4" s="104">
        <v>33000</v>
      </c>
      <c r="J4" s="71"/>
      <c r="K4" s="71"/>
      <c r="L4" s="71"/>
      <c r="M4" s="71"/>
      <c r="N4" s="71"/>
      <c r="O4" s="71"/>
      <c r="P4" s="71"/>
      <c r="Q4" s="104"/>
    </row>
    <row r="5" spans="1:17" x14ac:dyDescent="0.25">
      <c r="A5" t="s">
        <v>12</v>
      </c>
      <c r="B5" s="30" t="s">
        <v>111</v>
      </c>
      <c r="C5" s="31">
        <v>2020</v>
      </c>
      <c r="D5" s="92">
        <f t="shared" si="0"/>
        <v>3700</v>
      </c>
      <c r="E5" s="44">
        <f t="shared" si="1"/>
        <v>3700</v>
      </c>
      <c r="F5" s="44">
        <f t="shared" si="2"/>
        <v>3700</v>
      </c>
      <c r="G5" s="44">
        <f t="shared" si="3"/>
        <v>3700</v>
      </c>
      <c r="H5" s="40">
        <f t="shared" si="4"/>
        <v>1</v>
      </c>
      <c r="I5" s="104">
        <v>3700</v>
      </c>
      <c r="J5" s="71"/>
      <c r="K5" s="71"/>
      <c r="L5" s="71"/>
      <c r="M5" s="71"/>
      <c r="N5" s="71"/>
      <c r="O5" s="71"/>
      <c r="P5" s="71"/>
      <c r="Q5" s="104"/>
    </row>
    <row r="6" spans="1:17" x14ac:dyDescent="0.25">
      <c r="A6" t="s">
        <v>32</v>
      </c>
      <c r="B6" s="30" t="s">
        <v>111</v>
      </c>
      <c r="C6" s="31">
        <v>2020</v>
      </c>
      <c r="D6" s="92">
        <f t="shared" si="0"/>
        <v>2600</v>
      </c>
      <c r="E6" s="44">
        <f t="shared" si="1"/>
        <v>2600</v>
      </c>
      <c r="F6" s="44">
        <f t="shared" si="2"/>
        <v>2600</v>
      </c>
      <c r="G6" s="44">
        <f t="shared" si="3"/>
        <v>2600</v>
      </c>
      <c r="H6" s="40">
        <f t="shared" si="4"/>
        <v>1</v>
      </c>
      <c r="I6" s="104">
        <v>2600</v>
      </c>
      <c r="J6" s="71"/>
      <c r="K6" s="71"/>
      <c r="L6" s="71"/>
      <c r="M6" s="71"/>
      <c r="N6" s="71"/>
      <c r="O6" s="71"/>
      <c r="P6" s="71"/>
      <c r="Q6" s="104"/>
    </row>
    <row r="7" spans="1:17" x14ac:dyDescent="0.25">
      <c r="A7" t="s">
        <v>33</v>
      </c>
      <c r="B7" s="30" t="s">
        <v>111</v>
      </c>
      <c r="C7" s="31">
        <v>2020</v>
      </c>
      <c r="D7" s="92">
        <f t="shared" si="0"/>
        <v>5700</v>
      </c>
      <c r="E7" s="44">
        <f t="shared" si="1"/>
        <v>5700</v>
      </c>
      <c r="F7" s="44">
        <f t="shared" si="2"/>
        <v>5700</v>
      </c>
      <c r="G7" s="44">
        <f t="shared" si="3"/>
        <v>5700</v>
      </c>
      <c r="H7" s="40">
        <f t="shared" si="4"/>
        <v>1</v>
      </c>
      <c r="I7" s="104">
        <v>5700</v>
      </c>
      <c r="J7" s="71"/>
      <c r="K7" s="71"/>
      <c r="L7" s="71"/>
      <c r="M7" s="71"/>
      <c r="N7" s="71"/>
      <c r="O7" s="71"/>
      <c r="P7" s="71"/>
      <c r="Q7" s="104"/>
    </row>
    <row r="8" spans="1:17" x14ac:dyDescent="0.25">
      <c r="A8" t="s">
        <v>34</v>
      </c>
      <c r="B8" s="30" t="s">
        <v>111</v>
      </c>
      <c r="C8" s="31">
        <v>2020</v>
      </c>
      <c r="D8" s="92">
        <f t="shared" si="0"/>
        <v>56</v>
      </c>
      <c r="E8" s="44">
        <f t="shared" si="1"/>
        <v>56</v>
      </c>
      <c r="F8" s="44">
        <f t="shared" si="2"/>
        <v>56</v>
      </c>
      <c r="G8" s="44">
        <f t="shared" si="3"/>
        <v>56</v>
      </c>
      <c r="H8" s="40">
        <f t="shared" si="4"/>
        <v>1</v>
      </c>
      <c r="I8" s="104">
        <v>56</v>
      </c>
      <c r="J8" s="71"/>
      <c r="K8" s="71"/>
      <c r="L8" s="71"/>
      <c r="M8" s="71"/>
      <c r="N8" s="71"/>
      <c r="O8" s="71"/>
      <c r="P8" s="71"/>
      <c r="Q8" s="104"/>
    </row>
    <row r="9" spans="1:17" x14ac:dyDescent="0.25">
      <c r="A9" t="s">
        <v>38</v>
      </c>
      <c r="B9" s="30" t="s">
        <v>111</v>
      </c>
      <c r="C9" s="31">
        <v>2020</v>
      </c>
      <c r="D9" s="92">
        <f t="shared" si="0"/>
        <v>1800</v>
      </c>
      <c r="E9" s="44">
        <f t="shared" si="1"/>
        <v>1800</v>
      </c>
      <c r="F9" s="44">
        <f t="shared" si="2"/>
        <v>1800</v>
      </c>
      <c r="G9" s="44">
        <f t="shared" si="3"/>
        <v>1800</v>
      </c>
      <c r="H9" s="40">
        <f t="shared" si="4"/>
        <v>1</v>
      </c>
      <c r="I9" s="104">
        <v>1800</v>
      </c>
      <c r="J9" s="71"/>
      <c r="K9" s="71"/>
      <c r="L9" s="71"/>
      <c r="M9" s="71"/>
      <c r="N9" s="71"/>
      <c r="O9" s="71"/>
      <c r="P9" s="71"/>
      <c r="Q9" s="104"/>
    </row>
    <row r="10" spans="1:17" x14ac:dyDescent="0.25">
      <c r="A10" t="s">
        <v>39</v>
      </c>
      <c r="B10" s="30" t="s">
        <v>111</v>
      </c>
      <c r="C10" s="31">
        <v>2020</v>
      </c>
      <c r="D10" s="92">
        <f t="shared" si="0"/>
        <v>140</v>
      </c>
      <c r="E10" s="44">
        <f t="shared" si="1"/>
        <v>140</v>
      </c>
      <c r="F10" s="44">
        <f t="shared" si="2"/>
        <v>140</v>
      </c>
      <c r="G10" s="44">
        <f t="shared" si="3"/>
        <v>140</v>
      </c>
      <c r="H10" s="40">
        <f t="shared" si="4"/>
        <v>1</v>
      </c>
      <c r="I10" s="104">
        <v>140</v>
      </c>
      <c r="J10" s="71"/>
      <c r="K10" s="71"/>
      <c r="L10" s="71"/>
      <c r="M10" s="71"/>
      <c r="N10" s="71"/>
      <c r="O10" s="71"/>
      <c r="P10" s="71"/>
      <c r="Q10" s="104"/>
    </row>
    <row r="11" spans="1:17" x14ac:dyDescent="0.25">
      <c r="A11" t="s">
        <v>48</v>
      </c>
      <c r="B11" s="30" t="s">
        <v>111</v>
      </c>
      <c r="C11" s="31">
        <v>2020</v>
      </c>
      <c r="D11" s="92">
        <f t="shared" si="0"/>
        <v>37.128333333333337</v>
      </c>
      <c r="E11" s="44">
        <f t="shared" si="1"/>
        <v>26.5</v>
      </c>
      <c r="F11" s="44">
        <f t="shared" si="2"/>
        <v>16</v>
      </c>
      <c r="G11" s="44">
        <f t="shared" si="3"/>
        <v>120.19000000000001</v>
      </c>
      <c r="H11" s="40">
        <f t="shared" si="4"/>
        <v>9</v>
      </c>
      <c r="I11" s="104">
        <v>16</v>
      </c>
      <c r="J11" s="71">
        <v>26.5</v>
      </c>
      <c r="K11" s="71">
        <v>28</v>
      </c>
      <c r="L11" s="71">
        <v>22.715</v>
      </c>
      <c r="M11" s="71">
        <v>30.449999999999996</v>
      </c>
      <c r="N11" s="71">
        <v>23.204999999999998</v>
      </c>
      <c r="O11" s="71">
        <v>47.74</v>
      </c>
      <c r="P11" s="71">
        <v>19.355</v>
      </c>
      <c r="Q11" s="104">
        <v>120.19000000000001</v>
      </c>
    </row>
    <row r="12" spans="1:17" x14ac:dyDescent="0.25">
      <c r="A12" t="s">
        <v>53</v>
      </c>
      <c r="B12" s="30" t="s">
        <v>111</v>
      </c>
      <c r="C12" s="31">
        <v>2020</v>
      </c>
      <c r="D12" s="92">
        <f t="shared" si="0"/>
        <v>0</v>
      </c>
      <c r="E12" s="44">
        <f t="shared" si="1"/>
        <v>0</v>
      </c>
      <c r="F12" s="44">
        <f t="shared" si="2"/>
        <v>0</v>
      </c>
      <c r="G12" s="44">
        <f t="shared" si="3"/>
        <v>0</v>
      </c>
      <c r="H12" s="40">
        <f t="shared" si="4"/>
        <v>1</v>
      </c>
      <c r="I12" s="104">
        <v>0</v>
      </c>
      <c r="J12" s="71"/>
      <c r="K12" s="71"/>
      <c r="L12" s="71"/>
      <c r="M12" s="71"/>
      <c r="N12" s="71"/>
      <c r="O12" s="71"/>
      <c r="P12" s="71"/>
      <c r="Q12" s="104"/>
    </row>
    <row r="13" spans="1:17" x14ac:dyDescent="0.25">
      <c r="A13" t="s">
        <v>55</v>
      </c>
      <c r="B13" s="30" t="s">
        <v>111</v>
      </c>
      <c r="C13" s="31">
        <v>2020</v>
      </c>
      <c r="D13" s="92">
        <f t="shared" si="0"/>
        <v>1.7</v>
      </c>
      <c r="E13" s="44">
        <f t="shared" si="1"/>
        <v>1.7</v>
      </c>
      <c r="F13" s="44">
        <f t="shared" si="2"/>
        <v>1.7</v>
      </c>
      <c r="G13" s="44">
        <f t="shared" si="3"/>
        <v>1.7</v>
      </c>
      <c r="H13" s="40">
        <f t="shared" si="4"/>
        <v>1</v>
      </c>
      <c r="I13" s="104">
        <v>1.7</v>
      </c>
      <c r="J13" s="71"/>
      <c r="K13" s="71"/>
      <c r="L13" s="71"/>
      <c r="M13" s="71"/>
      <c r="N13" s="71"/>
      <c r="O13" s="71"/>
      <c r="P13" s="71"/>
      <c r="Q13" s="104"/>
    </row>
    <row r="14" spans="1:17" x14ac:dyDescent="0.25">
      <c r="A14" t="s">
        <v>57</v>
      </c>
      <c r="B14" s="30" t="s">
        <v>111</v>
      </c>
      <c r="C14" s="31">
        <v>2020</v>
      </c>
      <c r="D14" s="92">
        <f t="shared" si="0"/>
        <v>1400</v>
      </c>
      <c r="E14" s="44">
        <f t="shared" si="1"/>
        <v>1400</v>
      </c>
      <c r="F14" s="44">
        <f t="shared" si="2"/>
        <v>1400</v>
      </c>
      <c r="G14" s="44">
        <f t="shared" si="3"/>
        <v>1400</v>
      </c>
      <c r="H14" s="40">
        <f t="shared" si="4"/>
        <v>1</v>
      </c>
      <c r="I14" s="104">
        <v>1400</v>
      </c>
      <c r="J14" s="71"/>
      <c r="K14" s="71"/>
      <c r="L14" s="71"/>
      <c r="M14" s="71"/>
      <c r="N14" s="71"/>
      <c r="O14" s="71"/>
      <c r="P14" s="71"/>
      <c r="Q14" s="104"/>
    </row>
    <row r="15" spans="1:17" x14ac:dyDescent="0.25">
      <c r="A15" s="26"/>
      <c r="B15" s="32"/>
      <c r="C15" s="32"/>
      <c r="D15" s="26"/>
      <c r="E15" s="26"/>
      <c r="F15" s="26"/>
      <c r="G15" s="26"/>
      <c r="H15" s="89"/>
      <c r="I15" s="37"/>
      <c r="J15" s="65"/>
      <c r="K15" s="65"/>
      <c r="L15" s="65"/>
      <c r="M15" s="65"/>
      <c r="N15" s="65"/>
      <c r="O15" s="65"/>
      <c r="P15" s="65"/>
      <c r="Q15" s="37"/>
    </row>
  </sheetData>
  <mergeCells count="1">
    <mergeCell ref="D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249977111117893"/>
  </sheetPr>
  <dimension ref="A1:L22"/>
  <sheetViews>
    <sheetView workbookViewId="0">
      <pane xSplit="1" topLeftCell="B1" activePane="topRight" state="frozen"/>
      <selection pane="topRight" activeCell="C4" sqref="C4:C21"/>
    </sheetView>
  </sheetViews>
  <sheetFormatPr defaultRowHeight="15" x14ac:dyDescent="0.25"/>
  <cols>
    <col min="1" max="1" width="12.85546875" bestFit="1" customWidth="1"/>
    <col min="2" max="2" width="7.42578125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1.42578125" bestFit="1" customWidth="1"/>
  </cols>
  <sheetData>
    <row r="1" spans="1:12" x14ac:dyDescent="0.25">
      <c r="A1" s="46" t="s">
        <v>70</v>
      </c>
      <c r="B1" s="27" t="s">
        <v>71</v>
      </c>
      <c r="C1" s="27" t="s">
        <v>72</v>
      </c>
      <c r="D1" s="129" t="s">
        <v>73</v>
      </c>
      <c r="E1" s="130"/>
      <c r="F1" s="130"/>
      <c r="G1" s="130"/>
      <c r="H1" s="131"/>
      <c r="I1" s="61" t="s">
        <v>116</v>
      </c>
      <c r="J1" s="55" t="s">
        <v>128</v>
      </c>
      <c r="K1" s="59" t="s">
        <v>186</v>
      </c>
      <c r="L1" s="55" t="s">
        <v>187</v>
      </c>
    </row>
    <row r="2" spans="1:12" ht="40.5" x14ac:dyDescent="0.25">
      <c r="A2" s="23"/>
      <c r="B2" s="28"/>
      <c r="C2" s="28"/>
      <c r="D2" s="90" t="s">
        <v>95</v>
      </c>
      <c r="E2" s="33" t="s">
        <v>96</v>
      </c>
      <c r="F2" s="33" t="s">
        <v>97</v>
      </c>
      <c r="G2" s="34" t="s">
        <v>98</v>
      </c>
      <c r="H2" s="36" t="s">
        <v>107</v>
      </c>
      <c r="I2" s="62" t="s">
        <v>75</v>
      </c>
      <c r="J2" s="41" t="s">
        <v>75</v>
      </c>
      <c r="K2" s="39" t="s">
        <v>75</v>
      </c>
      <c r="L2" s="41" t="s">
        <v>75</v>
      </c>
    </row>
    <row r="3" spans="1:12" x14ac:dyDescent="0.25">
      <c r="A3" s="24"/>
      <c r="B3" s="29"/>
      <c r="C3" s="30"/>
      <c r="D3" s="91"/>
      <c r="E3" s="24"/>
      <c r="F3" s="24"/>
      <c r="G3" s="24"/>
      <c r="H3" s="40"/>
      <c r="I3" s="71"/>
      <c r="J3" s="104"/>
      <c r="K3" s="104"/>
      <c r="L3" s="104"/>
    </row>
    <row r="4" spans="1:12" x14ac:dyDescent="0.25">
      <c r="A4" t="s">
        <v>3</v>
      </c>
      <c r="B4" s="30" t="s">
        <v>111</v>
      </c>
      <c r="C4" s="31">
        <v>2020</v>
      </c>
      <c r="D4" s="92">
        <f t="shared" ref="D4:D21" si="0">AVERAGE(I4,J4,K4,L4,M4,Q4,U4,Y4,AC4,AG4,AK4,AO4,AS4,AW4,BA4,BE4,BI4,BM4)</f>
        <v>165</v>
      </c>
      <c r="E4" s="44">
        <f t="shared" ref="E4:E21" si="1">MEDIAN(I4,J4,K4,L4,M4,Q4,U4,Y4,AC4,AG4,AK4,AO4,AS4,AW4,BA4,BE4,BI4,BM4)</f>
        <v>165</v>
      </c>
      <c r="F4" s="44">
        <f t="shared" ref="F4:F21" si="2">MIN(I4,J4,K4,L4,M4,Q4,U4,Y4,AC4,AG4,AK4,AO4,AS4,AW4,BA4,BE4,BI4,BM4)</f>
        <v>130</v>
      </c>
      <c r="G4" s="44">
        <f t="shared" ref="G4:G21" si="3">MAX(I4,J4,K4,L4,M4,Q4,U4,Y4,AC4,AG4,AK4,AO4,AS4,AW4,BA4,BE4,BI4,BM4)</f>
        <v>200</v>
      </c>
      <c r="H4" s="40">
        <f t="shared" ref="H4:H21" si="4">COUNT(I4,J4,K4,L4,M4,Q4,U4,Y4,AC4,AG4,AK4,AO4,AS4,AW4,BA4,BE4,BI4,BM4,BQ4)</f>
        <v>2</v>
      </c>
      <c r="I4" s="101"/>
      <c r="J4" s="104"/>
      <c r="K4" s="104">
        <v>200</v>
      </c>
      <c r="L4" s="104">
        <v>130</v>
      </c>
    </row>
    <row r="5" spans="1:12" x14ac:dyDescent="0.25">
      <c r="A5" t="s">
        <v>106</v>
      </c>
      <c r="B5" s="30" t="s">
        <v>111</v>
      </c>
      <c r="C5" s="31">
        <v>2020</v>
      </c>
      <c r="D5" s="92">
        <f t="shared" si="0"/>
        <v>10</v>
      </c>
      <c r="E5" s="44">
        <f t="shared" si="1"/>
        <v>10</v>
      </c>
      <c r="F5" s="44">
        <f t="shared" si="2"/>
        <v>10</v>
      </c>
      <c r="G5" s="44">
        <f t="shared" si="3"/>
        <v>10</v>
      </c>
      <c r="H5" s="40">
        <f t="shared" si="4"/>
        <v>1</v>
      </c>
      <c r="I5" s="101"/>
      <c r="J5" s="104"/>
      <c r="K5" s="104"/>
      <c r="L5" s="104">
        <v>10</v>
      </c>
    </row>
    <row r="6" spans="1:12" x14ac:dyDescent="0.25">
      <c r="A6" t="s">
        <v>188</v>
      </c>
      <c r="B6" s="30" t="s">
        <v>111</v>
      </c>
      <c r="C6" s="31">
        <v>2020</v>
      </c>
      <c r="D6" s="92">
        <f t="shared" si="0"/>
        <v>40</v>
      </c>
      <c r="E6" s="44">
        <f t="shared" si="1"/>
        <v>40</v>
      </c>
      <c r="F6" s="44">
        <f t="shared" si="2"/>
        <v>40</v>
      </c>
      <c r="G6" s="44">
        <f t="shared" si="3"/>
        <v>40</v>
      </c>
      <c r="H6" s="40">
        <f t="shared" si="4"/>
        <v>1</v>
      </c>
      <c r="I6" s="101"/>
      <c r="J6" s="104"/>
      <c r="K6" s="104"/>
      <c r="L6" s="104">
        <v>40</v>
      </c>
    </row>
    <row r="7" spans="1:12" x14ac:dyDescent="0.25">
      <c r="A7" t="s">
        <v>10</v>
      </c>
      <c r="B7" s="30" t="s">
        <v>111</v>
      </c>
      <c r="C7" s="31">
        <v>2020</v>
      </c>
      <c r="D7" s="92">
        <f t="shared" si="0"/>
        <v>5.25</v>
      </c>
      <c r="E7" s="44">
        <f t="shared" si="1"/>
        <v>5.25</v>
      </c>
      <c r="F7" s="44">
        <f t="shared" si="2"/>
        <v>0.5</v>
      </c>
      <c r="G7" s="44">
        <f t="shared" si="3"/>
        <v>10</v>
      </c>
      <c r="H7" s="40">
        <f t="shared" si="4"/>
        <v>2</v>
      </c>
      <c r="I7" s="71">
        <v>0.5</v>
      </c>
      <c r="J7" s="104"/>
      <c r="K7" s="104"/>
      <c r="L7" s="104">
        <v>10</v>
      </c>
    </row>
    <row r="8" spans="1:12" x14ac:dyDescent="0.25">
      <c r="A8" t="s">
        <v>12</v>
      </c>
      <c r="B8" s="30" t="s">
        <v>111</v>
      </c>
      <c r="C8" s="31">
        <v>2020</v>
      </c>
      <c r="D8" s="92">
        <f t="shared" si="0"/>
        <v>829.17499999999995</v>
      </c>
      <c r="E8" s="44">
        <f t="shared" si="1"/>
        <v>388.35</v>
      </c>
      <c r="F8" s="44">
        <f t="shared" si="2"/>
        <v>350</v>
      </c>
      <c r="G8" s="44">
        <f t="shared" si="3"/>
        <v>2190</v>
      </c>
      <c r="H8" s="40">
        <f t="shared" si="4"/>
        <v>4</v>
      </c>
      <c r="I8" s="71">
        <v>426.70000000000005</v>
      </c>
      <c r="J8" s="104">
        <v>350</v>
      </c>
      <c r="K8" s="104">
        <v>2190</v>
      </c>
      <c r="L8" s="104">
        <v>350</v>
      </c>
    </row>
    <row r="9" spans="1:12" x14ac:dyDescent="0.25">
      <c r="A9" t="s">
        <v>23</v>
      </c>
      <c r="B9" s="30" t="s">
        <v>111</v>
      </c>
      <c r="C9" s="31">
        <v>2020</v>
      </c>
      <c r="D9" s="92">
        <f t="shared" si="0"/>
        <v>0.5</v>
      </c>
      <c r="E9" s="44">
        <f t="shared" si="1"/>
        <v>0.5</v>
      </c>
      <c r="F9" s="44">
        <f t="shared" si="2"/>
        <v>0.5</v>
      </c>
      <c r="G9" s="44">
        <f t="shared" si="3"/>
        <v>0.5</v>
      </c>
      <c r="H9" s="40">
        <f t="shared" si="4"/>
        <v>1</v>
      </c>
      <c r="I9" s="71">
        <v>0.5</v>
      </c>
      <c r="J9" s="104"/>
      <c r="K9" s="104"/>
      <c r="L9" s="104"/>
    </row>
    <row r="10" spans="1:12" x14ac:dyDescent="0.25">
      <c r="A10" t="s">
        <v>25</v>
      </c>
      <c r="B10" s="30" t="s">
        <v>111</v>
      </c>
      <c r="C10" s="31">
        <v>2020</v>
      </c>
      <c r="D10" s="92">
        <f t="shared" si="0"/>
        <v>5.8</v>
      </c>
      <c r="E10" s="44">
        <f t="shared" si="1"/>
        <v>5.8000000000000007</v>
      </c>
      <c r="F10" s="44">
        <f t="shared" si="2"/>
        <v>1.6</v>
      </c>
      <c r="G10" s="44">
        <f t="shared" si="3"/>
        <v>10</v>
      </c>
      <c r="H10" s="40">
        <f t="shared" si="4"/>
        <v>2</v>
      </c>
      <c r="I10" s="71">
        <v>1.6</v>
      </c>
      <c r="J10" s="104"/>
      <c r="K10" s="104"/>
      <c r="L10" s="104">
        <v>10</v>
      </c>
    </row>
    <row r="11" spans="1:12" x14ac:dyDescent="0.25">
      <c r="A11" t="s">
        <v>29</v>
      </c>
      <c r="B11" s="30" t="s">
        <v>111</v>
      </c>
      <c r="C11" s="31">
        <v>2020</v>
      </c>
      <c r="D11" s="92">
        <f t="shared" si="0"/>
        <v>28.099999999999998</v>
      </c>
      <c r="E11" s="44">
        <f t="shared" si="1"/>
        <v>40</v>
      </c>
      <c r="F11" s="44">
        <f t="shared" si="2"/>
        <v>4.3</v>
      </c>
      <c r="G11" s="44">
        <f t="shared" si="3"/>
        <v>40</v>
      </c>
      <c r="H11" s="40">
        <f t="shared" si="4"/>
        <v>3</v>
      </c>
      <c r="I11" s="101">
        <v>4.3</v>
      </c>
      <c r="J11" s="104">
        <v>40</v>
      </c>
      <c r="K11" s="104"/>
      <c r="L11" s="104">
        <v>40</v>
      </c>
    </row>
    <row r="12" spans="1:12" x14ac:dyDescent="0.25">
      <c r="A12" t="s">
        <v>33</v>
      </c>
      <c r="B12" s="30" t="s">
        <v>111</v>
      </c>
      <c r="C12" s="31">
        <v>2020</v>
      </c>
      <c r="D12" s="92">
        <f t="shared" si="0"/>
        <v>295.09500000000003</v>
      </c>
      <c r="E12" s="44">
        <f t="shared" si="1"/>
        <v>295.09500000000003</v>
      </c>
      <c r="F12" s="44">
        <f t="shared" si="2"/>
        <v>75.19</v>
      </c>
      <c r="G12" s="44">
        <f t="shared" si="3"/>
        <v>515</v>
      </c>
      <c r="H12" s="40">
        <f t="shared" si="4"/>
        <v>2</v>
      </c>
      <c r="I12" s="101"/>
      <c r="J12" s="104"/>
      <c r="K12" s="104">
        <v>75.19</v>
      </c>
      <c r="L12" s="104">
        <v>515</v>
      </c>
    </row>
    <row r="13" spans="1:12" x14ac:dyDescent="0.25">
      <c r="A13" t="s">
        <v>34</v>
      </c>
      <c r="B13" s="30" t="s">
        <v>111</v>
      </c>
      <c r="C13" s="31">
        <v>2020</v>
      </c>
      <c r="D13" s="92">
        <f t="shared" si="0"/>
        <v>70.8</v>
      </c>
      <c r="E13" s="44">
        <f t="shared" si="1"/>
        <v>70.8</v>
      </c>
      <c r="F13" s="44">
        <f t="shared" si="2"/>
        <v>70.8</v>
      </c>
      <c r="G13" s="44">
        <f t="shared" si="3"/>
        <v>70.8</v>
      </c>
      <c r="H13" s="40">
        <f t="shared" si="4"/>
        <v>1</v>
      </c>
      <c r="I13" s="101">
        <v>70.8</v>
      </c>
      <c r="J13" s="104"/>
      <c r="K13" s="104"/>
      <c r="L13" s="104"/>
    </row>
    <row r="14" spans="1:12" x14ac:dyDescent="0.25">
      <c r="A14" t="s">
        <v>38</v>
      </c>
      <c r="B14" s="30" t="s">
        <v>111</v>
      </c>
      <c r="C14" s="31">
        <v>2020</v>
      </c>
      <c r="D14" s="92">
        <f t="shared" si="0"/>
        <v>285.16666666666669</v>
      </c>
      <c r="E14" s="44">
        <f t="shared" si="1"/>
        <v>300</v>
      </c>
      <c r="F14" s="44">
        <f t="shared" si="2"/>
        <v>255.5</v>
      </c>
      <c r="G14" s="44">
        <f t="shared" si="3"/>
        <v>300</v>
      </c>
      <c r="H14" s="40">
        <f t="shared" si="4"/>
        <v>3</v>
      </c>
      <c r="I14" s="101">
        <v>255.5</v>
      </c>
      <c r="J14" s="104">
        <v>300</v>
      </c>
      <c r="K14" s="104"/>
      <c r="L14" s="104">
        <v>300</v>
      </c>
    </row>
    <row r="15" spans="1:12" x14ac:dyDescent="0.25">
      <c r="A15" t="s">
        <v>39</v>
      </c>
      <c r="B15" s="30" t="s">
        <v>111</v>
      </c>
      <c r="C15" s="31">
        <v>2020</v>
      </c>
      <c r="D15" s="92">
        <f t="shared" si="0"/>
        <v>2</v>
      </c>
      <c r="E15" s="44">
        <f t="shared" si="1"/>
        <v>2</v>
      </c>
      <c r="F15" s="44">
        <f t="shared" si="2"/>
        <v>2</v>
      </c>
      <c r="G15" s="44">
        <f t="shared" si="3"/>
        <v>2</v>
      </c>
      <c r="H15" s="40">
        <f t="shared" si="4"/>
        <v>1</v>
      </c>
      <c r="I15" s="101">
        <v>2</v>
      </c>
      <c r="J15" s="104"/>
      <c r="K15" s="104"/>
      <c r="L15" s="104"/>
    </row>
    <row r="16" spans="1:12" x14ac:dyDescent="0.25">
      <c r="A16" t="s">
        <v>48</v>
      </c>
      <c r="B16" s="30" t="s">
        <v>111</v>
      </c>
      <c r="C16" s="31">
        <v>2020</v>
      </c>
      <c r="D16" s="92">
        <f t="shared" si="0"/>
        <v>9.15</v>
      </c>
      <c r="E16" s="44">
        <f t="shared" si="1"/>
        <v>9.15</v>
      </c>
      <c r="F16" s="44">
        <f t="shared" si="2"/>
        <v>8.3000000000000007</v>
      </c>
      <c r="G16" s="44">
        <f t="shared" si="3"/>
        <v>10</v>
      </c>
      <c r="H16" s="40">
        <f t="shared" si="4"/>
        <v>2</v>
      </c>
      <c r="I16" s="101">
        <v>8.3000000000000007</v>
      </c>
      <c r="J16" s="104"/>
      <c r="K16" s="104"/>
      <c r="L16" s="104">
        <v>10</v>
      </c>
    </row>
    <row r="17" spans="1:12" x14ac:dyDescent="0.25">
      <c r="A17" t="s">
        <v>89</v>
      </c>
      <c r="B17" s="30" t="s">
        <v>111</v>
      </c>
      <c r="C17" s="31">
        <v>2020</v>
      </c>
      <c r="D17" s="92">
        <f t="shared" si="0"/>
        <v>4.5999999999999996</v>
      </c>
      <c r="E17" s="44">
        <f t="shared" si="1"/>
        <v>4.5999999999999996</v>
      </c>
      <c r="F17" s="44">
        <f t="shared" si="2"/>
        <v>4.5999999999999996</v>
      </c>
      <c r="G17" s="44">
        <f t="shared" si="3"/>
        <v>4.5999999999999996</v>
      </c>
      <c r="H17" s="40">
        <f t="shared" si="4"/>
        <v>1</v>
      </c>
      <c r="I17" s="101">
        <v>4.5999999999999996</v>
      </c>
      <c r="J17" s="104"/>
      <c r="K17" s="104"/>
      <c r="L17" s="104"/>
    </row>
    <row r="18" spans="1:12" x14ac:dyDescent="0.25">
      <c r="A18" t="s">
        <v>54</v>
      </c>
      <c r="B18" s="30" t="s">
        <v>111</v>
      </c>
      <c r="C18" s="31">
        <v>2020</v>
      </c>
      <c r="D18" s="92">
        <f t="shared" si="0"/>
        <v>5</v>
      </c>
      <c r="E18" s="44">
        <f t="shared" si="1"/>
        <v>5</v>
      </c>
      <c r="F18" s="44">
        <f t="shared" si="2"/>
        <v>5</v>
      </c>
      <c r="G18" s="44">
        <f t="shared" si="3"/>
        <v>5</v>
      </c>
      <c r="H18" s="40">
        <f t="shared" si="4"/>
        <v>1</v>
      </c>
      <c r="I18" s="101">
        <v>5</v>
      </c>
      <c r="J18" s="104"/>
      <c r="K18" s="104"/>
      <c r="L18" s="104"/>
    </row>
    <row r="19" spans="1:12" x14ac:dyDescent="0.25">
      <c r="A19" t="s">
        <v>55</v>
      </c>
      <c r="B19" s="30" t="s">
        <v>111</v>
      </c>
      <c r="C19" s="31">
        <v>2020</v>
      </c>
      <c r="D19" s="92">
        <f t="shared" si="0"/>
        <v>0.6</v>
      </c>
      <c r="E19" s="44">
        <f t="shared" si="1"/>
        <v>0.6</v>
      </c>
      <c r="F19" s="44">
        <f t="shared" si="2"/>
        <v>0.6</v>
      </c>
      <c r="G19" s="44">
        <f t="shared" si="3"/>
        <v>0.6</v>
      </c>
      <c r="H19" s="40">
        <f t="shared" si="4"/>
        <v>1</v>
      </c>
      <c r="I19" s="101">
        <v>0.6</v>
      </c>
      <c r="J19" s="104"/>
      <c r="K19" s="104"/>
      <c r="L19" s="104"/>
    </row>
    <row r="20" spans="1:12" x14ac:dyDescent="0.25">
      <c r="A20" t="s">
        <v>56</v>
      </c>
      <c r="B20" s="30" t="s">
        <v>111</v>
      </c>
      <c r="C20" s="31">
        <v>2020</v>
      </c>
      <c r="D20" s="92">
        <f t="shared" si="0"/>
        <v>0.5</v>
      </c>
      <c r="E20" s="44">
        <f t="shared" si="1"/>
        <v>0.5</v>
      </c>
      <c r="F20" s="44">
        <f t="shared" si="2"/>
        <v>0.5</v>
      </c>
      <c r="G20" s="44">
        <f t="shared" si="3"/>
        <v>0.5</v>
      </c>
      <c r="H20" s="40">
        <f t="shared" si="4"/>
        <v>1</v>
      </c>
      <c r="I20" s="101">
        <v>0.5</v>
      </c>
      <c r="J20" s="104"/>
      <c r="K20" s="104"/>
      <c r="L20" s="104"/>
    </row>
    <row r="21" spans="1:12" x14ac:dyDescent="0.25">
      <c r="A21" t="s">
        <v>58</v>
      </c>
      <c r="B21" s="30" t="s">
        <v>111</v>
      </c>
      <c r="C21" s="31">
        <v>2020</v>
      </c>
      <c r="D21" s="92">
        <f t="shared" si="0"/>
        <v>165.25</v>
      </c>
      <c r="E21" s="44">
        <f t="shared" si="1"/>
        <v>165.25</v>
      </c>
      <c r="F21" s="44">
        <f t="shared" si="2"/>
        <v>30.5</v>
      </c>
      <c r="G21" s="44">
        <f t="shared" si="3"/>
        <v>300</v>
      </c>
      <c r="H21" s="40">
        <f t="shared" si="4"/>
        <v>2</v>
      </c>
      <c r="I21" s="101">
        <v>30.5</v>
      </c>
      <c r="J21" s="104"/>
      <c r="K21" s="104"/>
      <c r="L21" s="104">
        <v>300</v>
      </c>
    </row>
    <row r="22" spans="1:12" x14ac:dyDescent="0.25">
      <c r="A22" s="26"/>
      <c r="B22" s="32"/>
      <c r="C22" s="32"/>
      <c r="D22" s="95"/>
      <c r="E22" s="26"/>
      <c r="F22" s="26"/>
      <c r="G22" s="26"/>
      <c r="H22" s="89"/>
      <c r="I22" s="110"/>
      <c r="J22" s="111"/>
      <c r="K22" s="111"/>
      <c r="L22" s="111"/>
    </row>
  </sheetData>
  <mergeCells count="1">
    <mergeCell ref="D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0" tint="-0.249977111117893"/>
  </sheetPr>
  <dimension ref="A1:X8"/>
  <sheetViews>
    <sheetView workbookViewId="0">
      <pane xSplit="1" topLeftCell="B1" activePane="topRight" state="frozen"/>
      <selection pane="topRight" activeCell="L1" sqref="L1"/>
    </sheetView>
  </sheetViews>
  <sheetFormatPr defaultRowHeight="15" x14ac:dyDescent="0.25"/>
  <cols>
    <col min="8" max="8" width="33.28515625" customWidth="1"/>
    <col min="9" max="9" width="15" bestFit="1" customWidth="1"/>
    <col min="10" max="10" width="12" bestFit="1" customWidth="1"/>
    <col min="11" max="11" width="12.140625" bestFit="1" customWidth="1"/>
    <col min="12" max="12" width="10.85546875" bestFit="1" customWidth="1"/>
    <col min="13" max="13" width="12.28515625" bestFit="1" customWidth="1"/>
    <col min="14" max="14" width="13.85546875" bestFit="1" customWidth="1"/>
    <col min="15" max="15" width="12.140625" bestFit="1" customWidth="1"/>
    <col min="16" max="16" width="19" bestFit="1" customWidth="1"/>
    <col min="17" max="17" width="11.140625" bestFit="1" customWidth="1"/>
    <col min="18" max="18" width="17" bestFit="1" customWidth="1"/>
    <col min="19" max="19" width="29.42578125" bestFit="1" customWidth="1"/>
    <col min="20" max="20" width="14.140625" bestFit="1" customWidth="1"/>
    <col min="21" max="21" width="11.5703125" bestFit="1" customWidth="1"/>
    <col min="22" max="22" width="10.42578125" bestFit="1" customWidth="1"/>
    <col min="23" max="23" width="13.5703125" bestFit="1" customWidth="1"/>
    <col min="24" max="24" width="14.7109375" bestFit="1" customWidth="1"/>
  </cols>
  <sheetData>
    <row r="1" spans="1:24" x14ac:dyDescent="0.25">
      <c r="A1" s="54" t="s">
        <v>70</v>
      </c>
      <c r="B1" s="27" t="s">
        <v>71</v>
      </c>
      <c r="C1" s="27" t="s">
        <v>72</v>
      </c>
      <c r="D1" s="129" t="s">
        <v>73</v>
      </c>
      <c r="E1" s="130"/>
      <c r="F1" s="130"/>
      <c r="G1" s="130"/>
      <c r="H1" s="131"/>
      <c r="I1" s="61" t="s">
        <v>192</v>
      </c>
      <c r="J1" s="66" t="s">
        <v>193</v>
      </c>
      <c r="K1" s="61" t="s">
        <v>194</v>
      </c>
      <c r="L1" s="66" t="s">
        <v>195</v>
      </c>
      <c r="M1" s="61" t="s">
        <v>196</v>
      </c>
      <c r="N1" s="66" t="s">
        <v>110</v>
      </c>
      <c r="O1" s="61" t="s">
        <v>189</v>
      </c>
      <c r="P1" s="66" t="s">
        <v>197</v>
      </c>
      <c r="Q1" s="61" t="s">
        <v>198</v>
      </c>
      <c r="R1" s="66" t="s">
        <v>199</v>
      </c>
      <c r="S1" s="61" t="s">
        <v>190</v>
      </c>
      <c r="T1" s="66" t="s">
        <v>201</v>
      </c>
      <c r="U1" s="61" t="s">
        <v>203</v>
      </c>
      <c r="V1" s="66" t="s">
        <v>191</v>
      </c>
      <c r="W1" s="61" t="s">
        <v>204</v>
      </c>
      <c r="X1" s="55" t="s">
        <v>205</v>
      </c>
    </row>
    <row r="2" spans="1:24" ht="40.5" x14ac:dyDescent="0.25">
      <c r="A2" s="23"/>
      <c r="B2" s="28"/>
      <c r="C2" s="28"/>
      <c r="D2" s="90" t="s">
        <v>95</v>
      </c>
      <c r="E2" s="33" t="s">
        <v>96</v>
      </c>
      <c r="F2" s="33" t="s">
        <v>97</v>
      </c>
      <c r="G2" s="34" t="s">
        <v>98</v>
      </c>
      <c r="H2" s="36" t="s">
        <v>107</v>
      </c>
      <c r="I2" s="62" t="s">
        <v>75</v>
      </c>
      <c r="J2" s="67" t="s">
        <v>75</v>
      </c>
      <c r="K2" s="62" t="s">
        <v>75</v>
      </c>
      <c r="L2" s="67" t="s">
        <v>75</v>
      </c>
      <c r="M2" s="62" t="s">
        <v>75</v>
      </c>
      <c r="N2" s="67" t="s">
        <v>75</v>
      </c>
      <c r="O2" s="62" t="s">
        <v>75</v>
      </c>
      <c r="P2" s="67" t="s">
        <v>75</v>
      </c>
      <c r="Q2" s="62" t="s">
        <v>75</v>
      </c>
      <c r="R2" s="67" t="s">
        <v>75</v>
      </c>
      <c r="S2" s="62" t="s">
        <v>75</v>
      </c>
      <c r="T2" s="67" t="s">
        <v>75</v>
      </c>
      <c r="U2" s="62" t="s">
        <v>75</v>
      </c>
      <c r="V2" s="67" t="s">
        <v>75</v>
      </c>
      <c r="W2" s="62" t="s">
        <v>75</v>
      </c>
      <c r="X2" s="41" t="s">
        <v>75</v>
      </c>
    </row>
    <row r="3" spans="1:24" x14ac:dyDescent="0.25">
      <c r="A3" s="24"/>
      <c r="B3" s="29"/>
      <c r="C3" s="30"/>
      <c r="D3" s="91"/>
      <c r="E3" s="24"/>
      <c r="F3" s="24"/>
      <c r="G3" s="24"/>
      <c r="H3" s="40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40"/>
    </row>
    <row r="4" spans="1:24" x14ac:dyDescent="0.25">
      <c r="A4" s="43" t="s">
        <v>12</v>
      </c>
      <c r="B4" s="30" t="s">
        <v>111</v>
      </c>
      <c r="C4" s="31">
        <v>2020</v>
      </c>
      <c r="D4" s="112">
        <f>AVERAGE(I4,J4,K4,L4,M4,N4,O4,P4,Q4,R4,S4,T4,U4,V4,W4,X4,Y4,AC4)</f>
        <v>100</v>
      </c>
      <c r="E4" s="47">
        <f>MEDIAN(I4,J4,K4,L4,M4,N4,O4,P4,Q4,R4,S4,T4,U4,V4,W4,X4,Y4,AC4)</f>
        <v>100</v>
      </c>
      <c r="F4" s="47">
        <f>MIN(I4,J4,K4,L4,M4,N4,O4,P4,Q4,R4,S4,T4,U4,V4,W4,X4,Y4,AC4)</f>
        <v>100</v>
      </c>
      <c r="G4" s="47">
        <f>MAX(I4,J4,K4,L4,M4,N4,O4,P4,Q4,R4,S4,T4,U4,V4,W4,X4,Y4,AC4)</f>
        <v>100</v>
      </c>
      <c r="H4" s="40">
        <f>COUNT(I4,J4,K4,L4,M4,N4,O4,P4,Q4,R4,S4,T4,U4,V4,W4,X4,Y4,AC4,AG4)</f>
        <v>1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>
        <v>100</v>
      </c>
      <c r="X4" s="104"/>
    </row>
    <row r="5" spans="1:24" x14ac:dyDescent="0.25">
      <c r="A5" t="s">
        <v>42</v>
      </c>
      <c r="B5" s="30" t="s">
        <v>111</v>
      </c>
      <c r="C5" s="31">
        <v>2020</v>
      </c>
      <c r="D5" s="112">
        <f>AVERAGE(I5,J5,K5,L5,M5,N5,O5,P5,Q5,R5,S5,T5,U5,V5,W5,X5,Y5,AC5)</f>
        <v>0.42990064102564102</v>
      </c>
      <c r="E5" s="47">
        <f>MEDIAN(I5,J5,K5,L5,M5,N5,O5,P5,Q5,R5,S5,T5,U5,V5,W5,X5,Y5,AC5)</f>
        <v>0.44500000000000001</v>
      </c>
      <c r="F5" s="47">
        <f>MIN(I5,J5,K5,L5,M5,N5,O5,P5,Q5,R5,S5,T5,U5,V5,W5,X5,Y5,AC5)</f>
        <v>0.10633333333333334</v>
      </c>
      <c r="G5" s="47">
        <f>MAX(I5,J5,K5,L5,M5,N5,O5,P5,Q5,R5,S5,T5,U5,V5,W5,X5,Y5,AC5)</f>
        <v>0.92307692307692302</v>
      </c>
      <c r="H5" s="40">
        <f>COUNT(I5,J5,K5,L5,M5,N5,O5,P5,Q5,R5,S5,T5,U5,V5,W5,X5,Y5,AC5,AG5)</f>
        <v>16</v>
      </c>
      <c r="I5" s="71">
        <v>0.28999999999999998</v>
      </c>
      <c r="J5" s="71">
        <v>0.10633333333333334</v>
      </c>
      <c r="K5" s="71">
        <v>0.19</v>
      </c>
      <c r="L5" s="71">
        <v>0.17899999999999999</v>
      </c>
      <c r="M5" s="71">
        <v>0.92307692307692302</v>
      </c>
      <c r="N5" s="71">
        <v>0.65</v>
      </c>
      <c r="O5" s="71">
        <v>0.25</v>
      </c>
      <c r="P5" s="71">
        <v>0.5</v>
      </c>
      <c r="Q5" s="71">
        <v>0.39</v>
      </c>
      <c r="R5" s="71">
        <v>0.25</v>
      </c>
      <c r="S5" s="71">
        <v>0.5</v>
      </c>
      <c r="T5" s="71">
        <v>0.55000000000000004</v>
      </c>
      <c r="U5" s="71">
        <v>0.6</v>
      </c>
      <c r="V5" s="71">
        <v>0.5</v>
      </c>
      <c r="W5" s="71">
        <v>0.75</v>
      </c>
      <c r="X5" s="104">
        <v>0.25</v>
      </c>
    </row>
    <row r="6" spans="1:24" x14ac:dyDescent="0.25">
      <c r="B6" s="30"/>
      <c r="C6" s="31"/>
      <c r="D6" s="112"/>
      <c r="E6" s="47"/>
      <c r="F6" s="47"/>
      <c r="G6" s="47"/>
      <c r="H6" s="40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40"/>
    </row>
    <row r="7" spans="1:24" ht="45" x14ac:dyDescent="0.25">
      <c r="A7" t="s">
        <v>42</v>
      </c>
      <c r="B7" s="30" t="s">
        <v>111</v>
      </c>
      <c r="C7" s="31">
        <v>2050</v>
      </c>
      <c r="D7" s="112">
        <f>AVERAGE(F7:G7)</f>
        <v>0.10316666666666667</v>
      </c>
      <c r="E7" s="47">
        <f>AVERAGE(F7:G7)</f>
        <v>0.10316666666666667</v>
      </c>
      <c r="F7" s="47">
        <v>0.1</v>
      </c>
      <c r="G7" s="47">
        <f>F5</f>
        <v>0.10633333333333334</v>
      </c>
      <c r="H7" s="97" t="s">
        <v>222</v>
      </c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40"/>
    </row>
    <row r="8" spans="1:24" x14ac:dyDescent="0.25">
      <c r="A8" s="26"/>
      <c r="B8" s="32"/>
      <c r="C8" s="32"/>
      <c r="D8" s="95"/>
      <c r="E8" s="26"/>
      <c r="F8" s="26"/>
      <c r="G8" s="26"/>
      <c r="H8" s="89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37"/>
    </row>
  </sheetData>
  <mergeCells count="1">
    <mergeCell ref="D1:H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0" tint="-0.249977111117893"/>
  </sheetPr>
  <dimension ref="A1:L23"/>
  <sheetViews>
    <sheetView zoomScale="85" zoomScaleNormal="85" workbookViewId="0">
      <pane xSplit="1" topLeftCell="B1" activePane="topRight" state="frozen"/>
      <selection pane="topRight" activeCell="A15" sqref="A15:XFD15"/>
    </sheetView>
  </sheetViews>
  <sheetFormatPr defaultRowHeight="15" x14ac:dyDescent="0.25"/>
  <cols>
    <col min="1" max="1" width="10.85546875" bestFit="1" customWidth="1"/>
    <col min="8" max="8" width="32" customWidth="1"/>
    <col min="9" max="9" width="11.42578125" bestFit="1" customWidth="1"/>
    <col min="10" max="10" width="13.85546875" bestFit="1" customWidth="1"/>
    <col min="11" max="11" width="29.42578125" bestFit="1" customWidth="1"/>
    <col min="12" max="12" width="14.140625" bestFit="1" customWidth="1"/>
  </cols>
  <sheetData>
    <row r="1" spans="1:12" x14ac:dyDescent="0.25">
      <c r="A1" s="48" t="s">
        <v>70</v>
      </c>
      <c r="B1" s="27" t="s">
        <v>71</v>
      </c>
      <c r="C1" s="27" t="s">
        <v>72</v>
      </c>
      <c r="D1" s="129" t="s">
        <v>73</v>
      </c>
      <c r="E1" s="130"/>
      <c r="F1" s="130"/>
      <c r="G1" s="130"/>
      <c r="H1" s="131"/>
      <c r="I1" s="61" t="s">
        <v>187</v>
      </c>
      <c r="J1" s="55" t="s">
        <v>110</v>
      </c>
      <c r="K1" s="59" t="s">
        <v>190</v>
      </c>
      <c r="L1" s="55" t="s">
        <v>201</v>
      </c>
    </row>
    <row r="2" spans="1:12" ht="40.5" x14ac:dyDescent="0.25">
      <c r="A2" s="23"/>
      <c r="B2" s="28"/>
      <c r="C2" s="28"/>
      <c r="D2" s="90" t="s">
        <v>95</v>
      </c>
      <c r="E2" s="33" t="s">
        <v>96</v>
      </c>
      <c r="F2" s="33" t="s">
        <v>97</v>
      </c>
      <c r="G2" s="34" t="s">
        <v>98</v>
      </c>
      <c r="H2" s="36" t="s">
        <v>107</v>
      </c>
      <c r="I2" s="62" t="s">
        <v>75</v>
      </c>
      <c r="J2" s="41" t="s">
        <v>75</v>
      </c>
      <c r="K2" s="39" t="s">
        <v>75</v>
      </c>
      <c r="L2" s="41" t="s">
        <v>75</v>
      </c>
    </row>
    <row r="3" spans="1:12" x14ac:dyDescent="0.25">
      <c r="A3" s="24"/>
      <c r="B3" s="29"/>
      <c r="C3" s="30"/>
      <c r="D3" s="91"/>
      <c r="E3" s="24"/>
      <c r="F3" s="24"/>
      <c r="G3" s="24"/>
      <c r="H3" s="40"/>
      <c r="I3" s="71"/>
      <c r="J3" s="104"/>
      <c r="K3" s="104"/>
      <c r="L3" s="104"/>
    </row>
    <row r="4" spans="1:12" x14ac:dyDescent="0.25">
      <c r="A4" s="50" t="s">
        <v>3</v>
      </c>
      <c r="B4" s="30" t="s">
        <v>111</v>
      </c>
      <c r="C4" s="31">
        <v>2020</v>
      </c>
      <c r="D4" s="92">
        <f t="shared" ref="D4:D17" si="0">AVERAGE(I4,J4,K4,L4)</f>
        <v>25625</v>
      </c>
      <c r="E4" s="44">
        <f t="shared" ref="E4:E17" si="1">MEDIAN(I4,J4,K4,L4)</f>
        <v>25625</v>
      </c>
      <c r="F4" s="44">
        <f t="shared" ref="F4:F17" si="2">MIN(I4,J4,K4,L4)</f>
        <v>1250</v>
      </c>
      <c r="G4" s="44">
        <f t="shared" ref="G4:G17" si="3">MAX(I4,J4,K4,L4)</f>
        <v>50000</v>
      </c>
      <c r="H4" s="40">
        <f>COUNT(I4,J4,K4,L4,#REF!,#REF!,#REF!,P4,T4,X4,AB4,AF4,AJ4,AN4,AR4,AV4,AZ4,BD4,BH4)</f>
        <v>2</v>
      </c>
      <c r="I4" s="71">
        <v>1250</v>
      </c>
      <c r="J4" s="104"/>
      <c r="K4" s="104">
        <v>50000</v>
      </c>
      <c r="L4" s="104"/>
    </row>
    <row r="5" spans="1:12" x14ac:dyDescent="0.25">
      <c r="A5" s="50" t="s">
        <v>11</v>
      </c>
      <c r="B5" s="30" t="s">
        <v>111</v>
      </c>
      <c r="C5" s="31">
        <v>2020</v>
      </c>
      <c r="D5" s="92">
        <f t="shared" si="0"/>
        <v>26.5</v>
      </c>
      <c r="E5" s="44">
        <f t="shared" si="1"/>
        <v>26.5</v>
      </c>
      <c r="F5" s="44">
        <f t="shared" si="2"/>
        <v>2</v>
      </c>
      <c r="G5" s="44">
        <f t="shared" si="3"/>
        <v>51</v>
      </c>
      <c r="H5" s="40">
        <f>COUNT(I5,J5,K5,L5,#REF!,#REF!,#REF!,P5,T5,X5,AB5,AF5,AJ5,AN5,AR5,AV5,AZ5,BD5,BH5)</f>
        <v>2</v>
      </c>
      <c r="I5" s="71"/>
      <c r="J5" s="104">
        <v>2</v>
      </c>
      <c r="K5" s="104">
        <v>51</v>
      </c>
      <c r="L5" s="104"/>
    </row>
    <row r="6" spans="1:12" x14ac:dyDescent="0.25">
      <c r="A6" s="50" t="s">
        <v>12</v>
      </c>
      <c r="B6" s="30" t="s">
        <v>111</v>
      </c>
      <c r="C6" s="31">
        <v>2020</v>
      </c>
      <c r="D6" s="92">
        <f t="shared" si="0"/>
        <v>8375</v>
      </c>
      <c r="E6" s="44">
        <f t="shared" si="1"/>
        <v>8375</v>
      </c>
      <c r="F6" s="44">
        <f t="shared" si="2"/>
        <v>1750</v>
      </c>
      <c r="G6" s="44">
        <f t="shared" si="3"/>
        <v>15000</v>
      </c>
      <c r="H6" s="40">
        <f>COUNT(I6,J6,K6,L6,#REF!,#REF!,#REF!,P6,T6,X6,AB6,AF6,AJ6,AN6,AR6,AV6,AZ6,BD6,BH6)</f>
        <v>2</v>
      </c>
      <c r="I6" s="71">
        <v>1750</v>
      </c>
      <c r="J6" s="104"/>
      <c r="K6" s="104">
        <v>15000</v>
      </c>
      <c r="L6" s="104"/>
    </row>
    <row r="7" spans="1:12" x14ac:dyDescent="0.25">
      <c r="A7" s="50" t="s">
        <v>13</v>
      </c>
      <c r="B7" s="30" t="s">
        <v>111</v>
      </c>
      <c r="C7" s="31">
        <v>2020</v>
      </c>
      <c r="D7" s="92">
        <f t="shared" si="0"/>
        <v>30</v>
      </c>
      <c r="E7" s="44">
        <f t="shared" si="1"/>
        <v>30</v>
      </c>
      <c r="F7" s="44">
        <f t="shared" si="2"/>
        <v>30</v>
      </c>
      <c r="G7" s="44">
        <f t="shared" si="3"/>
        <v>30</v>
      </c>
      <c r="H7" s="40">
        <f>COUNT(I7,J7,K7,L7,#REF!,#REF!,#REF!,P7,T7,X7,AB7,AF7,AJ7,AN7,AR7,AV7,AZ7,BD7,BH7)</f>
        <v>1</v>
      </c>
      <c r="I7" s="71"/>
      <c r="J7" s="104">
        <v>30</v>
      </c>
      <c r="K7" s="104"/>
      <c r="L7" s="104"/>
    </row>
    <row r="8" spans="1:12" x14ac:dyDescent="0.25">
      <c r="A8" s="50" t="s">
        <v>18</v>
      </c>
      <c r="B8" s="30" t="s">
        <v>111</v>
      </c>
      <c r="C8" s="31">
        <v>2020</v>
      </c>
      <c r="D8" s="92">
        <f t="shared" si="0"/>
        <v>13</v>
      </c>
      <c r="E8" s="44">
        <f t="shared" si="1"/>
        <v>13</v>
      </c>
      <c r="F8" s="44">
        <f t="shared" si="2"/>
        <v>13</v>
      </c>
      <c r="G8" s="44">
        <f t="shared" si="3"/>
        <v>13</v>
      </c>
      <c r="H8" s="40">
        <f>COUNT(I8,J8,K8,L8,#REF!,#REF!,#REF!,P8,T8,X8,AB8,AF8,AJ8,AN8,AR8,AV8,AZ8,BD8,BH8)</f>
        <v>1</v>
      </c>
      <c r="I8" s="71"/>
      <c r="J8" s="104"/>
      <c r="K8" s="104">
        <v>13</v>
      </c>
      <c r="L8" s="104"/>
    </row>
    <row r="9" spans="1:12" x14ac:dyDescent="0.25">
      <c r="A9" s="50" t="s">
        <v>28</v>
      </c>
      <c r="B9" s="30" t="s">
        <v>111</v>
      </c>
      <c r="C9" s="31">
        <v>2020</v>
      </c>
      <c r="D9" s="92">
        <f t="shared" si="0"/>
        <v>579.33333333333337</v>
      </c>
      <c r="E9" s="44">
        <f t="shared" si="1"/>
        <v>213</v>
      </c>
      <c r="F9" s="44">
        <f t="shared" si="2"/>
        <v>20</v>
      </c>
      <c r="G9" s="44">
        <f t="shared" si="3"/>
        <v>1505</v>
      </c>
      <c r="H9" s="40">
        <f>COUNT(I9,J9,K9,L9,#REF!,#REF!,#REF!,P9,T9,X9,AB9,AF9,AJ9,AN9,AR9,AV9,AZ9,BD9,BH9)</f>
        <v>3</v>
      </c>
      <c r="I9" s="71">
        <v>1505</v>
      </c>
      <c r="J9" s="104">
        <v>20</v>
      </c>
      <c r="K9" s="104">
        <v>213</v>
      </c>
      <c r="L9" s="104"/>
    </row>
    <row r="10" spans="1:12" x14ac:dyDescent="0.25">
      <c r="A10" s="50" t="s">
        <v>33</v>
      </c>
      <c r="B10" s="30" t="s">
        <v>111</v>
      </c>
      <c r="C10" s="31">
        <v>2020</v>
      </c>
      <c r="D10" s="92">
        <f t="shared" si="0"/>
        <v>505</v>
      </c>
      <c r="E10" s="44">
        <f t="shared" si="1"/>
        <v>505</v>
      </c>
      <c r="F10" s="44">
        <f t="shared" si="2"/>
        <v>505</v>
      </c>
      <c r="G10" s="44">
        <f t="shared" si="3"/>
        <v>505</v>
      </c>
      <c r="H10" s="40">
        <f>COUNT(I10,J10,K10,L10,#REF!,#REF!,#REF!,P10,T10,X10,AB10,AF10,AJ10,AN10,AR10,AV10,AZ10,BD10,BH10)</f>
        <v>1</v>
      </c>
      <c r="I10" s="71">
        <v>505</v>
      </c>
      <c r="J10" s="104"/>
      <c r="K10" s="104"/>
      <c r="L10" s="104"/>
    </row>
    <row r="11" spans="1:12" x14ac:dyDescent="0.25">
      <c r="A11" s="50" t="s">
        <v>34</v>
      </c>
      <c r="B11" s="30" t="s">
        <v>111</v>
      </c>
      <c r="C11" s="31">
        <v>2020</v>
      </c>
      <c r="D11" s="92">
        <f t="shared" si="0"/>
        <v>0</v>
      </c>
      <c r="E11" s="44">
        <f t="shared" si="1"/>
        <v>0</v>
      </c>
      <c r="F11" s="44">
        <f t="shared" si="2"/>
        <v>0</v>
      </c>
      <c r="G11" s="44">
        <f t="shared" si="3"/>
        <v>0</v>
      </c>
      <c r="H11" s="40">
        <f>COUNT(I11,J11,K11,L11,#REF!,#REF!,#REF!,P11,T11,X11,AB11,AF11,AJ11,AN11,AR11,AV11,AZ11,BD11,BH11)</f>
        <v>1</v>
      </c>
      <c r="I11" s="71">
        <v>0</v>
      </c>
      <c r="J11" s="104"/>
      <c r="K11" s="104"/>
      <c r="L11" s="104"/>
    </row>
    <row r="12" spans="1:12" x14ac:dyDescent="0.25">
      <c r="A12" s="50" t="s">
        <v>38</v>
      </c>
      <c r="B12" s="30" t="s">
        <v>111</v>
      </c>
      <c r="C12" s="31">
        <v>2020</v>
      </c>
      <c r="D12" s="92">
        <f t="shared" si="0"/>
        <v>3500</v>
      </c>
      <c r="E12" s="44">
        <f t="shared" si="1"/>
        <v>3500</v>
      </c>
      <c r="F12" s="44">
        <f t="shared" si="2"/>
        <v>3500</v>
      </c>
      <c r="G12" s="44">
        <f t="shared" si="3"/>
        <v>3500</v>
      </c>
      <c r="H12" s="40">
        <f>COUNT(I12,J12,K12,L12,#REF!,#REF!,#REF!,P12,T12,X12,AB12,AF12,AJ12,AN12,AR12,AV12,AZ12,BD12,BH12)</f>
        <v>1</v>
      </c>
      <c r="I12" s="71">
        <v>3500</v>
      </c>
      <c r="J12" s="104"/>
      <c r="K12" s="104"/>
      <c r="L12" s="104"/>
    </row>
    <row r="13" spans="1:12" x14ac:dyDescent="0.25">
      <c r="A13" s="50" t="s">
        <v>79</v>
      </c>
      <c r="B13" s="30" t="s">
        <v>111</v>
      </c>
      <c r="C13" s="31">
        <v>2020</v>
      </c>
      <c r="D13" s="92">
        <f t="shared" si="0"/>
        <v>0</v>
      </c>
      <c r="E13" s="44">
        <f t="shared" si="1"/>
        <v>0</v>
      </c>
      <c r="F13" s="44">
        <f t="shared" si="2"/>
        <v>0</v>
      </c>
      <c r="G13" s="44">
        <f t="shared" si="3"/>
        <v>0</v>
      </c>
      <c r="H13" s="40">
        <f>COUNT(I13,J13,K13,L13,#REF!,#REF!,#REF!,P13,T13,X13,AB13,AF13,AJ13,AN13,AR13,AV13,AZ13,BD13,BH13)</f>
        <v>1</v>
      </c>
      <c r="I13" s="71">
        <v>0</v>
      </c>
      <c r="J13" s="104"/>
      <c r="K13" s="104"/>
      <c r="L13" s="104"/>
    </row>
    <row r="14" spans="1:12" x14ac:dyDescent="0.25">
      <c r="A14" s="50" t="s">
        <v>42</v>
      </c>
      <c r="B14" s="30" t="s">
        <v>111</v>
      </c>
      <c r="C14" s="31">
        <v>2020</v>
      </c>
      <c r="D14" s="92">
        <f t="shared" si="0"/>
        <v>0</v>
      </c>
      <c r="E14" s="44">
        <f t="shared" si="1"/>
        <v>0</v>
      </c>
      <c r="F14" s="44">
        <f t="shared" si="2"/>
        <v>0</v>
      </c>
      <c r="G14" s="44">
        <f t="shared" si="3"/>
        <v>0</v>
      </c>
      <c r="H14" s="40">
        <f>COUNT(I14,J14,K14,L14,#REF!,#REF!,#REF!,P14,T14,X14,AB14,AF14,AJ14,AN14,AR14,AV14,AZ14,BD14,BH14)</f>
        <v>1</v>
      </c>
      <c r="I14" s="71">
        <v>0</v>
      </c>
      <c r="J14" s="104"/>
      <c r="K14" s="104"/>
      <c r="L14" s="104"/>
    </row>
    <row r="15" spans="1:12" x14ac:dyDescent="0.25">
      <c r="A15" s="50" t="s">
        <v>56</v>
      </c>
      <c r="B15" s="30" t="s">
        <v>111</v>
      </c>
      <c r="C15" s="31">
        <v>2020</v>
      </c>
      <c r="D15" s="92">
        <f t="shared" si="0"/>
        <v>103.5</v>
      </c>
      <c r="E15" s="44">
        <f t="shared" si="1"/>
        <v>75</v>
      </c>
      <c r="F15" s="44">
        <f t="shared" si="2"/>
        <v>14</v>
      </c>
      <c r="G15" s="44">
        <f t="shared" si="3"/>
        <v>250</v>
      </c>
      <c r="H15" s="40">
        <f>COUNT(I15,J15,K15,L15,#REF!,#REF!,#REF!,P15,T15,X15,AB15,AF15,AJ15,AN15,AR15,AV15,AZ15,BD15,BH15)</f>
        <v>4</v>
      </c>
      <c r="I15" s="71">
        <v>250</v>
      </c>
      <c r="J15" s="104">
        <v>40</v>
      </c>
      <c r="K15" s="104">
        <v>14</v>
      </c>
      <c r="L15" s="104">
        <v>110</v>
      </c>
    </row>
    <row r="16" spans="1:12" x14ac:dyDescent="0.25">
      <c r="A16" s="50" t="s">
        <v>58</v>
      </c>
      <c r="B16" s="30" t="s">
        <v>111</v>
      </c>
      <c r="C16" s="31">
        <v>2020</v>
      </c>
      <c r="D16" s="92">
        <f t="shared" si="0"/>
        <v>975</v>
      </c>
      <c r="E16" s="44">
        <f t="shared" si="1"/>
        <v>975</v>
      </c>
      <c r="F16" s="44">
        <f t="shared" si="2"/>
        <v>400</v>
      </c>
      <c r="G16" s="44">
        <f t="shared" si="3"/>
        <v>1550</v>
      </c>
      <c r="H16" s="40">
        <f>COUNT(I16,J16,K16,L16,#REF!,#REF!,#REF!,P16,T16,X16,AB16,AF16,AJ16,AN16,AR16,AV16,AZ16,BD16,BH16)</f>
        <v>2</v>
      </c>
      <c r="I16" s="71">
        <v>1550</v>
      </c>
      <c r="J16" s="104"/>
      <c r="K16" s="104">
        <v>400</v>
      </c>
      <c r="L16" s="104"/>
    </row>
    <row r="17" spans="1:12" x14ac:dyDescent="0.25">
      <c r="A17" s="51" t="s">
        <v>57</v>
      </c>
      <c r="B17" s="30" t="s">
        <v>111</v>
      </c>
      <c r="C17" s="31">
        <v>2020</v>
      </c>
      <c r="D17" s="92">
        <f t="shared" si="0"/>
        <v>505</v>
      </c>
      <c r="E17" s="44">
        <f t="shared" si="1"/>
        <v>505</v>
      </c>
      <c r="F17" s="44">
        <f t="shared" si="2"/>
        <v>505</v>
      </c>
      <c r="G17" s="44">
        <f t="shared" si="3"/>
        <v>505</v>
      </c>
      <c r="H17" s="40">
        <f>COUNT(I17,J17,K17,L17,#REF!,#REF!,#REF!,P17,T17,X17,AB17,AF17,AJ17,AN17,AR17,AV17,AZ17,BD17,BH17)</f>
        <v>1</v>
      </c>
      <c r="I17" s="71">
        <v>505</v>
      </c>
      <c r="J17" s="104"/>
      <c r="K17" s="104"/>
      <c r="L17" s="104"/>
    </row>
    <row r="18" spans="1:12" x14ac:dyDescent="0.25">
      <c r="A18" s="51"/>
      <c r="B18" s="30"/>
      <c r="C18" s="31"/>
      <c r="D18" s="92"/>
      <c r="E18" s="44"/>
      <c r="F18" s="44"/>
      <c r="G18" s="44"/>
      <c r="H18" s="40"/>
      <c r="I18" s="71"/>
      <c r="J18" s="104"/>
      <c r="K18" s="104"/>
      <c r="L18" s="104"/>
    </row>
    <row r="19" spans="1:12" ht="45" x14ac:dyDescent="0.25">
      <c r="A19" s="113" t="s">
        <v>11</v>
      </c>
      <c r="B19" s="82" t="s">
        <v>111</v>
      </c>
      <c r="C19" s="82">
        <v>2050</v>
      </c>
      <c r="D19" s="93">
        <f>AVERAGE(F19:G19)</f>
        <v>1.05</v>
      </c>
      <c r="E19" s="83">
        <f>AVERAGE(F19:G19)</f>
        <v>1.05</v>
      </c>
      <c r="F19" s="83">
        <v>0.1</v>
      </c>
      <c r="G19" s="83">
        <f>F5</f>
        <v>2</v>
      </c>
      <c r="H19" s="97" t="s">
        <v>222</v>
      </c>
      <c r="I19" s="71"/>
      <c r="J19" s="104"/>
      <c r="K19" s="104"/>
      <c r="L19" s="104"/>
    </row>
    <row r="20" spans="1:12" ht="45" x14ac:dyDescent="0.25">
      <c r="A20" s="113" t="s">
        <v>13</v>
      </c>
      <c r="B20" s="82" t="s">
        <v>111</v>
      </c>
      <c r="C20" s="82">
        <v>2050</v>
      </c>
      <c r="D20" s="93">
        <f t="shared" ref="D20:D22" si="4">AVERAGE(F20:G20)</f>
        <v>16.5</v>
      </c>
      <c r="E20" s="83">
        <f t="shared" ref="E20:E22" si="5">AVERAGE(F20:G20)</f>
        <v>16.5</v>
      </c>
      <c r="F20" s="83">
        <v>3</v>
      </c>
      <c r="G20" s="83">
        <f>F7</f>
        <v>30</v>
      </c>
      <c r="H20" s="97" t="s">
        <v>222</v>
      </c>
      <c r="I20" s="71"/>
      <c r="J20" s="104"/>
      <c r="K20" s="104"/>
      <c r="L20" s="104"/>
    </row>
    <row r="21" spans="1:12" ht="45" x14ac:dyDescent="0.25">
      <c r="A21" s="113" t="s">
        <v>28</v>
      </c>
      <c r="B21" s="82" t="s">
        <v>111</v>
      </c>
      <c r="C21" s="82">
        <v>2050</v>
      </c>
      <c r="D21" s="93">
        <f t="shared" si="4"/>
        <v>11.574999999999999</v>
      </c>
      <c r="E21" s="83">
        <f t="shared" si="5"/>
        <v>11.574999999999999</v>
      </c>
      <c r="F21" s="83">
        <v>3.15</v>
      </c>
      <c r="G21" s="83">
        <f>F9</f>
        <v>20</v>
      </c>
      <c r="H21" s="97" t="s">
        <v>222</v>
      </c>
      <c r="I21" s="71"/>
      <c r="J21" s="104"/>
      <c r="K21" s="104"/>
      <c r="L21" s="104"/>
    </row>
    <row r="22" spans="1:12" ht="45" x14ac:dyDescent="0.25">
      <c r="A22" s="113" t="s">
        <v>56</v>
      </c>
      <c r="B22" s="82" t="s">
        <v>111</v>
      </c>
      <c r="C22" s="82">
        <v>2050</v>
      </c>
      <c r="D22" s="93">
        <f t="shared" si="4"/>
        <v>10.85</v>
      </c>
      <c r="E22" s="83">
        <f t="shared" si="5"/>
        <v>10.85</v>
      </c>
      <c r="F22" s="83">
        <v>7.7</v>
      </c>
      <c r="G22" s="83">
        <f>F15</f>
        <v>14</v>
      </c>
      <c r="H22" s="97" t="s">
        <v>222</v>
      </c>
      <c r="I22" s="71"/>
      <c r="J22" s="104"/>
      <c r="K22" s="104"/>
      <c r="L22" s="104"/>
    </row>
    <row r="23" spans="1:12" x14ac:dyDescent="0.25">
      <c r="A23" s="26"/>
      <c r="B23" s="32"/>
      <c r="C23" s="32"/>
      <c r="D23" s="95"/>
      <c r="E23" s="26"/>
      <c r="F23" s="26"/>
      <c r="G23" s="26"/>
      <c r="H23" s="89"/>
      <c r="I23" s="65"/>
      <c r="J23" s="37"/>
      <c r="K23" s="37"/>
      <c r="L23" s="37"/>
    </row>
  </sheetData>
  <mergeCells count="1">
    <mergeCell ref="D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0" tint="-0.249977111117893"/>
  </sheetPr>
  <dimension ref="A1:K16"/>
  <sheetViews>
    <sheetView workbookViewId="0">
      <selection activeCell="J1" sqref="J1:K1"/>
    </sheetView>
  </sheetViews>
  <sheetFormatPr defaultRowHeight="15" x14ac:dyDescent="0.25"/>
  <cols>
    <col min="1" max="1" width="10.85546875" bestFit="1" customWidth="1"/>
    <col min="9" max="9" width="11.42578125" bestFit="1" customWidth="1"/>
    <col min="10" max="10" width="13.85546875" bestFit="1" customWidth="1"/>
    <col min="11" max="11" width="12.85546875" bestFit="1" customWidth="1"/>
  </cols>
  <sheetData>
    <row r="1" spans="1:11" x14ac:dyDescent="0.25">
      <c r="A1" s="48" t="s">
        <v>70</v>
      </c>
      <c r="B1" s="27" t="s">
        <v>71</v>
      </c>
      <c r="C1" s="27" t="s">
        <v>72</v>
      </c>
      <c r="D1" s="129" t="s">
        <v>73</v>
      </c>
      <c r="E1" s="130"/>
      <c r="F1" s="130"/>
      <c r="G1" s="130"/>
      <c r="H1" s="130"/>
      <c r="I1" s="61" t="s">
        <v>187</v>
      </c>
      <c r="J1" s="55" t="s">
        <v>200</v>
      </c>
      <c r="K1" s="59" t="s">
        <v>202</v>
      </c>
    </row>
    <row r="2" spans="1:11" ht="40.5" x14ac:dyDescent="0.25">
      <c r="A2" s="23"/>
      <c r="B2" s="28"/>
      <c r="C2" s="28"/>
      <c r="D2" s="33" t="s">
        <v>95</v>
      </c>
      <c r="E2" s="33" t="s">
        <v>96</v>
      </c>
      <c r="F2" s="33" t="s">
        <v>97</v>
      </c>
      <c r="G2" s="34" t="s">
        <v>98</v>
      </c>
      <c r="H2" s="33" t="s">
        <v>107</v>
      </c>
      <c r="I2" s="62" t="s">
        <v>75</v>
      </c>
      <c r="J2" s="41" t="s">
        <v>75</v>
      </c>
      <c r="K2" s="39" t="s">
        <v>75</v>
      </c>
    </row>
    <row r="3" spans="1:11" x14ac:dyDescent="0.25">
      <c r="A3" s="24"/>
      <c r="B3" s="29"/>
      <c r="C3" s="30"/>
      <c r="D3" s="24"/>
      <c r="E3" s="24"/>
      <c r="F3" s="24"/>
      <c r="G3" s="24"/>
      <c r="H3" s="24"/>
      <c r="I3" s="71"/>
      <c r="J3" s="104"/>
      <c r="K3" s="104"/>
    </row>
    <row r="4" spans="1:11" x14ac:dyDescent="0.25">
      <c r="A4" s="42" t="s">
        <v>3</v>
      </c>
      <c r="B4" s="30" t="s">
        <v>111</v>
      </c>
      <c r="C4" s="31">
        <v>2020</v>
      </c>
      <c r="D4" s="44">
        <f>AVERAGE(I4,J4,K4)</f>
        <v>1037.5</v>
      </c>
      <c r="E4" s="44">
        <f>MEDIAN(I4,J4,K4)</f>
        <v>1037.5</v>
      </c>
      <c r="F4" s="44">
        <f>MIN(I4,J4,K4)</f>
        <v>1000</v>
      </c>
      <c r="G4" s="44">
        <f>MAX(I4,J4,K4)</f>
        <v>1075</v>
      </c>
      <c r="H4" s="24">
        <f>COUNT(I4,J4,K4,#REF!,L4,P4,T4,X4,AB4,AF4,AJ4,AN4,AR4,AV4,AZ4,BD4,BH4,BL4,BP4)</f>
        <v>2</v>
      </c>
      <c r="I4" s="71">
        <v>1000</v>
      </c>
      <c r="J4" s="104"/>
      <c r="K4" s="104">
        <v>1075</v>
      </c>
    </row>
    <row r="5" spans="1:11" x14ac:dyDescent="0.25">
      <c r="A5" s="43" t="s">
        <v>12</v>
      </c>
      <c r="B5" s="30" t="s">
        <v>111</v>
      </c>
      <c r="C5" s="31">
        <v>2020</v>
      </c>
      <c r="D5" s="44">
        <f t="shared" ref="D5:D15" si="0">AVERAGE(I5,J5,K5)</f>
        <v>5000</v>
      </c>
      <c r="E5" s="44">
        <f t="shared" ref="E5:E15" si="1">MEDIAN(I5,J5,K5)</f>
        <v>5000</v>
      </c>
      <c r="F5" s="44">
        <f t="shared" ref="F5:F15" si="2">MIN(I5,J5,K5)</f>
        <v>5000</v>
      </c>
      <c r="G5" s="44">
        <f t="shared" ref="G5:G15" si="3">MAX(I5,J5,K5)</f>
        <v>5000</v>
      </c>
      <c r="H5" s="24">
        <f>COUNT(I5,J5,K5,#REF!,L5,P5,T5,X5,AB5,AF5,AJ5,AN5,AR5,AV5,AZ5,BD5,BH5,BL5,BP5)</f>
        <v>1</v>
      </c>
      <c r="I5" s="71">
        <v>5000</v>
      </c>
      <c r="J5" s="104"/>
      <c r="K5" s="104"/>
    </row>
    <row r="6" spans="1:11" x14ac:dyDescent="0.25">
      <c r="A6" s="43" t="s">
        <v>15</v>
      </c>
      <c r="B6" s="30" t="s">
        <v>111</v>
      </c>
      <c r="C6" s="31">
        <v>2020</v>
      </c>
      <c r="D6" s="44">
        <f t="shared" si="0"/>
        <v>5500</v>
      </c>
      <c r="E6" s="44">
        <f t="shared" si="1"/>
        <v>5500</v>
      </c>
      <c r="F6" s="44">
        <f t="shared" si="2"/>
        <v>5500</v>
      </c>
      <c r="G6" s="44">
        <f t="shared" si="3"/>
        <v>5500</v>
      </c>
      <c r="H6" s="24">
        <f>COUNT(I6,J6,K6,#REF!,L6,P6,T6,X6,AB6,AF6,AJ6,AN6,AR6,AV6,AZ6,BD6,BH6,BL6,BP6)</f>
        <v>1</v>
      </c>
      <c r="I6" s="71">
        <v>5500</v>
      </c>
      <c r="J6" s="104"/>
      <c r="K6" s="104"/>
    </row>
    <row r="7" spans="1:11" x14ac:dyDescent="0.25">
      <c r="A7" s="43" t="s">
        <v>28</v>
      </c>
      <c r="B7" s="30" t="s">
        <v>111</v>
      </c>
      <c r="C7" s="31">
        <v>2020</v>
      </c>
      <c r="D7" s="44">
        <f t="shared" si="0"/>
        <v>5.55</v>
      </c>
      <c r="E7" s="44">
        <f t="shared" si="1"/>
        <v>5.55</v>
      </c>
      <c r="F7" s="44">
        <f t="shared" si="2"/>
        <v>0</v>
      </c>
      <c r="G7" s="44">
        <f t="shared" si="3"/>
        <v>11.1</v>
      </c>
      <c r="H7" s="24">
        <f>COUNT(I7,J7,K7,#REF!,L7,P7,T7,X7,AB7,AF7,AJ7,AN7,AR7,AV7,AZ7,BD7,BH7,BL7,BP7)</f>
        <v>2</v>
      </c>
      <c r="I7" s="71">
        <v>0</v>
      </c>
      <c r="J7" s="104"/>
      <c r="K7" s="104">
        <v>11.1</v>
      </c>
    </row>
    <row r="8" spans="1:11" x14ac:dyDescent="0.25">
      <c r="A8" s="43" t="s">
        <v>33</v>
      </c>
      <c r="B8" s="30" t="s">
        <v>111</v>
      </c>
      <c r="C8" s="31">
        <v>2020</v>
      </c>
      <c r="D8" s="44">
        <f t="shared" si="0"/>
        <v>0</v>
      </c>
      <c r="E8" s="44">
        <f t="shared" si="1"/>
        <v>0</v>
      </c>
      <c r="F8" s="44">
        <f t="shared" si="2"/>
        <v>0</v>
      </c>
      <c r="G8" s="44">
        <f t="shared" si="3"/>
        <v>0</v>
      </c>
      <c r="H8" s="24">
        <f>COUNT(I8,J8,K8,#REF!,L8,P8,T8,X8,AB8,AF8,AJ8,AN8,AR8,AV8,AZ8,BD8,BH8,BL8,BP8)</f>
        <v>1</v>
      </c>
      <c r="I8" s="71">
        <v>0</v>
      </c>
      <c r="J8" s="104"/>
      <c r="K8" s="104"/>
    </row>
    <row r="9" spans="1:11" x14ac:dyDescent="0.25">
      <c r="A9" s="43" t="s">
        <v>34</v>
      </c>
      <c r="B9" s="30" t="s">
        <v>111</v>
      </c>
      <c r="C9" s="31">
        <v>2020</v>
      </c>
      <c r="D9" s="44">
        <f t="shared" si="0"/>
        <v>20</v>
      </c>
      <c r="E9" s="44">
        <f t="shared" si="1"/>
        <v>20</v>
      </c>
      <c r="F9" s="44">
        <f t="shared" si="2"/>
        <v>20</v>
      </c>
      <c r="G9" s="44">
        <f t="shared" si="3"/>
        <v>20</v>
      </c>
      <c r="H9" s="24">
        <f>COUNT(I9,J9,K9,#REF!,L9,P9,T9,X9,AB9,AF9,AJ9,AN9,AR9,AV9,AZ9,BD9,BH9,BL9,BP9)</f>
        <v>1</v>
      </c>
      <c r="I9" s="71">
        <v>20</v>
      </c>
      <c r="J9" s="104"/>
      <c r="K9" s="104"/>
    </row>
    <row r="10" spans="1:11" x14ac:dyDescent="0.25">
      <c r="A10" s="43" t="s">
        <v>38</v>
      </c>
      <c r="B10" s="30" t="s">
        <v>111</v>
      </c>
      <c r="C10" s="31">
        <v>2020</v>
      </c>
      <c r="D10" s="44">
        <f t="shared" si="0"/>
        <v>1700</v>
      </c>
      <c r="E10" s="44">
        <f t="shared" si="1"/>
        <v>1700</v>
      </c>
      <c r="F10" s="44">
        <f t="shared" si="2"/>
        <v>1700</v>
      </c>
      <c r="G10" s="44">
        <f t="shared" si="3"/>
        <v>1700</v>
      </c>
      <c r="H10" s="24">
        <f>COUNT(I10,J10,K10,#REF!,L10,P10,T10,X10,AB10,AF10,AJ10,AN10,AR10,AV10,AZ10,BD10,BH10,BL10,BP10)</f>
        <v>1</v>
      </c>
      <c r="I10" s="71">
        <v>1700</v>
      </c>
      <c r="J10" s="104"/>
      <c r="K10" s="104"/>
    </row>
    <row r="11" spans="1:11" x14ac:dyDescent="0.25">
      <c r="A11" s="43" t="s">
        <v>79</v>
      </c>
      <c r="B11" s="30" t="s">
        <v>111</v>
      </c>
      <c r="C11" s="31">
        <v>2020</v>
      </c>
      <c r="D11" s="44">
        <f t="shared" si="0"/>
        <v>0.5</v>
      </c>
      <c r="E11" s="44">
        <f t="shared" si="1"/>
        <v>0.5</v>
      </c>
      <c r="F11" s="44">
        <f t="shared" si="2"/>
        <v>0.5</v>
      </c>
      <c r="G11" s="44">
        <f t="shared" si="3"/>
        <v>0.5</v>
      </c>
      <c r="H11" s="24">
        <f>COUNT(I11,J11,K11,#REF!,L11,P11,T11,X11,AB11,AF11,AJ11,AN11,AR11,AV11,AZ11,BD11,BH11,BL11,BP11)</f>
        <v>1</v>
      </c>
      <c r="I11" s="71">
        <v>0.5</v>
      </c>
      <c r="J11" s="104"/>
      <c r="K11" s="104"/>
    </row>
    <row r="12" spans="1:11" x14ac:dyDescent="0.25">
      <c r="A12" s="43" t="s">
        <v>42</v>
      </c>
      <c r="B12" s="30" t="s">
        <v>111</v>
      </c>
      <c r="C12" s="31">
        <v>2020</v>
      </c>
      <c r="D12" s="44">
        <f t="shared" si="0"/>
        <v>5.7495714285714286</v>
      </c>
      <c r="E12" s="44">
        <f t="shared" si="1"/>
        <v>5</v>
      </c>
      <c r="F12" s="44">
        <f t="shared" si="2"/>
        <v>4.2857142857142865</v>
      </c>
      <c r="G12" s="44">
        <f t="shared" si="3"/>
        <v>7.9630000000000001</v>
      </c>
      <c r="H12" s="24">
        <f>COUNT(I12,J12,K12,#REF!,L12,P12,T12,X12,AB12,AF12,AJ12,AN12,AR12,AV12,AZ12,BD12,BH12,BL12,BP12)</f>
        <v>3</v>
      </c>
      <c r="I12" s="71">
        <v>5</v>
      </c>
      <c r="J12" s="104">
        <v>4.2857142857142865</v>
      </c>
      <c r="K12" s="104">
        <v>7.9630000000000001</v>
      </c>
    </row>
    <row r="13" spans="1:11" x14ac:dyDescent="0.25">
      <c r="A13" s="43" t="s">
        <v>56</v>
      </c>
      <c r="B13" s="30" t="s">
        <v>111</v>
      </c>
      <c r="C13" s="31">
        <v>2020</v>
      </c>
      <c r="D13" s="44">
        <f t="shared" si="0"/>
        <v>0</v>
      </c>
      <c r="E13" s="44">
        <f t="shared" si="1"/>
        <v>0</v>
      </c>
      <c r="F13" s="44">
        <f t="shared" si="2"/>
        <v>0</v>
      </c>
      <c r="G13" s="44">
        <f t="shared" si="3"/>
        <v>0</v>
      </c>
      <c r="H13" s="24">
        <f>COUNT(I13,J13,K13,#REF!,L13,P13,T13,X13,AB13,AF13,AJ13,AN13,AR13,AV13,AZ13,BD13,BH13,BL13,BP13)</f>
        <v>1</v>
      </c>
      <c r="I13" s="71">
        <v>0</v>
      </c>
      <c r="J13" s="104"/>
      <c r="K13" s="104"/>
    </row>
    <row r="14" spans="1:11" x14ac:dyDescent="0.25">
      <c r="A14" s="43" t="s">
        <v>58</v>
      </c>
      <c r="B14" s="30" t="s">
        <v>111</v>
      </c>
      <c r="C14" s="31">
        <v>2020</v>
      </c>
      <c r="D14" s="44">
        <f t="shared" si="0"/>
        <v>0</v>
      </c>
      <c r="E14" s="44">
        <f t="shared" si="1"/>
        <v>0</v>
      </c>
      <c r="F14" s="44">
        <f t="shared" si="2"/>
        <v>0</v>
      </c>
      <c r="G14" s="44">
        <f t="shared" si="3"/>
        <v>0</v>
      </c>
      <c r="H14" s="24">
        <f>COUNT(I14,J14,K14,#REF!,L14,P14,T14,X14,AB14,AF14,AJ14,AN14,AR14,AV14,AZ14,BD14,BH14,BL14,BP14)</f>
        <v>1</v>
      </c>
      <c r="I14" s="71">
        <v>0</v>
      </c>
      <c r="J14" s="104"/>
      <c r="K14" s="104"/>
    </row>
    <row r="15" spans="1:11" x14ac:dyDescent="0.25">
      <c r="A15" s="49" t="s">
        <v>57</v>
      </c>
      <c r="B15" s="30" t="s">
        <v>111</v>
      </c>
      <c r="C15" s="31">
        <v>2020</v>
      </c>
      <c r="D15" s="44">
        <f t="shared" si="0"/>
        <v>3419.2989678053573</v>
      </c>
      <c r="E15" s="44">
        <f t="shared" si="1"/>
        <v>3419.2989678053573</v>
      </c>
      <c r="F15" s="44">
        <f t="shared" si="2"/>
        <v>2300</v>
      </c>
      <c r="G15" s="44">
        <f t="shared" si="3"/>
        <v>4538.5979356107146</v>
      </c>
      <c r="H15" s="24">
        <f>COUNT(I15,J15,K15,#REF!,L15,P15,T15,X15,AB15,AF15,AJ15,AN15,AR15,AV15,AZ15,BD15,BH15,BL15,BP15)</f>
        <v>2</v>
      </c>
      <c r="I15" s="71">
        <v>2300</v>
      </c>
      <c r="J15" s="104"/>
      <c r="K15" s="104">
        <v>4538.5979356107146</v>
      </c>
    </row>
    <row r="16" spans="1:11" x14ac:dyDescent="0.25">
      <c r="A16" s="26"/>
      <c r="B16" s="32"/>
      <c r="C16" s="32"/>
      <c r="D16" s="26"/>
      <c r="E16" s="26"/>
      <c r="F16" s="26"/>
      <c r="G16" s="26"/>
      <c r="H16" s="35"/>
      <c r="I16" s="110"/>
      <c r="J16" s="111"/>
      <c r="K16" s="111"/>
    </row>
  </sheetData>
  <mergeCells count="1">
    <mergeCell ref="D1: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0" tint="-0.499984740745262"/>
  </sheetPr>
  <dimension ref="A1:R14"/>
  <sheetViews>
    <sheetView workbookViewId="0">
      <pane xSplit="1" topLeftCell="B1" activePane="topRight" state="frozen"/>
      <selection pane="topRight" activeCell="H14" sqref="H14"/>
    </sheetView>
  </sheetViews>
  <sheetFormatPr defaultRowHeight="15" x14ac:dyDescent="0.25"/>
  <cols>
    <col min="1" max="1" width="10.85546875" bestFit="1" customWidth="1"/>
    <col min="8" max="8" width="33.42578125" customWidth="1"/>
    <col min="9" max="9" width="11.7109375" bestFit="1" customWidth="1"/>
    <col min="10" max="10" width="15.5703125" bestFit="1" customWidth="1"/>
    <col min="11" max="11" width="13.85546875" bestFit="1" customWidth="1"/>
    <col min="12" max="12" width="14.42578125" bestFit="1" customWidth="1"/>
    <col min="13" max="13" width="12" bestFit="1" customWidth="1"/>
    <col min="14" max="14" width="15.5703125" bestFit="1" customWidth="1"/>
    <col min="15" max="15" width="14.28515625" bestFit="1" customWidth="1"/>
    <col min="16" max="18" width="12" bestFit="1" customWidth="1"/>
  </cols>
  <sheetData>
    <row r="1" spans="1:18" x14ac:dyDescent="0.25">
      <c r="A1" s="48" t="s">
        <v>70</v>
      </c>
      <c r="B1" s="27" t="s">
        <v>71</v>
      </c>
      <c r="C1" s="27" t="s">
        <v>72</v>
      </c>
      <c r="D1" s="129" t="s">
        <v>73</v>
      </c>
      <c r="E1" s="130"/>
      <c r="F1" s="130"/>
      <c r="G1" s="130"/>
      <c r="H1" s="131"/>
      <c r="I1" s="59" t="s">
        <v>206</v>
      </c>
      <c r="J1" s="66" t="s">
        <v>207</v>
      </c>
      <c r="K1" s="61" t="s">
        <v>110</v>
      </c>
      <c r="L1" s="66" t="s">
        <v>208</v>
      </c>
      <c r="M1" s="61" t="s">
        <v>211</v>
      </c>
      <c r="N1" s="66" t="s">
        <v>212</v>
      </c>
      <c r="O1" s="61" t="s">
        <v>213</v>
      </c>
      <c r="P1" s="66" t="s">
        <v>191</v>
      </c>
      <c r="Q1" s="61" t="s">
        <v>217</v>
      </c>
      <c r="R1" s="55" t="s">
        <v>218</v>
      </c>
    </row>
    <row r="2" spans="1:18" ht="40.5" x14ac:dyDescent="0.25">
      <c r="A2" s="23"/>
      <c r="B2" s="28"/>
      <c r="C2" s="28"/>
      <c r="D2" s="90" t="s">
        <v>95</v>
      </c>
      <c r="E2" s="33" t="s">
        <v>96</v>
      </c>
      <c r="F2" s="33" t="s">
        <v>97</v>
      </c>
      <c r="G2" s="34" t="s">
        <v>98</v>
      </c>
      <c r="H2" s="36" t="s">
        <v>107</v>
      </c>
      <c r="I2" s="39" t="s">
        <v>75</v>
      </c>
      <c r="J2" s="67" t="s">
        <v>75</v>
      </c>
      <c r="K2" s="62" t="s">
        <v>75</v>
      </c>
      <c r="L2" s="67" t="s">
        <v>75</v>
      </c>
      <c r="M2" s="62" t="s">
        <v>75</v>
      </c>
      <c r="N2" s="67" t="s">
        <v>75</v>
      </c>
      <c r="O2" s="62" t="s">
        <v>75</v>
      </c>
      <c r="P2" s="67" t="s">
        <v>75</v>
      </c>
      <c r="Q2" s="62" t="s">
        <v>75</v>
      </c>
      <c r="R2" s="41" t="s">
        <v>75</v>
      </c>
    </row>
    <row r="3" spans="1:18" x14ac:dyDescent="0.25">
      <c r="A3" s="24"/>
      <c r="B3" s="29"/>
      <c r="C3" s="30"/>
      <c r="D3" s="91"/>
      <c r="E3" s="24"/>
      <c r="F3" s="24"/>
      <c r="G3" s="24"/>
      <c r="H3" s="40"/>
      <c r="I3" s="104"/>
      <c r="J3" s="71"/>
      <c r="K3" s="71"/>
      <c r="L3" s="71"/>
      <c r="M3" s="71"/>
      <c r="N3" s="71"/>
      <c r="O3" s="71"/>
      <c r="P3" s="71"/>
      <c r="Q3" s="71"/>
      <c r="R3" s="104"/>
    </row>
    <row r="4" spans="1:18" x14ac:dyDescent="0.25">
      <c r="A4" s="24"/>
      <c r="B4" s="29"/>
      <c r="C4" s="30"/>
      <c r="D4" s="91"/>
      <c r="E4" s="24"/>
      <c r="F4" s="24"/>
      <c r="G4" s="24"/>
      <c r="H4" s="40"/>
      <c r="I4" s="104"/>
      <c r="J4" s="71"/>
      <c r="K4" s="71"/>
      <c r="L4" s="71"/>
      <c r="M4" s="71"/>
      <c r="N4" s="71"/>
      <c r="O4" s="71"/>
      <c r="P4" s="71"/>
      <c r="Q4" s="71"/>
      <c r="R4" s="104"/>
    </row>
    <row r="5" spans="1:18" x14ac:dyDescent="0.25">
      <c r="A5" s="42" t="s">
        <v>26</v>
      </c>
      <c r="B5" s="30" t="s">
        <v>111</v>
      </c>
      <c r="C5" s="31">
        <v>2020</v>
      </c>
      <c r="D5" s="112">
        <f t="shared" ref="D5:D9" si="0">AVERAGE(I5,J5,K5,L5,M5,N5,O5,P5,Q5,R5)</f>
        <v>1.2238986330830393</v>
      </c>
      <c r="E5" s="47">
        <f t="shared" ref="E5:E9" si="1">MEDIAN(I5,J5,K5,L5,M5,N5,O5,P5,Q5,R5)</f>
        <v>0.73801742919389979</v>
      </c>
      <c r="F5" s="47">
        <f t="shared" ref="F5:F9" si="2">MIN(I5,J5,K5,L5,M5,N5,O5,P5,Q5,R5)</f>
        <v>0.33998832293513492</v>
      </c>
      <c r="G5" s="47">
        <f t="shared" ref="G5:G9" si="3">MAX(I5,J5,K5,L5,M5,N5,O5,P5,Q5,R5)</f>
        <v>4.166666666666667</v>
      </c>
      <c r="H5" s="40">
        <f>COUNT(I5,J5,K5,L5,M5,N5,O5,P5,Q5,R5,#REF!,#REF!,#REF!,#REF!,#REF!,#REF!,S5,W5,AA5)</f>
        <v>10</v>
      </c>
      <c r="I5" s="104">
        <v>0.7407407407407407</v>
      </c>
      <c r="J5" s="71">
        <v>0.73529411764705888</v>
      </c>
      <c r="K5" s="71">
        <v>4.166666666666667</v>
      </c>
      <c r="L5" s="71">
        <v>1.1976047904191618</v>
      </c>
      <c r="M5" s="71">
        <v>1.1764705882352942</v>
      </c>
      <c r="N5" s="71">
        <v>2.2325029064106054</v>
      </c>
      <c r="O5" s="71">
        <v>0.66700000000000004</v>
      </c>
      <c r="P5" s="71">
        <v>0.6</v>
      </c>
      <c r="Q5" s="71">
        <v>0.38271819777573185</v>
      </c>
      <c r="R5" s="104">
        <v>0.33998832293513492</v>
      </c>
    </row>
    <row r="6" spans="1:18" x14ac:dyDescent="0.25">
      <c r="A6" t="s">
        <v>42</v>
      </c>
      <c r="B6" s="30" t="s">
        <v>111</v>
      </c>
      <c r="C6" s="31">
        <v>2020</v>
      </c>
      <c r="D6" s="112">
        <f t="shared" si="0"/>
        <v>0.37318899083840273</v>
      </c>
      <c r="E6" s="47">
        <f t="shared" si="1"/>
        <v>0.30468807951932353</v>
      </c>
      <c r="F6" s="47">
        <f t="shared" si="2"/>
        <v>3.7499999999999999E-2</v>
      </c>
      <c r="G6" s="47">
        <f t="shared" si="3"/>
        <v>1.0416666666666667</v>
      </c>
      <c r="H6" s="40">
        <f>COUNT(I6,J6,K6,L6,M6,N6,O6,P6,Q6,R6,#REF!,#REF!,#REF!,#REF!,#REF!,#REF!,S6,W6,AA6)</f>
        <v>10</v>
      </c>
      <c r="I6" s="104">
        <v>7.407407407407407E-2</v>
      </c>
      <c r="J6" s="71">
        <v>0.22058823529411764</v>
      </c>
      <c r="K6" s="71">
        <v>1.0416666666666667</v>
      </c>
      <c r="L6" s="71">
        <v>0.47904191616766473</v>
      </c>
      <c r="M6" s="71">
        <v>0.29411764705882354</v>
      </c>
      <c r="N6" s="71">
        <v>0.52083333333333337</v>
      </c>
      <c r="O6" s="71">
        <v>3.7499999999999999E-2</v>
      </c>
      <c r="P6" s="71">
        <v>0.6</v>
      </c>
      <c r="Q6" s="71">
        <v>0.14880952380952381</v>
      </c>
      <c r="R6" s="104">
        <v>0.31525851197982346</v>
      </c>
    </row>
    <row r="7" spans="1:18" x14ac:dyDescent="0.25">
      <c r="A7" t="s">
        <v>44</v>
      </c>
      <c r="B7" s="30" t="s">
        <v>111</v>
      </c>
      <c r="C7" s="31">
        <v>2020</v>
      </c>
      <c r="D7" s="112">
        <f t="shared" si="0"/>
        <v>139.39393939393938</v>
      </c>
      <c r="E7" s="47">
        <f t="shared" si="1"/>
        <v>139.39393939393938</v>
      </c>
      <c r="F7" s="47">
        <f t="shared" si="2"/>
        <v>139.39393939393938</v>
      </c>
      <c r="G7" s="47">
        <f t="shared" si="3"/>
        <v>139.39393939393938</v>
      </c>
      <c r="H7" s="40">
        <f>COUNT(I7,J7,K7,L7,M7,N7,O7,P7,Q7,R7,#REF!,#REF!,#REF!,#REF!,#REF!,#REF!,S7,W7,AA7)</f>
        <v>1</v>
      </c>
      <c r="I7" s="104"/>
      <c r="J7" s="71"/>
      <c r="K7" s="71"/>
      <c r="L7" s="71"/>
      <c r="M7" s="71"/>
      <c r="N7" s="71"/>
      <c r="O7" s="71"/>
      <c r="P7" s="71">
        <v>139.39393939393938</v>
      </c>
      <c r="Q7" s="71"/>
      <c r="R7" s="104"/>
    </row>
    <row r="8" spans="1:18" x14ac:dyDescent="0.25">
      <c r="A8" t="s">
        <v>90</v>
      </c>
      <c r="B8" s="30" t="s">
        <v>111</v>
      </c>
      <c r="C8" s="31">
        <v>2020</v>
      </c>
      <c r="D8" s="112">
        <f t="shared" si="0"/>
        <v>0.41712983866043513</v>
      </c>
      <c r="E8" s="47">
        <f t="shared" si="1"/>
        <v>0.41712983866043513</v>
      </c>
      <c r="F8" s="47">
        <f t="shared" si="2"/>
        <v>0.41712983866043513</v>
      </c>
      <c r="G8" s="47">
        <f t="shared" si="3"/>
        <v>0.41712983866043513</v>
      </c>
      <c r="H8" s="40">
        <f>COUNT(I8,J8,K8,L8,M8,N8,O8,P8,Q8,R8,#REF!,#REF!,#REF!,#REF!,#REF!,#REF!,S8,W8,AA8)</f>
        <v>1</v>
      </c>
      <c r="I8" s="104"/>
      <c r="J8" s="71"/>
      <c r="K8" s="71"/>
      <c r="L8" s="71"/>
      <c r="M8" s="71"/>
      <c r="N8" s="71"/>
      <c r="O8" s="71"/>
      <c r="P8" s="71"/>
      <c r="Q8" s="71"/>
      <c r="R8" s="104">
        <v>0.41712983866043513</v>
      </c>
    </row>
    <row r="9" spans="1:18" x14ac:dyDescent="0.25">
      <c r="A9" t="s">
        <v>53</v>
      </c>
      <c r="B9" s="30" t="s">
        <v>111</v>
      </c>
      <c r="C9" s="31">
        <v>2020</v>
      </c>
      <c r="D9" s="112">
        <f t="shared" si="0"/>
        <v>340.66666666666669</v>
      </c>
      <c r="E9" s="47">
        <f t="shared" si="1"/>
        <v>414</v>
      </c>
      <c r="F9" s="47">
        <f t="shared" si="2"/>
        <v>80</v>
      </c>
      <c r="G9" s="47">
        <f t="shared" si="3"/>
        <v>528</v>
      </c>
      <c r="H9" s="40">
        <f>COUNT(I9,J9,K9,L9,M9,N9,O9,P9,Q9,R9,#REF!,#REF!,#REF!,#REF!,#REF!,#REF!,S9,W9,AA9)</f>
        <v>3</v>
      </c>
      <c r="I9" s="104">
        <v>528</v>
      </c>
      <c r="J9" s="71"/>
      <c r="K9" s="71"/>
      <c r="L9" s="71"/>
      <c r="M9" s="71"/>
      <c r="N9" s="71"/>
      <c r="O9" s="71">
        <v>414</v>
      </c>
      <c r="P9" s="71">
        <v>80</v>
      </c>
      <c r="Q9" s="71"/>
      <c r="R9" s="104"/>
    </row>
    <row r="10" spans="1:18" x14ac:dyDescent="0.25">
      <c r="B10" s="30"/>
      <c r="C10" s="31"/>
      <c r="D10" s="112"/>
      <c r="E10" s="47"/>
      <c r="F10" s="47"/>
      <c r="G10" s="47"/>
      <c r="H10" s="40"/>
      <c r="I10" s="104"/>
      <c r="J10" s="71"/>
      <c r="K10" s="71"/>
      <c r="L10" s="71"/>
      <c r="M10" s="71"/>
      <c r="N10" s="71"/>
      <c r="O10" s="71"/>
      <c r="P10" s="71"/>
      <c r="Q10" s="71"/>
      <c r="R10" s="104"/>
    </row>
    <row r="11" spans="1:18" ht="45" x14ac:dyDescent="0.25">
      <c r="A11" s="98" t="s">
        <v>26</v>
      </c>
      <c r="B11" s="82" t="s">
        <v>111</v>
      </c>
      <c r="C11" s="82">
        <v>2050</v>
      </c>
      <c r="D11" s="116">
        <f>AVERAGE(F11:G11)</f>
        <v>0.19499416146756746</v>
      </c>
      <c r="E11" s="114">
        <f>AVERAGE(F11:G11)</f>
        <v>0.19499416146756746</v>
      </c>
      <c r="F11" s="114">
        <v>0.05</v>
      </c>
      <c r="G11" s="114">
        <f>F5</f>
        <v>0.33998832293513492</v>
      </c>
      <c r="H11" s="97" t="s">
        <v>222</v>
      </c>
      <c r="I11" s="104"/>
      <c r="J11" s="71"/>
      <c r="K11" s="71"/>
      <c r="L11" s="71"/>
      <c r="M11" s="71"/>
      <c r="N11" s="71"/>
      <c r="O11" s="71"/>
      <c r="P11" s="71"/>
      <c r="Q11" s="71"/>
      <c r="R11" s="104"/>
    </row>
    <row r="12" spans="1:18" ht="45" x14ac:dyDescent="0.25">
      <c r="A12" s="98" t="s">
        <v>42</v>
      </c>
      <c r="B12" s="82" t="s">
        <v>111</v>
      </c>
      <c r="C12" s="82">
        <v>2050</v>
      </c>
      <c r="D12" s="116">
        <f>AVERAGE(F12:G12)</f>
        <v>2.375E-2</v>
      </c>
      <c r="E12" s="114">
        <f>AVERAGE(F12:G12)</f>
        <v>2.375E-2</v>
      </c>
      <c r="F12" s="114">
        <v>0.01</v>
      </c>
      <c r="G12" s="114">
        <f>F6</f>
        <v>3.7499999999999999E-2</v>
      </c>
      <c r="H12" s="97" t="s">
        <v>222</v>
      </c>
      <c r="I12" s="115"/>
      <c r="J12" s="63"/>
      <c r="K12" s="63"/>
      <c r="L12" s="63"/>
      <c r="M12" s="63"/>
      <c r="N12" s="63"/>
      <c r="O12" s="63"/>
      <c r="P12" s="63"/>
      <c r="Q12" s="63"/>
      <c r="R12" s="40"/>
    </row>
    <row r="13" spans="1:18" x14ac:dyDescent="0.25">
      <c r="A13" s="98" t="s">
        <v>53</v>
      </c>
      <c r="B13" s="82" t="s">
        <v>111</v>
      </c>
      <c r="C13" s="82">
        <v>2050</v>
      </c>
      <c r="D13" s="45">
        <v>37</v>
      </c>
      <c r="E13" s="45">
        <v>37</v>
      </c>
      <c r="F13" s="45">
        <v>30</v>
      </c>
      <c r="G13" s="45">
        <v>50</v>
      </c>
      <c r="H13" s="97" t="s">
        <v>392</v>
      </c>
      <c r="I13" s="115"/>
      <c r="J13" s="63"/>
      <c r="K13" s="63"/>
      <c r="L13" s="63"/>
      <c r="M13" s="63"/>
      <c r="N13" s="63"/>
      <c r="O13" s="63"/>
      <c r="P13" s="63"/>
      <c r="Q13" s="63"/>
      <c r="R13" s="40"/>
    </row>
    <row r="14" spans="1:18" x14ac:dyDescent="0.25">
      <c r="A14" s="26"/>
      <c r="B14" s="32"/>
      <c r="C14" s="32"/>
      <c r="D14" s="95"/>
      <c r="E14" s="26"/>
      <c r="F14" s="26"/>
      <c r="G14" s="26"/>
      <c r="H14" s="89"/>
      <c r="I14" s="37"/>
      <c r="J14" s="65"/>
      <c r="K14" s="65"/>
      <c r="L14" s="65"/>
      <c r="M14" s="65"/>
      <c r="N14" s="65"/>
      <c r="O14" s="65"/>
      <c r="P14" s="65"/>
      <c r="Q14" s="65"/>
      <c r="R14" s="37"/>
    </row>
  </sheetData>
  <mergeCells count="1">
    <mergeCell ref="D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>
      <selection activeCell="B22" sqref="B22"/>
    </sheetView>
  </sheetViews>
  <sheetFormatPr defaultRowHeight="15" x14ac:dyDescent="0.25"/>
  <cols>
    <col min="1" max="1" width="24.42578125" bestFit="1" customWidth="1"/>
    <col min="2" max="2" width="71.140625" bestFit="1" customWidth="1"/>
  </cols>
  <sheetData>
    <row r="1" spans="1:2" x14ac:dyDescent="0.25">
      <c r="A1" s="1" t="s">
        <v>59</v>
      </c>
      <c r="B1" s="80" t="s">
        <v>60</v>
      </c>
    </row>
    <row r="2" spans="1:2" x14ac:dyDescent="0.25">
      <c r="A2" s="20" t="s">
        <v>69</v>
      </c>
      <c r="B2" s="21"/>
    </row>
    <row r="3" spans="1:2" x14ac:dyDescent="0.25">
      <c r="A3" s="2" t="s">
        <v>61</v>
      </c>
      <c r="B3" s="3"/>
    </row>
    <row r="4" spans="1:2" x14ac:dyDescent="0.25">
      <c r="A4" s="22" t="s">
        <v>62</v>
      </c>
      <c r="B4" s="4"/>
    </row>
    <row r="5" spans="1:2" x14ac:dyDescent="0.25">
      <c r="A5" s="5"/>
      <c r="B5" s="6" t="s">
        <v>378</v>
      </c>
    </row>
    <row r="6" spans="1:2" x14ac:dyDescent="0.25">
      <c r="A6" s="5"/>
      <c r="B6" s="7" t="s">
        <v>377</v>
      </c>
    </row>
    <row r="7" spans="1:2" x14ac:dyDescent="0.25">
      <c r="A7" s="8" t="s">
        <v>63</v>
      </c>
      <c r="B7" s="9"/>
    </row>
    <row r="8" spans="1:2" x14ac:dyDescent="0.25">
      <c r="A8" s="5"/>
      <c r="B8" s="6" t="s">
        <v>378</v>
      </c>
    </row>
    <row r="9" spans="1:2" x14ac:dyDescent="0.25">
      <c r="A9" s="5"/>
      <c r="B9" s="7" t="s">
        <v>377</v>
      </c>
    </row>
    <row r="10" spans="1:2" x14ac:dyDescent="0.25">
      <c r="A10" s="127" t="s">
        <v>391</v>
      </c>
      <c r="B10" s="128"/>
    </row>
    <row r="11" spans="1:2" x14ac:dyDescent="0.25">
      <c r="A11" s="11" t="s">
        <v>64</v>
      </c>
      <c r="B11" s="12"/>
    </row>
    <row r="12" spans="1:2" x14ac:dyDescent="0.25">
      <c r="A12" s="5"/>
      <c r="B12" s="13" t="s">
        <v>385</v>
      </c>
    </row>
    <row r="13" spans="1:2" x14ac:dyDescent="0.25">
      <c r="A13" s="5"/>
      <c r="B13" s="10" t="s">
        <v>386</v>
      </c>
    </row>
    <row r="14" spans="1:2" x14ac:dyDescent="0.25">
      <c r="A14" s="5"/>
      <c r="B14" s="7" t="s">
        <v>387</v>
      </c>
    </row>
    <row r="15" spans="1:2" x14ac:dyDescent="0.25">
      <c r="A15" s="14" t="s">
        <v>65</v>
      </c>
      <c r="B15" s="15"/>
    </row>
    <row r="16" spans="1:2" x14ac:dyDescent="0.25">
      <c r="A16" s="5"/>
      <c r="B16" s="10" t="s">
        <v>388</v>
      </c>
    </row>
    <row r="17" spans="1:2" x14ac:dyDescent="0.25">
      <c r="A17" s="5"/>
      <c r="B17" s="10" t="s">
        <v>389</v>
      </c>
    </row>
    <row r="18" spans="1:2" x14ac:dyDescent="0.25">
      <c r="A18" s="5"/>
      <c r="B18" s="10" t="s">
        <v>390</v>
      </c>
    </row>
    <row r="19" spans="1:2" x14ac:dyDescent="0.25">
      <c r="A19" s="16" t="s">
        <v>66</v>
      </c>
      <c r="B19" s="17"/>
    </row>
    <row r="20" spans="1:2" x14ac:dyDescent="0.25">
      <c r="A20" s="5"/>
      <c r="B20" s="7" t="s">
        <v>379</v>
      </c>
    </row>
    <row r="21" spans="1:2" x14ac:dyDescent="0.25">
      <c r="A21" s="5"/>
      <c r="B21" s="7" t="s">
        <v>380</v>
      </c>
    </row>
    <row r="22" spans="1:2" x14ac:dyDescent="0.25">
      <c r="A22" s="5"/>
      <c r="B22" s="7" t="s">
        <v>381</v>
      </c>
    </row>
    <row r="23" spans="1:2" x14ac:dyDescent="0.25">
      <c r="A23" s="5"/>
      <c r="B23" s="7" t="s">
        <v>382</v>
      </c>
    </row>
    <row r="24" spans="1:2" x14ac:dyDescent="0.25">
      <c r="A24" s="5"/>
      <c r="B24" s="10" t="s">
        <v>67</v>
      </c>
    </row>
    <row r="25" spans="1:2" x14ac:dyDescent="0.25">
      <c r="A25" s="18" t="s">
        <v>68</v>
      </c>
      <c r="B25" s="19"/>
    </row>
    <row r="26" spans="1:2" x14ac:dyDescent="0.25">
      <c r="A26" s="5"/>
      <c r="B26" s="10" t="s">
        <v>383</v>
      </c>
    </row>
    <row r="27" spans="1:2" x14ac:dyDescent="0.25">
      <c r="A27" s="78"/>
      <c r="B27" s="79" t="s">
        <v>384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0" tint="-0.499984740745262"/>
  </sheetPr>
  <dimension ref="A1:M12"/>
  <sheetViews>
    <sheetView tabSelected="1" workbookViewId="0">
      <pane xSplit="1" topLeftCell="B1" activePane="topRight" state="frozen"/>
      <selection pane="topRight" activeCell="F32" sqref="F32"/>
    </sheetView>
  </sheetViews>
  <sheetFormatPr defaultRowHeight="15" x14ac:dyDescent="0.25"/>
  <cols>
    <col min="9" max="9" width="13.85546875" bestFit="1" customWidth="1"/>
    <col min="10" max="11" width="12" bestFit="1" customWidth="1"/>
    <col min="12" max="12" width="15.7109375" bestFit="1" customWidth="1"/>
    <col min="13" max="13" width="12" bestFit="1" customWidth="1"/>
  </cols>
  <sheetData>
    <row r="1" spans="1:13" x14ac:dyDescent="0.25">
      <c r="A1" s="48" t="s">
        <v>70</v>
      </c>
      <c r="B1" s="27" t="s">
        <v>71</v>
      </c>
      <c r="C1" s="27" t="s">
        <v>72</v>
      </c>
      <c r="D1" s="129" t="s">
        <v>73</v>
      </c>
      <c r="E1" s="130"/>
      <c r="F1" s="130"/>
      <c r="G1" s="130"/>
      <c r="H1" s="131"/>
      <c r="I1" s="61" t="s">
        <v>110</v>
      </c>
      <c r="J1" s="66" t="s">
        <v>214</v>
      </c>
      <c r="K1" s="61" t="s">
        <v>191</v>
      </c>
      <c r="L1" s="66" t="s">
        <v>216</v>
      </c>
      <c r="M1" s="61" t="s">
        <v>219</v>
      </c>
    </row>
    <row r="2" spans="1:13" ht="40.5" x14ac:dyDescent="0.25">
      <c r="A2" s="23"/>
      <c r="B2" s="28"/>
      <c r="C2" s="28"/>
      <c r="D2" s="90" t="s">
        <v>95</v>
      </c>
      <c r="E2" s="33" t="s">
        <v>96</v>
      </c>
      <c r="F2" s="33" t="s">
        <v>97</v>
      </c>
      <c r="G2" s="34" t="s">
        <v>98</v>
      </c>
      <c r="H2" s="36" t="s">
        <v>107</v>
      </c>
      <c r="I2" s="62" t="s">
        <v>75</v>
      </c>
      <c r="J2" s="67" t="s">
        <v>75</v>
      </c>
      <c r="K2" s="62" t="s">
        <v>75</v>
      </c>
      <c r="L2" s="67" t="s">
        <v>75</v>
      </c>
      <c r="M2" s="62" t="s">
        <v>75</v>
      </c>
    </row>
    <row r="3" spans="1:13" x14ac:dyDescent="0.25">
      <c r="A3" s="24"/>
      <c r="B3" s="29"/>
      <c r="C3" s="30"/>
      <c r="D3" s="91"/>
      <c r="E3" s="24"/>
      <c r="F3" s="24"/>
      <c r="G3" s="24"/>
      <c r="H3" s="40"/>
      <c r="I3" s="71"/>
      <c r="J3" s="71"/>
      <c r="K3" s="71"/>
      <c r="L3" s="71"/>
      <c r="M3" s="71"/>
    </row>
    <row r="4" spans="1:13" x14ac:dyDescent="0.25">
      <c r="A4" s="42" t="s">
        <v>3</v>
      </c>
      <c r="B4" s="30" t="s">
        <v>111</v>
      </c>
      <c r="C4" s="31">
        <v>2020</v>
      </c>
      <c r="D4" s="112">
        <f>AVERAGE(I4,J4,K4,L4,M4)</f>
        <v>75</v>
      </c>
      <c r="E4" s="47">
        <f>MEDIAN(I4,J4,K4,L4,M4)</f>
        <v>75</v>
      </c>
      <c r="F4" s="47">
        <f>MIN(I4,J4,K4,L4,M4)</f>
        <v>75</v>
      </c>
      <c r="G4" s="47">
        <f>MAX(I4,J4,K4,L4,M4)</f>
        <v>75</v>
      </c>
      <c r="H4" s="40">
        <f>COUNT(I4,J4,K4,L4,M4,#REF!,#REF!,#REF!,#REF!,#REF!,#REF!,#REF!,#REF!,#REF!,#REF!,#REF!,N4,R4,V4)</f>
        <v>1</v>
      </c>
      <c r="I4" s="71"/>
      <c r="J4" s="71"/>
      <c r="K4" s="71"/>
      <c r="L4" s="71"/>
      <c r="M4" s="71">
        <v>75</v>
      </c>
    </row>
    <row r="5" spans="1:13" x14ac:dyDescent="0.25">
      <c r="A5" s="42" t="s">
        <v>13</v>
      </c>
      <c r="B5" s="30" t="s">
        <v>111</v>
      </c>
      <c r="C5" s="31">
        <v>2020</v>
      </c>
      <c r="D5" s="112">
        <f t="shared" ref="D5:D11" si="0">AVERAGE(I5,J5,K5,L5,M5)</f>
        <v>6.7</v>
      </c>
      <c r="E5" s="47">
        <f t="shared" ref="E5:E11" si="1">MEDIAN(I5,J5,K5,L5,M5)</f>
        <v>6.7</v>
      </c>
      <c r="F5" s="47">
        <f t="shared" ref="F5:F11" si="2">MIN(I5,J5,K5,L5,M5)</f>
        <v>4.5</v>
      </c>
      <c r="G5" s="47">
        <f t="shared" ref="G5:G11" si="3">MAX(I5,J5,K5,L5,M5)</f>
        <v>8.9</v>
      </c>
      <c r="H5" s="40">
        <f>COUNT(I5,J5,K5,L5,M5,#REF!,#REF!,#REF!,#REF!,#REF!,#REF!,#REF!,#REF!,#REF!,#REF!,#REF!,N5,R5,V5)</f>
        <v>2</v>
      </c>
      <c r="I5" s="71">
        <v>8.9</v>
      </c>
      <c r="J5" s="71"/>
      <c r="K5" s="71">
        <v>4.5</v>
      </c>
      <c r="L5" s="71"/>
      <c r="M5" s="71"/>
    </row>
    <row r="6" spans="1:13" x14ac:dyDescent="0.25">
      <c r="A6" s="42" t="s">
        <v>22</v>
      </c>
      <c r="B6" s="30" t="s">
        <v>111</v>
      </c>
      <c r="C6" s="31">
        <v>2020</v>
      </c>
      <c r="D6" s="112">
        <f t="shared" si="0"/>
        <v>71.666666666666671</v>
      </c>
      <c r="E6" s="47">
        <f t="shared" si="1"/>
        <v>71.666666666666671</v>
      </c>
      <c r="F6" s="47">
        <f t="shared" si="2"/>
        <v>71.666666666666671</v>
      </c>
      <c r="G6" s="47">
        <f t="shared" si="3"/>
        <v>71.666666666666671</v>
      </c>
      <c r="H6" s="40">
        <f>COUNT(I6,J6,K6,L6,M6,#REF!,#REF!,#REF!,#REF!,#REF!,#REF!,#REF!,#REF!,#REF!,#REF!,#REF!,N6,R6,V6)</f>
        <v>1</v>
      </c>
      <c r="I6" s="71"/>
      <c r="J6" s="71"/>
      <c r="K6" s="71"/>
      <c r="L6" s="71"/>
      <c r="M6" s="71">
        <v>71.666666666666671</v>
      </c>
    </row>
    <row r="7" spans="1:13" x14ac:dyDescent="0.25">
      <c r="A7" s="42" t="s">
        <v>38</v>
      </c>
      <c r="B7" s="30" t="s">
        <v>111</v>
      </c>
      <c r="C7" s="31">
        <v>2020</v>
      </c>
      <c r="D7" s="112">
        <f t="shared" si="0"/>
        <v>2520.7916666666665</v>
      </c>
      <c r="E7" s="47">
        <f t="shared" si="1"/>
        <v>2458.25</v>
      </c>
      <c r="F7" s="47">
        <f t="shared" si="2"/>
        <v>2000</v>
      </c>
      <c r="G7" s="47">
        <f t="shared" si="3"/>
        <v>3166.6666666666665</v>
      </c>
      <c r="H7" s="40">
        <f>COUNT(I7,J7,K7,L7,M7,#REF!,#REF!,#REF!,#REF!,#REF!,#REF!,#REF!,#REF!,#REF!,#REF!,#REF!,N7,R7,V7)</f>
        <v>4</v>
      </c>
      <c r="I7" s="71"/>
      <c r="J7" s="71">
        <v>2007.5</v>
      </c>
      <c r="K7" s="71">
        <v>2909</v>
      </c>
      <c r="L7" s="71">
        <v>2000</v>
      </c>
      <c r="M7" s="71">
        <v>3166.6666666666665</v>
      </c>
    </row>
    <row r="8" spans="1:13" x14ac:dyDescent="0.25">
      <c r="A8" s="42" t="s">
        <v>42</v>
      </c>
      <c r="B8" s="30" t="s">
        <v>111</v>
      </c>
      <c r="C8" s="31">
        <v>2020</v>
      </c>
      <c r="D8" s="112">
        <f t="shared" si="0"/>
        <v>1.3</v>
      </c>
      <c r="E8" s="47">
        <f t="shared" si="1"/>
        <v>1.3</v>
      </c>
      <c r="F8" s="47">
        <f t="shared" si="2"/>
        <v>1.3</v>
      </c>
      <c r="G8" s="47">
        <f t="shared" si="3"/>
        <v>1.3</v>
      </c>
      <c r="H8" s="40">
        <f>COUNT(I8,J8,K8,L8,M8,#REF!,#REF!,#REF!,#REF!,#REF!,#REF!,#REF!,#REF!,#REF!,#REF!,#REF!,N8,R8,V8)</f>
        <v>1</v>
      </c>
      <c r="I8" s="71"/>
      <c r="J8" s="71">
        <v>1.3</v>
      </c>
      <c r="K8" s="71"/>
      <c r="L8" s="71"/>
      <c r="M8" s="71"/>
    </row>
    <row r="9" spans="1:13" x14ac:dyDescent="0.25">
      <c r="A9" s="42" t="s">
        <v>44</v>
      </c>
      <c r="B9" s="30" t="s">
        <v>111</v>
      </c>
      <c r="C9" s="31">
        <v>2020</v>
      </c>
      <c r="D9" s="112">
        <f t="shared" si="0"/>
        <v>334.33838383838383</v>
      </c>
      <c r="E9" s="47">
        <f t="shared" si="1"/>
        <v>420</v>
      </c>
      <c r="F9" s="47">
        <f t="shared" si="2"/>
        <v>159.60606060606059</v>
      </c>
      <c r="G9" s="47">
        <f t="shared" si="3"/>
        <v>423.40909090909088</v>
      </c>
      <c r="H9" s="40">
        <f>COUNT(I9,J9,K9,L9,M9,#REF!,#REF!,#REF!,#REF!,#REF!,#REF!,#REF!,#REF!,#REF!,#REF!,#REF!,N9,R9,V9)</f>
        <v>3</v>
      </c>
      <c r="I9" s="71"/>
      <c r="J9" s="71">
        <v>423.40909090909088</v>
      </c>
      <c r="K9" s="71">
        <v>159.60606060606059</v>
      </c>
      <c r="L9" s="71">
        <v>420</v>
      </c>
      <c r="M9" s="71"/>
    </row>
    <row r="10" spans="1:13" x14ac:dyDescent="0.25">
      <c r="A10" s="42" t="s">
        <v>48</v>
      </c>
      <c r="B10" s="30" t="s">
        <v>111</v>
      </c>
      <c r="C10" s="31">
        <v>2020</v>
      </c>
      <c r="D10" s="112">
        <f t="shared" si="0"/>
        <v>256.00775822891643</v>
      </c>
      <c r="E10" s="47">
        <f t="shared" si="1"/>
        <v>256.00775822891649</v>
      </c>
      <c r="F10" s="47">
        <f t="shared" si="2"/>
        <v>37.015516457832888</v>
      </c>
      <c r="G10" s="47">
        <f t="shared" si="3"/>
        <v>475</v>
      </c>
      <c r="H10" s="40">
        <f>COUNT(I10,J10,K10,L10,M10,#REF!,#REF!,#REF!,#REF!,#REF!,#REF!,#REF!,#REF!,#REF!,#REF!,#REF!,N10,R10,V10)</f>
        <v>2</v>
      </c>
      <c r="I10" s="71"/>
      <c r="J10" s="71">
        <v>475</v>
      </c>
      <c r="K10" s="71">
        <v>37.015516457832888</v>
      </c>
      <c r="L10" s="71"/>
      <c r="M10" s="71"/>
    </row>
    <row r="11" spans="1:13" x14ac:dyDescent="0.25">
      <c r="A11" s="42" t="s">
        <v>58</v>
      </c>
      <c r="B11" s="30" t="s">
        <v>111</v>
      </c>
      <c r="C11" s="31">
        <v>2020</v>
      </c>
      <c r="D11" s="112">
        <f t="shared" si="0"/>
        <v>271.44932360194861</v>
      </c>
      <c r="E11" s="47">
        <f t="shared" si="1"/>
        <v>271.44932360194861</v>
      </c>
      <c r="F11" s="47">
        <f t="shared" si="2"/>
        <v>271.44932360194861</v>
      </c>
      <c r="G11" s="47">
        <f t="shared" si="3"/>
        <v>271.44932360194861</v>
      </c>
      <c r="H11" s="40">
        <f>COUNT(I11,J11,K11,L11,M11,#REF!,#REF!,#REF!,#REF!,#REF!,#REF!,#REF!,#REF!,#REF!,#REF!,#REF!,N11,R11,V11)</f>
        <v>1</v>
      </c>
      <c r="I11" s="71"/>
      <c r="J11" s="71"/>
      <c r="K11" s="71"/>
      <c r="L11" s="71"/>
      <c r="M11" s="71">
        <v>271.44932360194861</v>
      </c>
    </row>
    <row r="12" spans="1:13" x14ac:dyDescent="0.25">
      <c r="A12" s="26"/>
      <c r="B12" s="32"/>
      <c r="C12" s="32"/>
      <c r="D12" s="95"/>
      <c r="E12" s="26"/>
      <c r="F12" s="26"/>
      <c r="G12" s="26"/>
      <c r="H12" s="89"/>
      <c r="I12" s="65"/>
      <c r="J12" s="65"/>
      <c r="K12" s="65"/>
      <c r="L12" s="65"/>
      <c r="M12" s="65"/>
    </row>
  </sheetData>
  <mergeCells count="1">
    <mergeCell ref="D1:H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0" tint="-0.499984740745262"/>
  </sheetPr>
  <dimension ref="A1:K15"/>
  <sheetViews>
    <sheetView workbookViewId="0">
      <pane xSplit="1" topLeftCell="B1" activePane="topRight" state="frozen"/>
      <selection pane="topRight" activeCell="S24" sqref="S24"/>
    </sheetView>
  </sheetViews>
  <sheetFormatPr defaultRowHeight="15" x14ac:dyDescent="0.25"/>
  <cols>
    <col min="1" max="1" width="15.28515625" bestFit="1" customWidth="1"/>
    <col min="8" max="8" width="39.28515625" customWidth="1"/>
    <col min="9" max="9" width="11.85546875" bestFit="1" customWidth="1"/>
    <col min="10" max="11" width="12" bestFit="1" customWidth="1"/>
  </cols>
  <sheetData>
    <row r="1" spans="1:11" x14ac:dyDescent="0.25">
      <c r="A1" s="48" t="s">
        <v>70</v>
      </c>
      <c r="B1" s="27" t="s">
        <v>71</v>
      </c>
      <c r="C1" s="27" t="s">
        <v>72</v>
      </c>
      <c r="D1" s="129" t="s">
        <v>73</v>
      </c>
      <c r="E1" s="130"/>
      <c r="F1" s="130"/>
      <c r="G1" s="130"/>
      <c r="H1" s="131"/>
      <c r="I1" s="59" t="s">
        <v>210</v>
      </c>
      <c r="J1" s="55" t="s">
        <v>215</v>
      </c>
      <c r="K1" s="59" t="s">
        <v>220</v>
      </c>
    </row>
    <row r="2" spans="1:11" ht="40.5" x14ac:dyDescent="0.25">
      <c r="A2" s="23"/>
      <c r="B2" s="28"/>
      <c r="C2" s="28"/>
      <c r="D2" s="90" t="s">
        <v>95</v>
      </c>
      <c r="E2" s="33" t="s">
        <v>96</v>
      </c>
      <c r="F2" s="33" t="s">
        <v>97</v>
      </c>
      <c r="G2" s="34" t="s">
        <v>98</v>
      </c>
      <c r="H2" s="36" t="s">
        <v>107</v>
      </c>
      <c r="I2" s="39" t="s">
        <v>75</v>
      </c>
      <c r="J2" s="41" t="s">
        <v>75</v>
      </c>
      <c r="K2" s="39" t="s">
        <v>75</v>
      </c>
    </row>
    <row r="3" spans="1:11" x14ac:dyDescent="0.25">
      <c r="A3" s="24"/>
      <c r="B3" s="29"/>
      <c r="C3" s="30"/>
      <c r="D3" s="91"/>
      <c r="E3" s="24"/>
      <c r="F3" s="24"/>
      <c r="G3" s="24"/>
      <c r="H3" s="40"/>
      <c r="I3" s="40"/>
      <c r="J3" s="40"/>
      <c r="K3" s="40"/>
    </row>
    <row r="4" spans="1:11" x14ac:dyDescent="0.25">
      <c r="A4" s="42" t="s">
        <v>11</v>
      </c>
      <c r="B4" s="30" t="s">
        <v>111</v>
      </c>
      <c r="C4" s="31">
        <v>2020</v>
      </c>
      <c r="D4" s="112">
        <f t="shared" ref="D4:D12" si="0">AVERAGE(I4,J4,K4)</f>
        <v>183.23997806968148</v>
      </c>
      <c r="E4" s="47">
        <f t="shared" ref="E4:E12" si="1">MEDIAN(I4,J4,K4)</f>
        <v>183.23997806968148</v>
      </c>
      <c r="F4" s="47">
        <f t="shared" ref="F4:F12" si="2">MIN(I4,J4,K4)</f>
        <v>183.23997806968148</v>
      </c>
      <c r="G4" s="47">
        <f t="shared" ref="G4:G12" si="3">MAX(I4,J4,K4)</f>
        <v>183.23997806968148</v>
      </c>
      <c r="H4" s="40">
        <f>COUNT(I4,J4,K4,#REF!,#REF!,#REF!,#REF!,#REF!,#REF!,#REF!,#REF!,#REF!,#REF!,#REF!,#REF!,#REF!,L4,P4,T4)</f>
        <v>1</v>
      </c>
      <c r="I4" s="104">
        <v>183.23997806968148</v>
      </c>
      <c r="J4" s="104"/>
      <c r="K4" s="104"/>
    </row>
    <row r="5" spans="1:11" x14ac:dyDescent="0.25">
      <c r="A5" s="42" t="s">
        <v>13</v>
      </c>
      <c r="B5" s="30" t="s">
        <v>111</v>
      </c>
      <c r="C5" s="31">
        <v>2020</v>
      </c>
      <c r="D5" s="112">
        <f t="shared" si="0"/>
        <v>5.9062130718939798</v>
      </c>
      <c r="E5" s="47">
        <f t="shared" si="1"/>
        <v>5.9062130718939798</v>
      </c>
      <c r="F5" s="47">
        <f t="shared" si="2"/>
        <v>5.9062130718939798</v>
      </c>
      <c r="G5" s="47">
        <f t="shared" si="3"/>
        <v>5.9062130718939798</v>
      </c>
      <c r="H5" s="40">
        <f>COUNT(I5,J5,K5,#REF!,#REF!,#REF!,#REF!,#REF!,#REF!,#REF!,#REF!,#REF!,#REF!,#REF!,#REF!,#REF!,L5,P5,T5)</f>
        <v>1</v>
      </c>
      <c r="I5" s="104">
        <v>5.9062130718939798</v>
      </c>
      <c r="J5" s="104"/>
      <c r="K5" s="104"/>
    </row>
    <row r="6" spans="1:11" x14ac:dyDescent="0.25">
      <c r="A6" s="42" t="s">
        <v>28</v>
      </c>
      <c r="B6" s="30" t="s">
        <v>111</v>
      </c>
      <c r="C6" s="31">
        <v>2020</v>
      </c>
      <c r="D6" s="112">
        <f t="shared" si="0"/>
        <v>12.211095965972916</v>
      </c>
      <c r="E6" s="47">
        <f t="shared" si="1"/>
        <v>11.188780841764162</v>
      </c>
      <c r="F6" s="47">
        <f t="shared" si="2"/>
        <v>10.253119496345976</v>
      </c>
      <c r="G6" s="47">
        <f t="shared" si="3"/>
        <v>15.191387559808613</v>
      </c>
      <c r="H6" s="40">
        <f>COUNT(I6,J6,K6,#REF!,#REF!,#REF!,#REF!,#REF!,#REF!,#REF!,#REF!,#REF!,#REF!,#REF!,#REF!,#REF!,L6,P6,T6)</f>
        <v>3</v>
      </c>
      <c r="I6" s="104">
        <v>11.188780841764162</v>
      </c>
      <c r="J6" s="104">
        <v>10.253119496345976</v>
      </c>
      <c r="K6" s="104">
        <v>15.191387559808613</v>
      </c>
    </row>
    <row r="7" spans="1:11" x14ac:dyDescent="0.25">
      <c r="A7" s="42" t="s">
        <v>33</v>
      </c>
      <c r="B7" s="30" t="s">
        <v>111</v>
      </c>
      <c r="C7" s="31">
        <v>2020</v>
      </c>
      <c r="D7" s="112">
        <f t="shared" si="0"/>
        <v>5.6803990070581127</v>
      </c>
      <c r="E7" s="47">
        <f t="shared" si="1"/>
        <v>5.0689718161163224</v>
      </c>
      <c r="F7" s="47">
        <f t="shared" si="2"/>
        <v>0.94891152397697553</v>
      </c>
      <c r="G7" s="47">
        <f t="shared" si="3"/>
        <v>11.023313681081039</v>
      </c>
      <c r="H7" s="40">
        <f>COUNT(I7,J7,K7,#REF!,#REF!,#REF!,#REF!,#REF!,#REF!,#REF!,#REF!,#REF!,#REF!,#REF!,#REF!,#REF!,L7,P7,T7)</f>
        <v>3</v>
      </c>
      <c r="I7" s="104">
        <v>0.94891152397697553</v>
      </c>
      <c r="J7" s="104">
        <v>5.0689718161163224</v>
      </c>
      <c r="K7" s="104">
        <v>11.023313681081039</v>
      </c>
    </row>
    <row r="8" spans="1:11" x14ac:dyDescent="0.25">
      <c r="A8" s="42" t="s">
        <v>38</v>
      </c>
      <c r="B8" s="30" t="s">
        <v>111</v>
      </c>
      <c r="C8" s="31">
        <v>2020</v>
      </c>
      <c r="D8" s="112">
        <f t="shared" si="0"/>
        <v>291.35488681415865</v>
      </c>
      <c r="E8" s="47">
        <f t="shared" si="1"/>
        <v>314.85733594350103</v>
      </c>
      <c r="F8" s="47">
        <f t="shared" si="2"/>
        <v>95.496710136804055</v>
      </c>
      <c r="G8" s="47">
        <f t="shared" si="3"/>
        <v>463.71061436217093</v>
      </c>
      <c r="H8" s="40">
        <f>COUNT(I8,J8,K8,#REF!,#REF!,#REF!,#REF!,#REF!,#REF!,#REF!,#REF!,#REF!,#REF!,#REF!,#REF!,#REF!,L8,P8,T8)</f>
        <v>3</v>
      </c>
      <c r="I8" s="104">
        <v>314.85733594350103</v>
      </c>
      <c r="J8" s="104">
        <v>95.496710136804055</v>
      </c>
      <c r="K8" s="104">
        <v>463.71061436217093</v>
      </c>
    </row>
    <row r="9" spans="1:11" x14ac:dyDescent="0.25">
      <c r="A9" s="42" t="s">
        <v>209</v>
      </c>
      <c r="B9" s="30" t="s">
        <v>111</v>
      </c>
      <c r="C9" s="31">
        <v>2020</v>
      </c>
      <c r="D9" s="112">
        <f t="shared" si="0"/>
        <v>8.7841955113650751</v>
      </c>
      <c r="E9" s="47">
        <f t="shared" si="1"/>
        <v>8.7841955113650751</v>
      </c>
      <c r="F9" s="47">
        <f t="shared" si="2"/>
        <v>8.7841955113650751</v>
      </c>
      <c r="G9" s="47">
        <f t="shared" si="3"/>
        <v>8.7841955113650751</v>
      </c>
      <c r="H9" s="40">
        <f>COUNT(I9,J9,K9,#REF!,#REF!,#REF!,#REF!,#REF!,#REF!,#REF!,#REF!,#REF!,#REF!,#REF!,#REF!,#REF!,L9,P9,T9)</f>
        <v>1</v>
      </c>
      <c r="I9" s="104">
        <v>8.7841955113650751</v>
      </c>
      <c r="J9" s="104"/>
      <c r="K9" s="104"/>
    </row>
    <row r="10" spans="1:11" x14ac:dyDescent="0.25">
      <c r="A10" s="42" t="s">
        <v>49</v>
      </c>
      <c r="B10" s="30" t="s">
        <v>111</v>
      </c>
      <c r="C10" s="31">
        <v>2020</v>
      </c>
      <c r="D10" s="112">
        <f t="shared" si="0"/>
        <v>2.7379738755992453</v>
      </c>
      <c r="E10" s="47">
        <f t="shared" si="1"/>
        <v>2.3963317384370018</v>
      </c>
      <c r="F10" s="47">
        <f t="shared" si="2"/>
        <v>1.6168879639330158</v>
      </c>
      <c r="G10" s="47">
        <f t="shared" si="3"/>
        <v>4.2007019244277188</v>
      </c>
      <c r="H10" s="40">
        <f>COUNT(I10,J10,K10,#REF!,#REF!,#REF!,#REF!,#REF!,#REF!,#REF!,#REF!,#REF!,#REF!,#REF!,#REF!,#REF!,L10,P10,T10)</f>
        <v>3</v>
      </c>
      <c r="I10" s="104">
        <v>4.2007019244277188</v>
      </c>
      <c r="J10" s="104">
        <v>1.6168879639330158</v>
      </c>
      <c r="K10" s="104">
        <v>2.3963317384370018</v>
      </c>
    </row>
    <row r="11" spans="1:11" x14ac:dyDescent="0.25">
      <c r="A11" s="42" t="s">
        <v>56</v>
      </c>
      <c r="B11" s="30" t="s">
        <v>111</v>
      </c>
      <c r="C11" s="31">
        <v>2020</v>
      </c>
      <c r="D11" s="112">
        <f t="shared" si="0"/>
        <v>50.875604515555267</v>
      </c>
      <c r="E11" s="47">
        <f t="shared" si="1"/>
        <v>65.997098584278291</v>
      </c>
      <c r="F11" s="47">
        <f t="shared" si="2"/>
        <v>11.563344921685429</v>
      </c>
      <c r="G11" s="47">
        <f t="shared" si="3"/>
        <v>75.066370040702068</v>
      </c>
      <c r="H11" s="40">
        <f>COUNT(I11,J11,K11,#REF!,#REF!,#REF!,#REF!,#REF!,#REF!,#REF!,#REF!,#REF!,#REF!,#REF!,#REF!,#REF!,L11,P11,T11)</f>
        <v>3</v>
      </c>
      <c r="I11" s="104">
        <v>75.066370040702068</v>
      </c>
      <c r="J11" s="104">
        <v>11.563344921685429</v>
      </c>
      <c r="K11" s="104">
        <v>65.997098584278291</v>
      </c>
    </row>
    <row r="12" spans="1:11" x14ac:dyDescent="0.25">
      <c r="A12" t="s">
        <v>58</v>
      </c>
      <c r="B12" s="30" t="s">
        <v>111</v>
      </c>
      <c r="C12" s="31">
        <v>2020</v>
      </c>
      <c r="D12" s="112">
        <f t="shared" si="0"/>
        <v>242.98723000302766</v>
      </c>
      <c r="E12" s="47">
        <f t="shared" si="1"/>
        <v>271.39064718594386</v>
      </c>
      <c r="F12" s="47">
        <f t="shared" si="2"/>
        <v>68.222887678718919</v>
      </c>
      <c r="G12" s="47">
        <f t="shared" si="3"/>
        <v>389.34815514442022</v>
      </c>
      <c r="H12" s="40">
        <f>COUNT(I12,J12,K12,#REF!,#REF!,#REF!,#REF!,#REF!,#REF!,#REF!,#REF!,#REF!,#REF!,#REF!,#REF!,#REF!,L12,P12,T12)</f>
        <v>3</v>
      </c>
      <c r="I12" s="104">
        <v>271.39064718594386</v>
      </c>
      <c r="J12" s="104">
        <v>68.222887678718919</v>
      </c>
      <c r="K12" s="104">
        <v>389.34815514442022</v>
      </c>
    </row>
    <row r="13" spans="1:11" x14ac:dyDescent="0.25">
      <c r="B13" s="30"/>
      <c r="C13" s="31"/>
      <c r="D13" s="112"/>
      <c r="E13" s="47"/>
      <c r="F13" s="47"/>
      <c r="G13" s="47"/>
      <c r="H13" s="40"/>
      <c r="I13" s="104"/>
      <c r="J13" s="104"/>
      <c r="K13" s="104"/>
    </row>
    <row r="14" spans="1:11" ht="45" x14ac:dyDescent="0.25">
      <c r="A14" s="117" t="s">
        <v>56</v>
      </c>
      <c r="B14" s="82" t="s">
        <v>111</v>
      </c>
      <c r="C14" s="82">
        <v>2050</v>
      </c>
      <c r="D14" s="116">
        <f>AVERAGE(F14:G14)</f>
        <v>6.0166724608427149</v>
      </c>
      <c r="E14" s="114">
        <f>AVERAGE(F14:G14)</f>
        <v>6.0166724608427149</v>
      </c>
      <c r="F14" s="114">
        <v>0.47</v>
      </c>
      <c r="G14" s="114">
        <f>F11</f>
        <v>11.563344921685429</v>
      </c>
      <c r="H14" s="97" t="s">
        <v>222</v>
      </c>
      <c r="I14" s="115"/>
      <c r="J14" s="40"/>
      <c r="K14" s="40"/>
    </row>
    <row r="15" spans="1:11" x14ac:dyDescent="0.25">
      <c r="A15" s="26"/>
      <c r="B15" s="32"/>
      <c r="C15" s="32"/>
      <c r="D15" s="95"/>
      <c r="E15" s="26"/>
      <c r="F15" s="26"/>
      <c r="G15" s="26"/>
      <c r="H15" s="89"/>
      <c r="I15" s="37"/>
      <c r="J15" s="37"/>
      <c r="K15" s="37"/>
    </row>
  </sheetData>
  <mergeCells count="1">
    <mergeCell ref="D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D62C4-FA77-4E08-A51B-1D857C63B693}">
  <dimension ref="A1:D77"/>
  <sheetViews>
    <sheetView topLeftCell="A4" zoomScaleNormal="100" workbookViewId="0">
      <selection activeCell="D17" sqref="D17"/>
    </sheetView>
  </sheetViews>
  <sheetFormatPr defaultRowHeight="15" x14ac:dyDescent="0.25"/>
  <cols>
    <col min="1" max="1" width="7.5703125" customWidth="1"/>
    <col min="2" max="2" width="29.140625" style="45" bestFit="1" customWidth="1"/>
    <col min="3" max="3" width="158.5703125" style="120" bestFit="1" customWidth="1"/>
  </cols>
  <sheetData>
    <row r="1" spans="1:4" x14ac:dyDescent="0.25">
      <c r="A1" s="121">
        <v>1</v>
      </c>
      <c r="B1" s="121" t="s">
        <v>192</v>
      </c>
      <c r="C1" s="122" t="s">
        <v>296</v>
      </c>
      <c r="D1" s="119" t="s">
        <v>297</v>
      </c>
    </row>
    <row r="2" spans="1:4" x14ac:dyDescent="0.25">
      <c r="A2" s="121">
        <v>2</v>
      </c>
      <c r="B2" s="121" t="s">
        <v>85</v>
      </c>
      <c r="C2" s="122" t="s">
        <v>230</v>
      </c>
      <c r="D2" s="119" t="s">
        <v>231</v>
      </c>
    </row>
    <row r="3" spans="1:4" x14ac:dyDescent="0.25">
      <c r="A3" s="121">
        <v>3</v>
      </c>
      <c r="B3" s="121" t="s">
        <v>139</v>
      </c>
      <c r="C3" s="122" t="s">
        <v>298</v>
      </c>
      <c r="D3" s="119" t="s">
        <v>299</v>
      </c>
    </row>
    <row r="4" spans="1:4" x14ac:dyDescent="0.25">
      <c r="A4" s="121">
        <v>4</v>
      </c>
      <c r="B4" s="121" t="s">
        <v>187</v>
      </c>
      <c r="C4" s="122" t="s">
        <v>300</v>
      </c>
      <c r="D4" s="119" t="s">
        <v>303</v>
      </c>
    </row>
    <row r="5" spans="1:4" x14ac:dyDescent="0.25">
      <c r="A5" s="121">
        <v>5</v>
      </c>
      <c r="B5" s="121" t="s">
        <v>206</v>
      </c>
      <c r="C5" s="122" t="s">
        <v>301</v>
      </c>
      <c r="D5" s="119" t="s">
        <v>302</v>
      </c>
    </row>
    <row r="6" spans="1:4" x14ac:dyDescent="0.25">
      <c r="A6" s="121">
        <v>6</v>
      </c>
      <c r="B6" s="121" t="s">
        <v>196</v>
      </c>
      <c r="C6" s="122" t="s">
        <v>306</v>
      </c>
      <c r="D6" s="119" t="s">
        <v>307</v>
      </c>
    </row>
    <row r="7" spans="1:4" x14ac:dyDescent="0.25">
      <c r="A7" s="121">
        <v>7</v>
      </c>
      <c r="B7" s="121" t="s">
        <v>207</v>
      </c>
      <c r="C7" s="122" t="s">
        <v>304</v>
      </c>
      <c r="D7" s="119" t="s">
        <v>305</v>
      </c>
    </row>
    <row r="8" spans="1:4" x14ac:dyDescent="0.25">
      <c r="A8" s="121">
        <v>8</v>
      </c>
      <c r="B8" s="121" t="s">
        <v>123</v>
      </c>
      <c r="C8" s="122" t="s">
        <v>282</v>
      </c>
      <c r="D8" s="119" t="s">
        <v>283</v>
      </c>
    </row>
    <row r="9" spans="1:4" x14ac:dyDescent="0.25">
      <c r="A9" s="121">
        <v>9</v>
      </c>
      <c r="B9" s="121" t="s">
        <v>124</v>
      </c>
      <c r="C9" s="123" t="s">
        <v>284</v>
      </c>
      <c r="D9" s="118" t="s">
        <v>285</v>
      </c>
    </row>
    <row r="10" spans="1:4" x14ac:dyDescent="0.25">
      <c r="A10" s="121">
        <v>10</v>
      </c>
      <c r="B10" s="121" t="s">
        <v>127</v>
      </c>
      <c r="C10" s="122" t="s">
        <v>290</v>
      </c>
      <c r="D10" s="119" t="s">
        <v>291</v>
      </c>
    </row>
    <row r="11" spans="1:4" x14ac:dyDescent="0.25">
      <c r="A11" s="121">
        <v>11</v>
      </c>
      <c r="B11" s="121" t="s">
        <v>74</v>
      </c>
      <c r="C11" s="122" t="s">
        <v>228</v>
      </c>
      <c r="D11" s="118" t="s">
        <v>229</v>
      </c>
    </row>
    <row r="12" spans="1:4" x14ac:dyDescent="0.25">
      <c r="A12" s="121">
        <v>12</v>
      </c>
      <c r="B12" s="121" t="s">
        <v>131</v>
      </c>
      <c r="C12" s="122" t="s">
        <v>258</v>
      </c>
      <c r="D12" s="119" t="s">
        <v>259</v>
      </c>
    </row>
    <row r="13" spans="1:4" x14ac:dyDescent="0.25">
      <c r="A13" s="121">
        <v>13</v>
      </c>
      <c r="B13" s="121" t="s">
        <v>119</v>
      </c>
      <c r="C13" s="122" t="s">
        <v>274</v>
      </c>
      <c r="D13" s="119" t="s">
        <v>275</v>
      </c>
    </row>
    <row r="14" spans="1:4" x14ac:dyDescent="0.25">
      <c r="A14" s="121">
        <v>14</v>
      </c>
      <c r="B14" s="121" t="s">
        <v>126</v>
      </c>
      <c r="C14" s="123" t="s">
        <v>288</v>
      </c>
      <c r="D14" s="119" t="s">
        <v>289</v>
      </c>
    </row>
    <row r="15" spans="1:4" x14ac:dyDescent="0.25">
      <c r="A15" s="121">
        <v>15</v>
      </c>
      <c r="B15" s="121" t="s">
        <v>102</v>
      </c>
      <c r="C15" s="122" t="s">
        <v>238</v>
      </c>
      <c r="D15" s="119" t="s">
        <v>239</v>
      </c>
    </row>
    <row r="16" spans="1:4" x14ac:dyDescent="0.25">
      <c r="A16" s="121">
        <v>16</v>
      </c>
      <c r="B16" s="121" t="s">
        <v>91</v>
      </c>
      <c r="C16" s="122" t="s">
        <v>244</v>
      </c>
      <c r="D16" s="119" t="s">
        <v>245</v>
      </c>
    </row>
    <row r="17" spans="1:4" x14ac:dyDescent="0.25">
      <c r="A17" s="121">
        <v>17</v>
      </c>
      <c r="B17" s="121" t="s">
        <v>128</v>
      </c>
      <c r="C17" s="122" t="s">
        <v>292</v>
      </c>
      <c r="D17" s="119" t="s">
        <v>293</v>
      </c>
    </row>
    <row r="18" spans="1:4" x14ac:dyDescent="0.25">
      <c r="A18" s="121">
        <v>18</v>
      </c>
      <c r="B18" s="126" t="s">
        <v>137</v>
      </c>
      <c r="C18" s="125" t="s">
        <v>308</v>
      </c>
      <c r="D18" s="119" t="s">
        <v>309</v>
      </c>
    </row>
    <row r="19" spans="1:4" x14ac:dyDescent="0.25">
      <c r="A19" s="121">
        <v>19</v>
      </c>
      <c r="B19" s="121" t="s">
        <v>220</v>
      </c>
      <c r="C19" s="122" t="s">
        <v>310</v>
      </c>
      <c r="D19" s="119" t="s">
        <v>311</v>
      </c>
    </row>
    <row r="20" spans="1:4" x14ac:dyDescent="0.25">
      <c r="A20" s="121">
        <v>20</v>
      </c>
      <c r="B20" s="121" t="s">
        <v>135</v>
      </c>
      <c r="C20" s="122" t="s">
        <v>312</v>
      </c>
    </row>
    <row r="21" spans="1:4" x14ac:dyDescent="0.25">
      <c r="A21" s="121">
        <v>21</v>
      </c>
      <c r="B21" s="121" t="s">
        <v>110</v>
      </c>
      <c r="C21" s="122" t="s">
        <v>252</v>
      </c>
      <c r="D21" s="119" t="s">
        <v>253</v>
      </c>
    </row>
    <row r="22" spans="1:4" x14ac:dyDescent="0.25">
      <c r="A22" s="121">
        <v>22</v>
      </c>
      <c r="B22" s="121" t="s">
        <v>208</v>
      </c>
      <c r="C22" s="122" t="s">
        <v>313</v>
      </c>
      <c r="D22" s="119" t="s">
        <v>314</v>
      </c>
    </row>
    <row r="23" spans="1:4" x14ac:dyDescent="0.25">
      <c r="A23" s="121">
        <v>23</v>
      </c>
      <c r="B23" s="121" t="s">
        <v>117</v>
      </c>
      <c r="C23" s="122" t="s">
        <v>270</v>
      </c>
      <c r="D23" s="119" t="s">
        <v>271</v>
      </c>
    </row>
    <row r="24" spans="1:4" x14ac:dyDescent="0.25">
      <c r="A24" s="121">
        <v>24</v>
      </c>
      <c r="B24" s="121" t="s">
        <v>210</v>
      </c>
      <c r="C24" s="122" t="s">
        <v>315</v>
      </c>
      <c r="D24" s="119" t="s">
        <v>316</v>
      </c>
    </row>
    <row r="25" spans="1:4" x14ac:dyDescent="0.25">
      <c r="A25" s="121">
        <v>25</v>
      </c>
      <c r="B25" s="121" t="s">
        <v>189</v>
      </c>
      <c r="C25" s="122" t="s">
        <v>317</v>
      </c>
      <c r="D25" s="119" t="s">
        <v>318</v>
      </c>
    </row>
    <row r="26" spans="1:4" x14ac:dyDescent="0.25">
      <c r="A26" s="121">
        <v>26</v>
      </c>
      <c r="B26" s="121" t="s">
        <v>103</v>
      </c>
      <c r="C26" s="122" t="s">
        <v>240</v>
      </c>
      <c r="D26" s="119" t="s">
        <v>241</v>
      </c>
    </row>
    <row r="27" spans="1:4" x14ac:dyDescent="0.25">
      <c r="A27" s="121">
        <v>27</v>
      </c>
      <c r="B27" s="121" t="s">
        <v>108</v>
      </c>
      <c r="C27" s="122" t="s">
        <v>248</v>
      </c>
      <c r="D27" s="119" t="s">
        <v>249</v>
      </c>
    </row>
    <row r="28" spans="1:4" x14ac:dyDescent="0.25">
      <c r="A28" s="121">
        <v>28</v>
      </c>
      <c r="B28" s="121" t="s">
        <v>197</v>
      </c>
      <c r="C28" s="122" t="s">
        <v>319</v>
      </c>
      <c r="D28" s="119" t="s">
        <v>320</v>
      </c>
    </row>
    <row r="29" spans="1:4" x14ac:dyDescent="0.25">
      <c r="A29" s="121">
        <v>29</v>
      </c>
      <c r="B29" s="121" t="s">
        <v>118</v>
      </c>
      <c r="C29" s="122" t="s">
        <v>272</v>
      </c>
      <c r="D29" s="119" t="s">
        <v>273</v>
      </c>
    </row>
    <row r="30" spans="1:4" x14ac:dyDescent="0.25">
      <c r="A30" s="121">
        <v>30</v>
      </c>
      <c r="B30" s="121" t="s">
        <v>193</v>
      </c>
      <c r="C30" s="122" t="s">
        <v>321</v>
      </c>
      <c r="D30" s="119" t="s">
        <v>322</v>
      </c>
    </row>
    <row r="31" spans="1:4" x14ac:dyDescent="0.25">
      <c r="A31" s="121">
        <v>31</v>
      </c>
      <c r="B31" s="121" t="s">
        <v>136</v>
      </c>
      <c r="C31" s="122" t="s">
        <v>323</v>
      </c>
      <c r="D31" s="119" t="s">
        <v>324</v>
      </c>
    </row>
    <row r="32" spans="1:4" x14ac:dyDescent="0.25">
      <c r="A32" s="121">
        <v>32</v>
      </c>
      <c r="B32" s="121" t="s">
        <v>198</v>
      </c>
      <c r="C32" s="122" t="s">
        <v>325</v>
      </c>
      <c r="D32" s="119" t="s">
        <v>326</v>
      </c>
    </row>
    <row r="33" spans="1:4" x14ac:dyDescent="0.25">
      <c r="A33" s="121">
        <v>33</v>
      </c>
      <c r="B33" s="121" t="s">
        <v>219</v>
      </c>
      <c r="C33" s="122" t="s">
        <v>327</v>
      </c>
      <c r="D33" s="119" t="s">
        <v>328</v>
      </c>
    </row>
    <row r="34" spans="1:4" x14ac:dyDescent="0.25">
      <c r="A34" s="121">
        <v>34</v>
      </c>
      <c r="B34" s="121" t="s">
        <v>199</v>
      </c>
      <c r="C34" s="122" t="s">
        <v>329</v>
      </c>
      <c r="D34" s="119" t="s">
        <v>330</v>
      </c>
    </row>
    <row r="35" spans="1:4" x14ac:dyDescent="0.25">
      <c r="A35" s="121">
        <v>35</v>
      </c>
      <c r="B35" s="121" t="s">
        <v>200</v>
      </c>
      <c r="C35" s="122" t="s">
        <v>331</v>
      </c>
      <c r="D35" s="119" t="s">
        <v>332</v>
      </c>
    </row>
    <row r="36" spans="1:4" x14ac:dyDescent="0.25">
      <c r="A36" s="121">
        <v>36</v>
      </c>
      <c r="B36" s="121" t="s">
        <v>129</v>
      </c>
      <c r="C36" s="122" t="s">
        <v>294</v>
      </c>
      <c r="D36" s="119" t="s">
        <v>295</v>
      </c>
    </row>
    <row r="37" spans="1:4" x14ac:dyDescent="0.25">
      <c r="A37" s="121">
        <v>37</v>
      </c>
      <c r="B37" s="121" t="s">
        <v>132</v>
      </c>
      <c r="C37" s="122" t="s">
        <v>333</v>
      </c>
    </row>
    <row r="38" spans="1:4" x14ac:dyDescent="0.25">
      <c r="A38" s="121">
        <v>38</v>
      </c>
      <c r="B38" s="121" t="s">
        <v>100</v>
      </c>
      <c r="C38" s="122" t="s">
        <v>234</v>
      </c>
      <c r="D38" s="119" t="s">
        <v>235</v>
      </c>
    </row>
    <row r="39" spans="1:4" x14ac:dyDescent="0.25">
      <c r="A39" s="121">
        <v>39</v>
      </c>
      <c r="B39" s="121" t="s">
        <v>190</v>
      </c>
      <c r="C39" s="122" t="s">
        <v>334</v>
      </c>
      <c r="D39" s="119" t="s">
        <v>335</v>
      </c>
    </row>
    <row r="40" spans="1:4" x14ac:dyDescent="0.25">
      <c r="A40" s="121">
        <v>40</v>
      </c>
      <c r="B40" s="121" t="s">
        <v>201</v>
      </c>
      <c r="C40" s="122" t="s">
        <v>336</v>
      </c>
      <c r="D40" s="119" t="s">
        <v>337</v>
      </c>
    </row>
    <row r="41" spans="1:4" x14ac:dyDescent="0.25">
      <c r="A41" s="121">
        <v>41</v>
      </c>
      <c r="B41" s="121" t="s">
        <v>211</v>
      </c>
      <c r="C41" s="122" t="s">
        <v>338</v>
      </c>
      <c r="D41" s="119" t="s">
        <v>339</v>
      </c>
    </row>
    <row r="42" spans="1:4" x14ac:dyDescent="0.25">
      <c r="A42" s="121">
        <v>42</v>
      </c>
      <c r="B42" s="121" t="s">
        <v>116</v>
      </c>
      <c r="C42" s="122" t="s">
        <v>268</v>
      </c>
      <c r="D42" s="119" t="s">
        <v>269</v>
      </c>
    </row>
    <row r="43" spans="1:4" x14ac:dyDescent="0.25">
      <c r="A43" s="121">
        <v>43</v>
      </c>
      <c r="B43" s="121" t="s">
        <v>120</v>
      </c>
      <c r="C43" s="122" t="s">
        <v>276</v>
      </c>
      <c r="D43" s="119" t="s">
        <v>277</v>
      </c>
    </row>
    <row r="44" spans="1:4" x14ac:dyDescent="0.25">
      <c r="A44" s="121">
        <v>44</v>
      </c>
      <c r="B44" s="121" t="s">
        <v>104</v>
      </c>
      <c r="C44" s="122" t="s">
        <v>242</v>
      </c>
      <c r="D44" s="119" t="s">
        <v>243</v>
      </c>
    </row>
    <row r="45" spans="1:4" x14ac:dyDescent="0.25">
      <c r="A45" s="121">
        <v>45</v>
      </c>
      <c r="B45" s="121" t="s">
        <v>227</v>
      </c>
      <c r="C45" s="122" t="s">
        <v>340</v>
      </c>
      <c r="D45" t="s">
        <v>341</v>
      </c>
    </row>
    <row r="46" spans="1:4" x14ac:dyDescent="0.25">
      <c r="A46" s="121">
        <v>46</v>
      </c>
      <c r="B46" s="121" t="s">
        <v>134</v>
      </c>
      <c r="C46" s="122" t="s">
        <v>342</v>
      </c>
      <c r="D46" s="119" t="s">
        <v>343</v>
      </c>
    </row>
    <row r="47" spans="1:4" x14ac:dyDescent="0.25">
      <c r="A47" s="121">
        <v>47</v>
      </c>
      <c r="B47" s="121" t="s">
        <v>94</v>
      </c>
      <c r="C47" s="122" t="s">
        <v>246</v>
      </c>
      <c r="D47" s="119" t="s">
        <v>247</v>
      </c>
    </row>
    <row r="48" spans="1:4" x14ac:dyDescent="0.25">
      <c r="A48" s="121">
        <v>48</v>
      </c>
      <c r="B48" s="121" t="s">
        <v>138</v>
      </c>
      <c r="C48" s="123" t="s">
        <v>288</v>
      </c>
      <c r="D48" s="119" t="s">
        <v>344</v>
      </c>
    </row>
    <row r="49" spans="1:4" x14ac:dyDescent="0.25">
      <c r="A49" s="121">
        <v>49</v>
      </c>
      <c r="B49" s="121" t="s">
        <v>109</v>
      </c>
      <c r="C49" s="122" t="s">
        <v>250</v>
      </c>
      <c r="D49" s="119" t="s">
        <v>251</v>
      </c>
    </row>
    <row r="50" spans="1:4" x14ac:dyDescent="0.25">
      <c r="A50" s="121">
        <v>50</v>
      </c>
      <c r="B50" s="121" t="s">
        <v>105</v>
      </c>
      <c r="C50" s="122" t="s">
        <v>254</v>
      </c>
      <c r="D50" s="119" t="s">
        <v>255</v>
      </c>
    </row>
    <row r="51" spans="1:4" x14ac:dyDescent="0.25">
      <c r="A51" s="121">
        <v>51</v>
      </c>
      <c r="B51" s="121" t="s">
        <v>202</v>
      </c>
      <c r="C51" s="124" t="s">
        <v>345</v>
      </c>
      <c r="D51" s="119" t="s">
        <v>346</v>
      </c>
    </row>
    <row r="52" spans="1:4" x14ac:dyDescent="0.25">
      <c r="A52" s="121">
        <v>52</v>
      </c>
      <c r="B52" s="121" t="s">
        <v>122</v>
      </c>
      <c r="C52" s="122" t="s">
        <v>280</v>
      </c>
      <c r="D52" s="119" t="s">
        <v>281</v>
      </c>
    </row>
    <row r="53" spans="1:4" x14ac:dyDescent="0.25">
      <c r="A53" s="121">
        <v>53</v>
      </c>
      <c r="B53" s="121" t="s">
        <v>203</v>
      </c>
      <c r="C53" s="122" t="s">
        <v>347</v>
      </c>
      <c r="D53" s="119" t="s">
        <v>348</v>
      </c>
    </row>
    <row r="54" spans="1:4" x14ac:dyDescent="0.25">
      <c r="A54" s="121">
        <v>54</v>
      </c>
      <c r="B54" s="121" t="s">
        <v>226</v>
      </c>
      <c r="C54" s="122" t="s">
        <v>349</v>
      </c>
      <c r="D54" s="119" t="s">
        <v>350</v>
      </c>
    </row>
    <row r="55" spans="1:4" x14ac:dyDescent="0.25">
      <c r="A55" s="121">
        <v>55</v>
      </c>
      <c r="B55" s="121" t="s">
        <v>130</v>
      </c>
      <c r="C55" s="122" t="s">
        <v>256</v>
      </c>
      <c r="D55" s="119" t="s">
        <v>257</v>
      </c>
    </row>
    <row r="56" spans="1:4" x14ac:dyDescent="0.25">
      <c r="A56" s="121">
        <v>56</v>
      </c>
      <c r="B56" s="121" t="s">
        <v>195</v>
      </c>
      <c r="C56" s="122" t="s">
        <v>351</v>
      </c>
      <c r="D56" s="119" t="s">
        <v>352</v>
      </c>
    </row>
    <row r="57" spans="1:4" x14ac:dyDescent="0.25">
      <c r="A57" s="121">
        <v>57</v>
      </c>
      <c r="B57" s="121" t="s">
        <v>212</v>
      </c>
      <c r="C57" s="122" t="s">
        <v>353</v>
      </c>
      <c r="D57" s="119" t="s">
        <v>354</v>
      </c>
    </row>
    <row r="58" spans="1:4" x14ac:dyDescent="0.25">
      <c r="A58" s="121">
        <v>58</v>
      </c>
      <c r="B58" s="121" t="s">
        <v>213</v>
      </c>
      <c r="C58" s="122" t="s">
        <v>355</v>
      </c>
      <c r="D58" s="119" t="s">
        <v>356</v>
      </c>
    </row>
    <row r="59" spans="1:4" x14ac:dyDescent="0.25">
      <c r="A59" s="121">
        <v>59</v>
      </c>
      <c r="B59" s="121" t="s">
        <v>214</v>
      </c>
      <c r="C59" s="122" t="s">
        <v>357</v>
      </c>
      <c r="D59" s="119" t="s">
        <v>358</v>
      </c>
    </row>
    <row r="60" spans="1:4" x14ac:dyDescent="0.25">
      <c r="A60" s="121">
        <v>60</v>
      </c>
      <c r="B60" s="121" t="s">
        <v>191</v>
      </c>
      <c r="C60" s="122" t="s">
        <v>357</v>
      </c>
      <c r="D60" s="119" t="s">
        <v>358</v>
      </c>
    </row>
    <row r="61" spans="1:4" x14ac:dyDescent="0.25">
      <c r="A61" s="121">
        <v>61</v>
      </c>
      <c r="B61" s="121" t="s">
        <v>204</v>
      </c>
      <c r="C61" s="122" t="s">
        <v>359</v>
      </c>
      <c r="D61" s="119" t="s">
        <v>360</v>
      </c>
    </row>
    <row r="62" spans="1:4" x14ac:dyDescent="0.25">
      <c r="A62" s="121">
        <v>62</v>
      </c>
      <c r="B62" s="121" t="s">
        <v>143</v>
      </c>
      <c r="C62" s="122" t="s">
        <v>361</v>
      </c>
      <c r="D62" s="119" t="s">
        <v>362</v>
      </c>
    </row>
    <row r="63" spans="1:4" x14ac:dyDescent="0.25">
      <c r="A63" s="121">
        <v>63</v>
      </c>
      <c r="B63" s="121" t="s">
        <v>121</v>
      </c>
      <c r="C63" s="122" t="s">
        <v>278</v>
      </c>
      <c r="D63" s="119" t="s">
        <v>279</v>
      </c>
    </row>
    <row r="64" spans="1:4" x14ac:dyDescent="0.25">
      <c r="A64" s="121">
        <v>64</v>
      </c>
      <c r="B64" s="121" t="s">
        <v>101</v>
      </c>
      <c r="C64" s="122" t="s">
        <v>236</v>
      </c>
      <c r="D64" s="119" t="s">
        <v>237</v>
      </c>
    </row>
    <row r="65" spans="1:4" x14ac:dyDescent="0.25">
      <c r="A65" s="121">
        <v>65</v>
      </c>
      <c r="B65" s="121" t="s">
        <v>186</v>
      </c>
      <c r="C65" s="122" t="s">
        <v>363</v>
      </c>
      <c r="D65" s="118" t="s">
        <v>364</v>
      </c>
    </row>
    <row r="66" spans="1:4" x14ac:dyDescent="0.25">
      <c r="A66" s="121">
        <v>66</v>
      </c>
      <c r="B66" s="121" t="s">
        <v>112</v>
      </c>
      <c r="C66" s="122" t="s">
        <v>260</v>
      </c>
      <c r="D66" s="119" t="s">
        <v>261</v>
      </c>
    </row>
    <row r="67" spans="1:4" x14ac:dyDescent="0.25">
      <c r="A67" s="121">
        <v>67</v>
      </c>
      <c r="B67" s="121" t="s">
        <v>113</v>
      </c>
      <c r="C67" s="122" t="s">
        <v>262</v>
      </c>
      <c r="D67" s="119" t="s">
        <v>263</v>
      </c>
    </row>
    <row r="68" spans="1:4" x14ac:dyDescent="0.25">
      <c r="A68" s="121">
        <v>68</v>
      </c>
      <c r="B68" s="121" t="s">
        <v>114</v>
      </c>
      <c r="C68" s="122" t="s">
        <v>264</v>
      </c>
      <c r="D68" s="119" t="s">
        <v>265</v>
      </c>
    </row>
    <row r="69" spans="1:4" x14ac:dyDescent="0.25">
      <c r="A69" s="121">
        <v>69</v>
      </c>
      <c r="B69" s="121" t="s">
        <v>133</v>
      </c>
      <c r="C69" s="122" t="s">
        <v>365</v>
      </c>
      <c r="D69" s="119" t="s">
        <v>366</v>
      </c>
    </row>
    <row r="70" spans="1:4" x14ac:dyDescent="0.25">
      <c r="A70" s="121">
        <v>70</v>
      </c>
      <c r="B70" s="121" t="s">
        <v>92</v>
      </c>
      <c r="C70" s="122" t="s">
        <v>232</v>
      </c>
      <c r="D70" s="119" t="s">
        <v>233</v>
      </c>
    </row>
    <row r="71" spans="1:4" x14ac:dyDescent="0.25">
      <c r="A71" s="121">
        <v>71</v>
      </c>
      <c r="B71" s="121" t="s">
        <v>115</v>
      </c>
      <c r="C71" s="122" t="s">
        <v>266</v>
      </c>
      <c r="D71" s="119" t="s">
        <v>267</v>
      </c>
    </row>
    <row r="72" spans="1:4" x14ac:dyDescent="0.25">
      <c r="A72" s="121">
        <v>72</v>
      </c>
      <c r="B72" s="121" t="s">
        <v>205</v>
      </c>
      <c r="C72" s="122" t="s">
        <v>367</v>
      </c>
      <c r="D72" s="119" t="s">
        <v>368</v>
      </c>
    </row>
    <row r="73" spans="1:4" x14ac:dyDescent="0.25">
      <c r="A73" s="121">
        <v>73</v>
      </c>
      <c r="B73" s="121" t="s">
        <v>125</v>
      </c>
      <c r="C73" s="123" t="s">
        <v>286</v>
      </c>
      <c r="D73" s="119" t="s">
        <v>287</v>
      </c>
    </row>
    <row r="74" spans="1:4" x14ac:dyDescent="0.25">
      <c r="A74" s="121">
        <v>74</v>
      </c>
      <c r="B74" s="121" t="s">
        <v>215</v>
      </c>
      <c r="C74" s="122" t="s">
        <v>369</v>
      </c>
      <c r="D74" s="119" t="s">
        <v>370</v>
      </c>
    </row>
    <row r="75" spans="1:4" x14ac:dyDescent="0.25">
      <c r="A75" s="121">
        <v>75</v>
      </c>
      <c r="B75" s="121" t="s">
        <v>216</v>
      </c>
      <c r="C75" s="122" t="s">
        <v>371</v>
      </c>
      <c r="D75" s="119" t="s">
        <v>372</v>
      </c>
    </row>
    <row r="76" spans="1:4" x14ac:dyDescent="0.25">
      <c r="A76" s="121">
        <v>76</v>
      </c>
      <c r="B76" s="121" t="s">
        <v>218</v>
      </c>
      <c r="C76" s="122" t="s">
        <v>375</v>
      </c>
      <c r="D76" s="119" t="s">
        <v>376</v>
      </c>
    </row>
    <row r="77" spans="1:4" x14ac:dyDescent="0.25">
      <c r="A77" s="121">
        <v>77</v>
      </c>
      <c r="B77" s="121" t="s">
        <v>217</v>
      </c>
      <c r="C77" s="122" t="s">
        <v>373</v>
      </c>
      <c r="D77" s="119" t="s">
        <v>374</v>
      </c>
    </row>
  </sheetData>
  <sortState xmlns:xlrd2="http://schemas.microsoft.com/office/spreadsheetml/2017/richdata2" ref="B1:B78">
    <sortCondition ref="B1:B78"/>
  </sortState>
  <hyperlinks>
    <hyperlink ref="D11" r:id="rId1" xr:uid="{184585D1-07BF-4BCD-9C96-A6AA4A2E5230}"/>
    <hyperlink ref="D2" r:id="rId2" xr:uid="{B928C88D-4BB2-4995-A670-68B2619126D7}"/>
    <hyperlink ref="D70" r:id="rId3" xr:uid="{F855168A-40C7-4C71-8CF5-5BA6F72DF1FD}"/>
    <hyperlink ref="D38" r:id="rId4" xr:uid="{9848F517-C71A-4D47-A012-0186F2067A25}"/>
    <hyperlink ref="D64" r:id="rId5" xr:uid="{3FB1FC6C-C19C-4B75-818C-666FC464B961}"/>
    <hyperlink ref="D15" r:id="rId6" xr:uid="{43DB7D08-EC85-437E-913C-E66B05322BFD}"/>
    <hyperlink ref="D26" r:id="rId7" xr:uid="{3D877F8C-E5B0-416B-AA79-6FC576CCB462}"/>
    <hyperlink ref="D44" r:id="rId8" location="S" xr:uid="{C250976F-CE6D-403D-BEBF-E839A1A29695}"/>
    <hyperlink ref="D16" r:id="rId9" xr:uid="{BDE1D5D6-7CC0-44E6-A457-E8639EE024D0}"/>
    <hyperlink ref="D47" r:id="rId10" xr:uid="{382C7D68-F346-4FCF-85E9-DF5F1A32B6FB}"/>
    <hyperlink ref="D27" r:id="rId11" xr:uid="{4ACD031C-A30D-4652-BA89-6A508B145D97}"/>
    <hyperlink ref="D49" r:id="rId12" xr:uid="{7BF519EF-D999-4109-9618-0FF4E1B2A9A6}"/>
    <hyperlink ref="D21" r:id="rId13" xr:uid="{61DEF178-BB4A-4B6B-8837-6F6A603CEA1B}"/>
    <hyperlink ref="D50" r:id="rId14" xr:uid="{403B8291-0C99-48AF-A369-22BA7A269B18}"/>
    <hyperlink ref="D55" r:id="rId15" xr:uid="{DA8EC4A8-8B84-4881-8003-089D3D99F2C9}"/>
    <hyperlink ref="D12" r:id="rId16" xr:uid="{5B034F06-F71C-446B-ACD7-A39A374E764D}"/>
    <hyperlink ref="D66" r:id="rId17" xr:uid="{EFF911E8-1673-4C5C-A8C6-0F7EDD741AFA}"/>
    <hyperlink ref="D67" r:id="rId18" xr:uid="{6656D2AA-40BA-4304-AB43-D52EAB0DB6D4}"/>
    <hyperlink ref="D68" r:id="rId19" xr:uid="{BD7336D6-556C-4C36-8318-9882A3E266B0}"/>
    <hyperlink ref="D71" r:id="rId20" xr:uid="{40702747-CF02-4DF4-B0CA-96EBF826A83F}"/>
    <hyperlink ref="D42" r:id="rId21" xr:uid="{5299C052-857F-4281-8B7A-D8A6CD39C436}"/>
    <hyperlink ref="D23" r:id="rId22" xr:uid="{53CF8561-862D-4428-8FB8-D2A44C021B29}"/>
    <hyperlink ref="D29" r:id="rId23" xr:uid="{93680C80-C089-4665-B82C-BC3B74D9F161}"/>
    <hyperlink ref="D13" r:id="rId24" xr:uid="{54A3402C-9D19-404F-98CB-A25186EB7AA5}"/>
    <hyperlink ref="D43" r:id="rId25" xr:uid="{66519D86-F706-4B5E-82A9-C8143D2028A2}"/>
    <hyperlink ref="D63" r:id="rId26" xr:uid="{CDBB4A2E-13C7-404D-BC33-03B9B3223585}"/>
    <hyperlink ref="D52" r:id="rId27" xr:uid="{AE3FE51D-A8A2-4E77-A5A2-3BAB352EE598}"/>
    <hyperlink ref="D8" r:id="rId28" xr:uid="{C47C971C-C4EB-4DAC-BF63-5A37FB51F3D3}"/>
    <hyperlink ref="D73" r:id="rId29" xr:uid="{3E387F78-5AB9-4A25-9070-256337DD6284}"/>
    <hyperlink ref="D14" r:id="rId30" xr:uid="{027BB212-F9E5-4A23-A313-3855C14A22E8}"/>
    <hyperlink ref="D10" r:id="rId31" xr:uid="{25994972-05BF-4F8B-9F0E-3064A2E80A47}"/>
    <hyperlink ref="D17" r:id="rId32" location="ec0005" xr:uid="{C75696F8-30EB-4A96-8D6F-0B29B46A9565}"/>
    <hyperlink ref="D36" r:id="rId33" xr:uid="{C7C81786-E766-4FB9-B884-2B123C15AD52}"/>
    <hyperlink ref="D3" r:id="rId34" xr:uid="{C473E26D-937D-4B48-9749-CFDE27A8CEE2}"/>
    <hyperlink ref="D5" r:id="rId35" xr:uid="{C1C248F2-DCFA-4C9A-BF76-141AEEEA867C}"/>
    <hyperlink ref="D4" r:id="rId36" xr:uid="{5C564E8E-3116-4825-8E8F-5EA70511718E}"/>
    <hyperlink ref="D7" r:id="rId37" xr:uid="{96D7059E-98FD-421B-8795-42AC8DFB6EDD}"/>
    <hyperlink ref="D6" r:id="rId38" xr:uid="{E20BA269-92F3-4B0E-AF77-4CF163FC4CE1}"/>
    <hyperlink ref="D18" r:id="rId39" xr:uid="{658EBA7D-E1E9-4EB9-A492-F9683A79F3B0}"/>
    <hyperlink ref="D19" r:id="rId40" xr:uid="{08A7AF9E-A088-4BA4-B1E5-FC175D40C401}"/>
    <hyperlink ref="D22" r:id="rId41" xr:uid="{970C8CFF-71BA-4653-9959-D999A95A6AE0}"/>
    <hyperlink ref="D24" r:id="rId42" xr:uid="{F4AD0989-0B23-4A3C-8540-3B27D113D0A1}"/>
    <hyperlink ref="D25" r:id="rId43" xr:uid="{D4FFDE38-A421-41E2-BCE6-BA076D143C3C}"/>
    <hyperlink ref="D28" r:id="rId44" xr:uid="{C90F83BB-D447-4561-9993-58B46EDC4AF6}"/>
    <hyperlink ref="D30" r:id="rId45" xr:uid="{E0EB7950-D91F-4EE2-B257-8185B481DD0C}"/>
    <hyperlink ref="D31" r:id="rId46" xr:uid="{C99E7322-2BCA-4CE4-8256-362F9902D16A}"/>
    <hyperlink ref="D32" r:id="rId47" xr:uid="{2C0C799A-38EA-4757-BBF3-87FABEE85BC6}"/>
    <hyperlink ref="D33" r:id="rId48" xr:uid="{6E484DFF-7D7C-44A6-A59D-9925E3C3AEA3}"/>
    <hyperlink ref="D34" r:id="rId49" xr:uid="{4DABE93A-6F9B-43AC-9A8A-47D7C4933998}"/>
    <hyperlink ref="D35" r:id="rId50" xr:uid="{F86259A2-CE8C-470E-B7A1-35490F0BB1EA}"/>
    <hyperlink ref="D40" r:id="rId51" xr:uid="{A7B9A031-5097-4F5B-8868-68B77EFF5918}"/>
    <hyperlink ref="D41" r:id="rId52" xr:uid="{C7D9949C-B6F9-49DC-9F1B-C07E26E022CA}"/>
    <hyperlink ref="D46" r:id="rId53" xr:uid="{4E404745-FC68-4E5F-8E61-F7BF2C7E48D3}"/>
    <hyperlink ref="D48" r:id="rId54" xr:uid="{BA2EEA98-C694-4237-9978-FE33FA7A0D00}"/>
    <hyperlink ref="D51" r:id="rId55" xr:uid="{91EB38D6-2AC9-4D67-A83A-1A7F5CEA6035}"/>
    <hyperlink ref="D53" r:id="rId56" xr:uid="{3A1F2C7F-44D5-46DE-ACFC-F5828561C811}"/>
    <hyperlink ref="D54" r:id="rId57" xr:uid="{1CAF73C5-41C8-497A-9EE5-E1A39FBA284C}"/>
    <hyperlink ref="D56" r:id="rId58" xr:uid="{33E13506-DD7F-4E0E-AE97-14488BC1784A}"/>
    <hyperlink ref="D57" r:id="rId59" xr:uid="{F36CCFEE-4C7B-4464-BA0A-5B3DAF567ED9}"/>
    <hyperlink ref="D58" r:id="rId60" xr:uid="{6162D48F-E591-49ED-AC7D-7A68D0C3D26E}"/>
    <hyperlink ref="D59" r:id="rId61" xr:uid="{5CF1EA0D-FDAC-4809-8933-2C1C6028DBEF}"/>
    <hyperlink ref="D60" r:id="rId62" xr:uid="{914A8180-528E-49F9-84A1-CBB48D84DA7C}"/>
    <hyperlink ref="D61" r:id="rId63" xr:uid="{0F244DEC-C660-4A48-9A13-9F0E2CB4575B}"/>
    <hyperlink ref="D62" r:id="rId64" xr:uid="{4187E5A9-230C-4AEA-AA4A-B237EEBE3D01}"/>
    <hyperlink ref="D65" r:id="rId65" xr:uid="{5AF13BBA-A335-41FD-AD85-0DB23A5D4032}"/>
    <hyperlink ref="D69" r:id="rId66" xr:uid="{114340B9-75AC-438C-8E41-F9A9BFD95C38}"/>
    <hyperlink ref="D72" r:id="rId67" xr:uid="{8B7A2C08-7595-4E97-9CDD-8320C2DB57D6}"/>
    <hyperlink ref="D74" r:id="rId68" xr:uid="{F4891136-4971-46EB-80F8-CF4476D9A0E0}"/>
    <hyperlink ref="D75" r:id="rId69" xr:uid="{BF4420F5-8739-41FA-A5F3-0E2D853D5F49}"/>
    <hyperlink ref="D77" r:id="rId70" xr:uid="{2288BC5E-42DD-47BA-B114-B88E4C609F65}"/>
  </hyperlinks>
  <pageMargins left="0.7" right="0.7" top="0.75" bottom="0.75" header="0.3" footer="0.3"/>
  <pageSetup paperSize="9" orientation="portrait" r:id="rId7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AB43"/>
  <sheetViews>
    <sheetView zoomScale="85" zoomScaleNormal="85" workbookViewId="0">
      <pane xSplit="3" ySplit="3" topLeftCell="D25" activePane="bottomRight" state="frozen"/>
      <selection pane="topRight" activeCell="D1" sqref="D1"/>
      <selection pane="bottomLeft" activeCell="A5" sqref="A5"/>
      <selection pane="bottomRight" activeCell="F21" sqref="F21"/>
    </sheetView>
  </sheetViews>
  <sheetFormatPr defaultRowHeight="15" x14ac:dyDescent="0.25"/>
  <cols>
    <col min="1" max="1" width="14.42578125" bestFit="1" customWidth="1"/>
    <col min="2" max="2" width="19.28515625" bestFit="1" customWidth="1"/>
    <col min="4" max="5" width="12.42578125" bestFit="1" customWidth="1"/>
    <col min="6" max="6" width="12.5703125" bestFit="1" customWidth="1"/>
    <col min="7" max="7" width="16" bestFit="1" customWidth="1"/>
    <col min="9" max="11" width="19.140625" bestFit="1" customWidth="1"/>
    <col min="12" max="12" width="16.42578125" bestFit="1" customWidth="1"/>
    <col min="13" max="13" width="17.7109375" bestFit="1" customWidth="1"/>
    <col min="14" max="17" width="16.85546875" bestFit="1" customWidth="1"/>
    <col min="18" max="18" width="18.140625" bestFit="1" customWidth="1"/>
    <col min="19" max="19" width="20.28515625" bestFit="1" customWidth="1"/>
    <col min="20" max="20" width="19.5703125" bestFit="1" customWidth="1"/>
  </cols>
  <sheetData>
    <row r="1" spans="1:28" x14ac:dyDescent="0.25">
      <c r="A1" s="53" t="s">
        <v>70</v>
      </c>
      <c r="B1" s="27" t="s">
        <v>71</v>
      </c>
      <c r="C1" s="27" t="s">
        <v>72</v>
      </c>
      <c r="D1" s="129" t="s">
        <v>73</v>
      </c>
      <c r="E1" s="130"/>
      <c r="F1" s="130"/>
      <c r="G1" s="130"/>
      <c r="H1" s="131"/>
      <c r="I1" s="61" t="s">
        <v>74</v>
      </c>
      <c r="J1" s="66" t="s">
        <v>74</v>
      </c>
      <c r="K1" s="61" t="s">
        <v>74</v>
      </c>
      <c r="L1" s="66" t="s">
        <v>85</v>
      </c>
      <c r="M1" s="61" t="s">
        <v>92</v>
      </c>
      <c r="N1" s="66" t="s">
        <v>93</v>
      </c>
      <c r="O1" s="61" t="s">
        <v>93</v>
      </c>
      <c r="P1" s="66" t="s">
        <v>93</v>
      </c>
      <c r="Q1" s="61" t="s">
        <v>93</v>
      </c>
      <c r="R1" s="66" t="s">
        <v>91</v>
      </c>
      <c r="S1" s="73" t="s">
        <v>94</v>
      </c>
      <c r="T1" s="66" t="s">
        <v>131</v>
      </c>
      <c r="U1" s="60"/>
      <c r="V1" s="60"/>
      <c r="W1" s="60"/>
      <c r="X1" s="60"/>
      <c r="Y1" s="60"/>
      <c r="Z1" s="60"/>
      <c r="AA1" s="60"/>
      <c r="AB1" s="60"/>
    </row>
    <row r="2" spans="1:28" ht="40.5" x14ac:dyDescent="0.25">
      <c r="A2" s="23"/>
      <c r="B2" s="28"/>
      <c r="C2" s="28"/>
      <c r="D2" s="33" t="s">
        <v>95</v>
      </c>
      <c r="E2" s="33" t="s">
        <v>96</v>
      </c>
      <c r="F2" s="33" t="s">
        <v>97</v>
      </c>
      <c r="G2" s="34" t="s">
        <v>98</v>
      </c>
      <c r="H2" s="33" t="s">
        <v>107</v>
      </c>
      <c r="I2" s="62" t="s">
        <v>75</v>
      </c>
      <c r="J2" s="67" t="s">
        <v>75</v>
      </c>
      <c r="K2" s="62" t="s">
        <v>75</v>
      </c>
      <c r="L2" s="67" t="s">
        <v>75</v>
      </c>
      <c r="M2" s="62" t="s">
        <v>75</v>
      </c>
      <c r="N2" s="67" t="s">
        <v>75</v>
      </c>
      <c r="O2" s="62" t="s">
        <v>75</v>
      </c>
      <c r="P2" s="67" t="s">
        <v>75</v>
      </c>
      <c r="Q2" s="62" t="s">
        <v>75</v>
      </c>
      <c r="R2" s="67" t="s">
        <v>75</v>
      </c>
      <c r="S2" s="62" t="s">
        <v>75</v>
      </c>
      <c r="T2" s="67" t="s">
        <v>75</v>
      </c>
    </row>
    <row r="3" spans="1:28" x14ac:dyDescent="0.25">
      <c r="A3" s="24"/>
      <c r="B3" s="29"/>
      <c r="C3" s="30"/>
      <c r="D3" s="24"/>
      <c r="E3" s="24"/>
      <c r="F3" s="24"/>
      <c r="G3" s="24"/>
      <c r="H3" s="2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28" x14ac:dyDescent="0.25">
      <c r="A4" s="42" t="s">
        <v>3</v>
      </c>
      <c r="B4" s="30" t="s">
        <v>76</v>
      </c>
      <c r="C4" s="31">
        <v>2020</v>
      </c>
      <c r="D4" s="44">
        <f t="shared" ref="D4:D41" si="0">AVERAGE(I4,J4,K4,L4,M4,N4,O4,P4,Q4,R4,S4)</f>
        <v>0.24561124949141105</v>
      </c>
      <c r="E4" s="44">
        <f t="shared" ref="E4:E41" si="1">MEDIAN(I4,J4,K4,L4,M4,N4,O4,P4,Q4,R4,S4)</f>
        <v>0.24561124949141105</v>
      </c>
      <c r="F4" s="44">
        <f t="shared" ref="F4:F41" si="2">MIN(I4,J4,K4,L4,M4,N4,O4,P4,Q4,R4,S4)</f>
        <v>0.24561124949141105</v>
      </c>
      <c r="G4" s="44">
        <f t="shared" ref="G4:G41" si="3">MAX(I4,J4,K4,L4,M4,N4,O4,P4,Q4,R4,S4)</f>
        <v>0.24561124949141105</v>
      </c>
      <c r="H4" s="24">
        <f t="shared" ref="H4:H41" si="4">COUNT(I4,J4,K4,L4,M4,N4,O4,P4,Q4,R4,S4)</f>
        <v>1</v>
      </c>
      <c r="I4" s="74"/>
      <c r="J4" s="74"/>
      <c r="K4" s="74"/>
      <c r="L4" s="74"/>
      <c r="M4" s="74"/>
      <c r="N4" s="74"/>
      <c r="O4" s="74"/>
      <c r="P4" s="74"/>
      <c r="Q4" s="74"/>
      <c r="R4" s="75">
        <v>0.24561124949141105</v>
      </c>
      <c r="S4" s="74"/>
      <c r="T4" s="75">
        <v>5.5757575757575756E-2</v>
      </c>
    </row>
    <row r="5" spans="1:28" x14ac:dyDescent="0.25">
      <c r="A5" s="42" t="s">
        <v>4</v>
      </c>
      <c r="B5" s="30" t="s">
        <v>76</v>
      </c>
      <c r="C5" s="31">
        <v>2020</v>
      </c>
      <c r="D5" s="44">
        <f t="shared" si="0"/>
        <v>1.1690303918693058E-3</v>
      </c>
      <c r="E5" s="44">
        <f t="shared" si="1"/>
        <v>1.1342081716923076E-3</v>
      </c>
      <c r="F5" s="44">
        <f t="shared" si="2"/>
        <v>7.4288228187499995E-4</v>
      </c>
      <c r="G5" s="44">
        <f t="shared" si="3"/>
        <v>1.6601678199999999E-3</v>
      </c>
      <c r="H5" s="24">
        <f t="shared" si="4"/>
        <v>5</v>
      </c>
      <c r="I5" s="74"/>
      <c r="J5" s="74"/>
      <c r="K5" s="74"/>
      <c r="L5" s="74"/>
      <c r="M5" s="76">
        <v>1.4588853636363639E-3</v>
      </c>
      <c r="N5" s="76">
        <v>7.4288228187499995E-4</v>
      </c>
      <c r="O5" s="76">
        <v>1.1342081716923076E-3</v>
      </c>
      <c r="P5" s="76">
        <v>1.6601678199999999E-3</v>
      </c>
      <c r="Q5" s="76">
        <v>8.4900832214285715E-4</v>
      </c>
      <c r="R5" s="76"/>
      <c r="S5" s="76"/>
      <c r="T5" s="76"/>
    </row>
    <row r="6" spans="1:28" x14ac:dyDescent="0.25">
      <c r="A6" s="42" t="s">
        <v>7</v>
      </c>
      <c r="B6" s="30" t="s">
        <v>76</v>
      </c>
      <c r="C6" s="31">
        <v>2020</v>
      </c>
      <c r="D6" s="44">
        <f t="shared" si="0"/>
        <v>2.7842052773505229E-6</v>
      </c>
      <c r="E6" s="44">
        <f t="shared" si="1"/>
        <v>3.2636123076923078E-6</v>
      </c>
      <c r="F6" s="44">
        <f t="shared" si="2"/>
        <v>1.6208218750000003E-6</v>
      </c>
      <c r="G6" s="44">
        <f t="shared" si="3"/>
        <v>3.7087758620689653E-6</v>
      </c>
      <c r="H6" s="24">
        <f t="shared" si="4"/>
        <v>5</v>
      </c>
      <c r="I6" s="74"/>
      <c r="J6" s="74"/>
      <c r="K6" s="74"/>
      <c r="L6" s="74"/>
      <c r="M6" s="76">
        <v>3.4754484848484851E-6</v>
      </c>
      <c r="N6" s="76">
        <v>1.6208218750000003E-6</v>
      </c>
      <c r="O6" s="76">
        <v>3.2636123076923078E-6</v>
      </c>
      <c r="P6" s="76">
        <v>3.7087758620689653E-6</v>
      </c>
      <c r="Q6" s="76">
        <v>1.8523678571428576E-6</v>
      </c>
      <c r="R6" s="76"/>
      <c r="S6" s="76"/>
      <c r="T6" s="76"/>
    </row>
    <row r="7" spans="1:28" x14ac:dyDescent="0.25">
      <c r="A7" s="25" t="s">
        <v>11</v>
      </c>
      <c r="B7" s="30" t="s">
        <v>76</v>
      </c>
      <c r="C7" s="31">
        <v>2020</v>
      </c>
      <c r="D7" s="44">
        <f t="shared" si="0"/>
        <v>1.6019223880867696E-5</v>
      </c>
      <c r="E7" s="44">
        <f t="shared" si="1"/>
        <v>1.2509984999999999E-5</v>
      </c>
      <c r="F7" s="44">
        <f t="shared" si="2"/>
        <v>1.55E-7</v>
      </c>
      <c r="G7" s="44">
        <f t="shared" si="3"/>
        <v>4.9090909090909091E-5</v>
      </c>
      <c r="H7" s="24">
        <f t="shared" si="4"/>
        <v>9</v>
      </c>
      <c r="I7" s="76">
        <v>1.8125000000000001E-7</v>
      </c>
      <c r="J7" s="77">
        <v>1.55E-7</v>
      </c>
      <c r="K7" s="77">
        <v>6.455E-6</v>
      </c>
      <c r="L7" s="77">
        <v>4.9090909090909091E-5</v>
      </c>
      <c r="M7" s="76">
        <v>2.2186894545454543E-5</v>
      </c>
      <c r="N7" s="76">
        <v>1.0946236874999999E-5</v>
      </c>
      <c r="O7" s="76">
        <v>1.7291667692307691E-5</v>
      </c>
      <c r="P7" s="76">
        <v>2.535607172413793E-5</v>
      </c>
      <c r="Q7" s="76">
        <v>1.2509984999999999E-5</v>
      </c>
      <c r="R7" s="76"/>
      <c r="S7" s="76"/>
      <c r="T7" s="76"/>
    </row>
    <row r="8" spans="1:28" x14ac:dyDescent="0.25">
      <c r="A8" s="25" t="s">
        <v>13</v>
      </c>
      <c r="B8" s="30" t="s">
        <v>76</v>
      </c>
      <c r="C8" s="31">
        <v>2020</v>
      </c>
      <c r="D8" s="44">
        <f t="shared" si="0"/>
        <v>3.0385156110153437E-3</v>
      </c>
      <c r="E8" s="44">
        <f t="shared" si="1"/>
        <v>3.5618020703448274E-3</v>
      </c>
      <c r="F8" s="44">
        <f t="shared" si="2"/>
        <v>1.9480804406249998E-3</v>
      </c>
      <c r="G8" s="44">
        <f t="shared" si="3"/>
        <v>3.7368655309090908E-3</v>
      </c>
      <c r="H8" s="24">
        <f t="shared" si="4"/>
        <v>5</v>
      </c>
      <c r="I8" s="76"/>
      <c r="J8" s="77"/>
      <c r="K8" s="77"/>
      <c r="L8" s="77"/>
      <c r="M8" s="76">
        <v>3.7368655309090908E-3</v>
      </c>
      <c r="N8" s="76">
        <v>1.9480804406249998E-3</v>
      </c>
      <c r="O8" s="76">
        <v>3.7194523667692311E-3</v>
      </c>
      <c r="P8" s="76">
        <v>3.5618020703448274E-3</v>
      </c>
      <c r="Q8" s="76">
        <v>2.2263776464285711E-3</v>
      </c>
      <c r="R8" s="76"/>
      <c r="S8" s="76"/>
      <c r="T8" s="76"/>
    </row>
    <row r="9" spans="1:28" x14ac:dyDescent="0.25">
      <c r="A9" s="25" t="s">
        <v>16</v>
      </c>
      <c r="B9" s="30" t="s">
        <v>76</v>
      </c>
      <c r="C9" s="31">
        <v>2020</v>
      </c>
      <c r="D9" s="44">
        <f t="shared" si="0"/>
        <v>2.0889678127719979E-5</v>
      </c>
      <c r="E9" s="44">
        <f t="shared" si="1"/>
        <v>1.6636363636363637E-5</v>
      </c>
      <c r="F9" s="44">
        <f t="shared" si="2"/>
        <v>5.1875000000000001E-7</v>
      </c>
      <c r="G9" s="44">
        <f t="shared" si="3"/>
        <v>6.4830000000000001E-5</v>
      </c>
      <c r="H9" s="24">
        <f t="shared" si="4"/>
        <v>9</v>
      </c>
      <c r="I9" s="76">
        <v>5.1875000000000001E-7</v>
      </c>
      <c r="J9" s="77">
        <v>6.4830000000000001E-5</v>
      </c>
      <c r="K9" s="77">
        <v>9.7999999999999993E-7</v>
      </c>
      <c r="L9" s="77">
        <v>1.6636363636363637E-5</v>
      </c>
      <c r="M9" s="76">
        <v>2.5999323636363639E-5</v>
      </c>
      <c r="N9" s="76">
        <v>1.353180125E-5</v>
      </c>
      <c r="O9" s="76">
        <v>2.2335326153846154E-5</v>
      </c>
      <c r="P9" s="76">
        <v>2.7710622758620687E-5</v>
      </c>
      <c r="Q9" s="76">
        <v>1.5464915714285713E-5</v>
      </c>
      <c r="R9" s="76"/>
      <c r="S9" s="76"/>
      <c r="T9" s="76"/>
    </row>
    <row r="10" spans="1:28" x14ac:dyDescent="0.25">
      <c r="A10" s="25" t="s">
        <v>77</v>
      </c>
      <c r="B10" s="30" t="s">
        <v>76</v>
      </c>
      <c r="C10" s="31">
        <v>2020</v>
      </c>
      <c r="D10" s="44">
        <f t="shared" si="0"/>
        <v>6.7500000000000002E-8</v>
      </c>
      <c r="E10" s="44">
        <f t="shared" si="1"/>
        <v>8.9999999999999999E-8</v>
      </c>
      <c r="F10" s="44">
        <f t="shared" si="2"/>
        <v>0</v>
      </c>
      <c r="G10" s="44">
        <f t="shared" si="3"/>
        <v>1.1249999999999999E-7</v>
      </c>
      <c r="H10" s="24">
        <f t="shared" si="4"/>
        <v>3</v>
      </c>
      <c r="I10" s="76">
        <v>1.1249999999999999E-7</v>
      </c>
      <c r="J10" s="77">
        <v>8.9999999999999999E-8</v>
      </c>
      <c r="K10" s="77">
        <v>0</v>
      </c>
      <c r="L10" s="77"/>
      <c r="M10" s="77"/>
      <c r="N10" s="77"/>
      <c r="O10" s="77"/>
      <c r="P10" s="77"/>
      <c r="Q10" s="77"/>
      <c r="R10" s="77"/>
      <c r="S10" s="77"/>
      <c r="T10" s="77"/>
    </row>
    <row r="11" spans="1:28" x14ac:dyDescent="0.25">
      <c r="A11" s="25" t="s">
        <v>78</v>
      </c>
      <c r="B11" s="30" t="s">
        <v>76</v>
      </c>
      <c r="C11" s="31">
        <v>2020</v>
      </c>
      <c r="D11" s="44">
        <f t="shared" si="0"/>
        <v>7.2244318181818187E-8</v>
      </c>
      <c r="E11" s="44">
        <f t="shared" si="1"/>
        <v>5.6250000000000007E-9</v>
      </c>
      <c r="F11" s="44">
        <f t="shared" si="2"/>
        <v>5.0000000000000001E-9</v>
      </c>
      <c r="G11" s="44">
        <f t="shared" si="3"/>
        <v>2.7272727272727274E-7</v>
      </c>
      <c r="H11" s="24">
        <f t="shared" si="4"/>
        <v>4</v>
      </c>
      <c r="I11" s="76">
        <v>6.2500000000000005E-9</v>
      </c>
      <c r="J11" s="77">
        <v>5.0000000000000001E-9</v>
      </c>
      <c r="K11" s="77">
        <v>5.0000000000000001E-9</v>
      </c>
      <c r="L11" s="77">
        <v>2.7272727272727274E-7</v>
      </c>
      <c r="M11" s="77"/>
      <c r="N11" s="77"/>
      <c r="O11" s="77"/>
      <c r="P11" s="77"/>
      <c r="Q11" s="77"/>
      <c r="R11" s="77"/>
      <c r="S11" s="77"/>
      <c r="T11" s="77"/>
    </row>
    <row r="12" spans="1:28" x14ac:dyDescent="0.25">
      <c r="A12" s="25" t="s">
        <v>18</v>
      </c>
      <c r="B12" s="30" t="s">
        <v>76</v>
      </c>
      <c r="C12" s="31">
        <v>2020</v>
      </c>
      <c r="D12" s="44">
        <f t="shared" si="0"/>
        <v>1.415110600330959E-5</v>
      </c>
      <c r="E12" s="44">
        <f t="shared" si="1"/>
        <v>1.6264529999999999E-5</v>
      </c>
      <c r="F12" s="44">
        <f t="shared" si="2"/>
        <v>5.0000000000000001E-9</v>
      </c>
      <c r="G12" s="44">
        <f t="shared" si="3"/>
        <v>3.1386684848484855E-5</v>
      </c>
      <c r="H12" s="24">
        <f t="shared" si="4"/>
        <v>9</v>
      </c>
      <c r="I12" s="76">
        <v>6.2500000000000005E-9</v>
      </c>
      <c r="J12" s="77">
        <v>5.0000000000000001E-9</v>
      </c>
      <c r="K12" s="77">
        <v>5.0000000000000001E-9</v>
      </c>
      <c r="L12" s="77">
        <v>2.1545454545454547E-7</v>
      </c>
      <c r="M12" s="76">
        <v>3.1386684848484855E-5</v>
      </c>
      <c r="N12" s="76">
        <v>1.6264529999999999E-5</v>
      </c>
      <c r="O12" s="76">
        <v>2.9906991384615383E-5</v>
      </c>
      <c r="P12" s="76">
        <v>3.0982008965517242E-5</v>
      </c>
      <c r="Q12" s="76">
        <v>1.8588034285714285E-5</v>
      </c>
      <c r="R12" s="76"/>
      <c r="S12" s="76"/>
      <c r="T12" s="76"/>
    </row>
    <row r="13" spans="1:28" x14ac:dyDescent="0.25">
      <c r="A13" s="25" t="s">
        <v>20</v>
      </c>
      <c r="B13" s="30" t="s">
        <v>76</v>
      </c>
      <c r="C13" s="31">
        <v>2020</v>
      </c>
      <c r="D13" s="44">
        <f t="shared" si="0"/>
        <v>1.5088993118880939E-5</v>
      </c>
      <c r="E13" s="44">
        <f t="shared" si="1"/>
        <v>1.6343124776785715E-5</v>
      </c>
      <c r="F13" s="44">
        <f t="shared" si="2"/>
        <v>5.0000000000000004E-8</v>
      </c>
      <c r="G13" s="44">
        <f t="shared" si="3"/>
        <v>3.26751324137931E-5</v>
      </c>
      <c r="H13" s="24">
        <f t="shared" si="4"/>
        <v>8</v>
      </c>
      <c r="I13" s="76">
        <v>5.0000000000000004E-8</v>
      </c>
      <c r="J13" s="77">
        <v>2.8499999999999997E-7</v>
      </c>
      <c r="K13" s="77">
        <v>2.0999999999999997E-7</v>
      </c>
      <c r="L13" s="77"/>
      <c r="M13" s="76">
        <v>2.991100606060606E-5</v>
      </c>
      <c r="N13" s="76">
        <v>1.5253583125000002E-5</v>
      </c>
      <c r="O13" s="76">
        <v>2.4894556923076923E-5</v>
      </c>
      <c r="P13" s="76">
        <v>3.26751324137931E-5</v>
      </c>
      <c r="Q13" s="76">
        <v>1.7432666428571431E-5</v>
      </c>
      <c r="R13" s="76"/>
      <c r="S13" s="76"/>
      <c r="T13" s="76"/>
    </row>
    <row r="14" spans="1:28" x14ac:dyDescent="0.25">
      <c r="A14" s="25" t="s">
        <v>21</v>
      </c>
      <c r="B14" s="30" t="s">
        <v>76</v>
      </c>
      <c r="C14" s="31">
        <v>2020</v>
      </c>
      <c r="D14" s="44">
        <f t="shared" si="0"/>
        <v>1.5077938911443729E-5</v>
      </c>
      <c r="E14" s="44">
        <f t="shared" si="1"/>
        <v>1.8012576551724138E-5</v>
      </c>
      <c r="F14" s="44">
        <f t="shared" si="2"/>
        <v>9.5009875000000001E-6</v>
      </c>
      <c r="G14" s="44">
        <f t="shared" si="3"/>
        <v>1.864444E-5</v>
      </c>
      <c r="H14" s="24">
        <f t="shared" si="4"/>
        <v>5</v>
      </c>
      <c r="I14" s="76"/>
      <c r="J14" s="77"/>
      <c r="K14" s="77"/>
      <c r="L14" s="77"/>
      <c r="M14" s="76">
        <v>1.864444E-5</v>
      </c>
      <c r="N14" s="76">
        <v>9.5009875000000001E-6</v>
      </c>
      <c r="O14" s="76">
        <v>1.8373419076923078E-5</v>
      </c>
      <c r="P14" s="76">
        <v>1.8012576551724138E-5</v>
      </c>
      <c r="Q14" s="76">
        <v>1.0858271428571429E-5</v>
      </c>
      <c r="R14" s="76"/>
      <c r="S14" s="76"/>
      <c r="T14" s="76"/>
    </row>
    <row r="15" spans="1:28" x14ac:dyDescent="0.25">
      <c r="A15" s="25" t="s">
        <v>86</v>
      </c>
      <c r="B15" s="30" t="s">
        <v>76</v>
      </c>
      <c r="C15" s="31">
        <v>2020</v>
      </c>
      <c r="D15" s="44">
        <f t="shared" si="0"/>
        <v>1.4518556518580095E-4</v>
      </c>
      <c r="E15" s="44">
        <f t="shared" si="1"/>
        <v>1.3713072553846151E-4</v>
      </c>
      <c r="F15" s="44">
        <f t="shared" si="2"/>
        <v>9.2429758749999996E-5</v>
      </c>
      <c r="G15" s="44">
        <f t="shared" si="3"/>
        <v>2.100497510344827E-4</v>
      </c>
      <c r="H15" s="24">
        <f t="shared" si="4"/>
        <v>5</v>
      </c>
      <c r="I15" s="76"/>
      <c r="J15" s="77"/>
      <c r="K15" s="77"/>
      <c r="L15" s="77"/>
      <c r="M15" s="76">
        <v>1.806835806060606E-4</v>
      </c>
      <c r="N15" s="76">
        <v>9.2429758749999996E-5</v>
      </c>
      <c r="O15" s="76">
        <v>1.3713072553846151E-4</v>
      </c>
      <c r="P15" s="76">
        <v>2.100497510344827E-4</v>
      </c>
      <c r="Q15" s="76">
        <v>1.0563401E-4</v>
      </c>
      <c r="R15" s="76"/>
      <c r="S15" s="76"/>
      <c r="T15" s="76"/>
    </row>
    <row r="16" spans="1:28" x14ac:dyDescent="0.25">
      <c r="A16" s="25" t="s">
        <v>25</v>
      </c>
      <c r="B16" s="30" t="s">
        <v>76</v>
      </c>
      <c r="C16" s="31">
        <v>2020</v>
      </c>
      <c r="D16" s="44">
        <f t="shared" si="0"/>
        <v>5.726814823567059E-6</v>
      </c>
      <c r="E16" s="44">
        <f t="shared" si="1"/>
        <v>6.4634847163461536E-6</v>
      </c>
      <c r="F16" s="44">
        <f t="shared" si="2"/>
        <v>4.0000000000000001E-8</v>
      </c>
      <c r="G16" s="44">
        <f t="shared" si="3"/>
        <v>1.3572060000000002E-5</v>
      </c>
      <c r="H16" s="24">
        <f t="shared" si="4"/>
        <v>8</v>
      </c>
      <c r="I16" s="76">
        <v>9.3749999999999989E-8</v>
      </c>
      <c r="J16" s="77">
        <v>4.0000000000000001E-8</v>
      </c>
      <c r="K16" s="77">
        <v>1.9000000000000001E-7</v>
      </c>
      <c r="L16" s="77"/>
      <c r="M16" s="76">
        <v>1.201019272727273E-5</v>
      </c>
      <c r="N16" s="76">
        <v>6.1088531249999993E-6</v>
      </c>
      <c r="O16" s="76">
        <v>6.8181163076923079E-6</v>
      </c>
      <c r="P16" s="76">
        <v>1.3572060000000002E-5</v>
      </c>
      <c r="Q16" s="76">
        <v>6.9815464285714282E-6</v>
      </c>
      <c r="R16" s="76"/>
      <c r="S16" s="76"/>
      <c r="T16" s="76"/>
    </row>
    <row r="17" spans="1:20" x14ac:dyDescent="0.25">
      <c r="A17" s="25" t="s">
        <v>28</v>
      </c>
      <c r="B17" s="30" t="s">
        <v>76</v>
      </c>
      <c r="C17" s="31">
        <v>2020</v>
      </c>
      <c r="D17" s="44">
        <f t="shared" si="0"/>
        <v>3.3182038550359067E-3</v>
      </c>
      <c r="E17" s="44">
        <f t="shared" si="1"/>
        <v>3.8274557231249996E-3</v>
      </c>
      <c r="F17" s="44">
        <f t="shared" si="2"/>
        <v>0</v>
      </c>
      <c r="G17" s="44">
        <f t="shared" si="3"/>
        <v>7.3856121926153869E-3</v>
      </c>
      <c r="H17" s="24">
        <f t="shared" si="4"/>
        <v>9</v>
      </c>
      <c r="I17" s="76">
        <v>3.2624999999999997E-6</v>
      </c>
      <c r="J17" s="77">
        <v>3.3399999999999998E-6</v>
      </c>
      <c r="K17" s="77">
        <v>0</v>
      </c>
      <c r="L17" s="77">
        <v>4.9090909090909088E-6</v>
      </c>
      <c r="M17" s="76">
        <v>7.3393908751515141E-3</v>
      </c>
      <c r="N17" s="76">
        <v>3.8274557231249996E-3</v>
      </c>
      <c r="O17" s="76">
        <v>7.3856121926153869E-3</v>
      </c>
      <c r="P17" s="76">
        <v>6.9256292013793099E-3</v>
      </c>
      <c r="Q17" s="76">
        <v>4.3742351121428564E-3</v>
      </c>
      <c r="R17" s="76"/>
      <c r="S17" s="76"/>
      <c r="T17" s="76"/>
    </row>
    <row r="18" spans="1:20" x14ac:dyDescent="0.25">
      <c r="A18" s="25" t="s">
        <v>31</v>
      </c>
      <c r="B18" s="30" t="s">
        <v>76</v>
      </c>
      <c r="C18" s="31">
        <v>2020</v>
      </c>
      <c r="D18" s="44">
        <f t="shared" si="0"/>
        <v>4.2079031491487856E-4</v>
      </c>
      <c r="E18" s="44">
        <f t="shared" si="1"/>
        <v>4.0363758186813184E-5</v>
      </c>
      <c r="F18" s="44">
        <f t="shared" si="2"/>
        <v>6.8000000000000005E-7</v>
      </c>
      <c r="G18" s="44">
        <f t="shared" si="3"/>
        <v>3.1282749999999998E-3</v>
      </c>
      <c r="H18" s="24">
        <f t="shared" si="4"/>
        <v>8</v>
      </c>
      <c r="I18" s="76">
        <v>3.2374999999999999E-6</v>
      </c>
      <c r="J18" s="77">
        <v>3.1282749999999998E-3</v>
      </c>
      <c r="K18" s="77">
        <v>6.8000000000000005E-7</v>
      </c>
      <c r="L18" s="77"/>
      <c r="M18" s="76">
        <v>5.8606533333333349E-5</v>
      </c>
      <c r="N18" s="76">
        <v>2.9229293749999996E-5</v>
      </c>
      <c r="O18" s="76">
        <v>4.7322609230769225E-5</v>
      </c>
      <c r="P18" s="76">
        <v>6.5566675862068963E-5</v>
      </c>
      <c r="Q18" s="76">
        <v>3.3404907142857136E-5</v>
      </c>
      <c r="R18" s="76"/>
      <c r="S18" s="76"/>
      <c r="T18" s="76"/>
    </row>
    <row r="19" spans="1:20" x14ac:dyDescent="0.25">
      <c r="A19" s="25" t="s">
        <v>33</v>
      </c>
      <c r="B19" s="30" t="s">
        <v>76</v>
      </c>
      <c r="C19" s="31">
        <v>2020</v>
      </c>
      <c r="D19" s="44">
        <f t="shared" si="0"/>
        <v>5.6068830691978688E-3</v>
      </c>
      <c r="E19" s="44">
        <f t="shared" si="1"/>
        <v>5.6068830691978688E-3</v>
      </c>
      <c r="F19" s="44">
        <f t="shared" si="2"/>
        <v>5.6068830691978688E-3</v>
      </c>
      <c r="G19" s="44">
        <f t="shared" si="3"/>
        <v>5.6068830691978688E-3</v>
      </c>
      <c r="H19" s="24">
        <f t="shared" si="4"/>
        <v>1</v>
      </c>
      <c r="I19" s="76"/>
      <c r="J19" s="77"/>
      <c r="K19" s="77"/>
      <c r="L19" s="77"/>
      <c r="M19" s="76"/>
      <c r="N19" s="76"/>
      <c r="O19" s="76"/>
      <c r="P19" s="76"/>
      <c r="Q19" s="76"/>
      <c r="R19" s="76">
        <v>5.6068830691978688E-3</v>
      </c>
      <c r="S19" s="76"/>
      <c r="T19" s="76"/>
    </row>
    <row r="20" spans="1:20" x14ac:dyDescent="0.25">
      <c r="A20" s="25" t="s">
        <v>34</v>
      </c>
      <c r="B20" s="30" t="s">
        <v>76</v>
      </c>
      <c r="C20" s="31">
        <v>2020</v>
      </c>
      <c r="D20" s="44">
        <f t="shared" si="0"/>
        <v>4.8806113114791124E-4</v>
      </c>
      <c r="E20" s="44">
        <f t="shared" si="1"/>
        <v>5.5736504275862063E-4</v>
      </c>
      <c r="F20" s="44">
        <f t="shared" si="2"/>
        <v>3.1045779125000002E-4</v>
      </c>
      <c r="G20" s="44">
        <f t="shared" si="3"/>
        <v>6.1175815138461525E-4</v>
      </c>
      <c r="H20" s="24">
        <f t="shared" si="4"/>
        <v>5</v>
      </c>
      <c r="I20" s="76"/>
      <c r="J20" s="77"/>
      <c r="K20" s="77"/>
      <c r="L20" s="77"/>
      <c r="M20" s="76">
        <v>6.0591576606060607E-4</v>
      </c>
      <c r="N20" s="76">
        <v>3.1045779125000002E-4</v>
      </c>
      <c r="O20" s="76">
        <v>6.1175815138461525E-4</v>
      </c>
      <c r="P20" s="76">
        <v>5.5736504275862063E-4</v>
      </c>
      <c r="Q20" s="76">
        <v>3.5480890428571431E-4</v>
      </c>
      <c r="R20" s="76"/>
      <c r="S20" s="76"/>
      <c r="T20" s="76"/>
    </row>
    <row r="21" spans="1:20" x14ac:dyDescent="0.25">
      <c r="A21" s="25" t="s">
        <v>37</v>
      </c>
      <c r="B21" s="30" t="s">
        <v>76</v>
      </c>
      <c r="C21" s="31">
        <v>2020</v>
      </c>
      <c r="D21" s="44">
        <f t="shared" si="0"/>
        <v>8.9400020692203305E-4</v>
      </c>
      <c r="E21" s="44">
        <f t="shared" si="1"/>
        <v>9.7513088312499983E-4</v>
      </c>
      <c r="F21" s="44">
        <f t="shared" si="2"/>
        <v>1.3800000000000002E-5</v>
      </c>
      <c r="G21" s="44">
        <f t="shared" si="3"/>
        <v>2.0978915082758617E-3</v>
      </c>
      <c r="H21" s="24">
        <f t="shared" si="4"/>
        <v>9</v>
      </c>
      <c r="I21" s="76">
        <v>2.7112500000000002E-5</v>
      </c>
      <c r="J21" s="77">
        <v>2.6593999999999999E-4</v>
      </c>
      <c r="K21" s="77">
        <v>1.3800000000000002E-5</v>
      </c>
      <c r="L21" s="77">
        <v>1.8000000000000004E-4</v>
      </c>
      <c r="M21" s="76">
        <v>1.8767417866666666E-3</v>
      </c>
      <c r="N21" s="76">
        <v>9.7513088312499983E-4</v>
      </c>
      <c r="O21" s="76">
        <v>1.4949498892307693E-3</v>
      </c>
      <c r="P21" s="76">
        <v>2.0978915082758617E-3</v>
      </c>
      <c r="Q21" s="76">
        <v>1.1144352949999999E-3</v>
      </c>
      <c r="R21" s="76"/>
      <c r="S21" s="76"/>
      <c r="T21" s="76"/>
    </row>
    <row r="22" spans="1:20" x14ac:dyDescent="0.25">
      <c r="A22" s="25" t="s">
        <v>39</v>
      </c>
      <c r="B22" s="30" t="s">
        <v>76</v>
      </c>
      <c r="C22" s="31">
        <v>2020</v>
      </c>
      <c r="D22" s="44">
        <f t="shared" si="0"/>
        <v>3.6508187383707167E-5</v>
      </c>
      <c r="E22" s="44">
        <f t="shared" si="1"/>
        <v>3.8795396212121214E-5</v>
      </c>
      <c r="F22" s="44">
        <f t="shared" si="2"/>
        <v>1.9467648749999998E-5</v>
      </c>
      <c r="G22" s="44">
        <f t="shared" si="3"/>
        <v>5.4570000000000001E-5</v>
      </c>
      <c r="H22" s="24">
        <f t="shared" si="4"/>
        <v>8</v>
      </c>
      <c r="I22" s="76">
        <v>3.9618750000000004E-5</v>
      </c>
      <c r="J22" s="77">
        <v>5.4570000000000001E-5</v>
      </c>
      <c r="K22" s="77">
        <v>4.4904999999999998E-5</v>
      </c>
      <c r="L22" s="77"/>
      <c r="M22" s="76">
        <v>3.7972042424242425E-5</v>
      </c>
      <c r="N22" s="76">
        <v>1.9467648749999998E-5</v>
      </c>
      <c r="O22" s="76">
        <v>3.2608137846153847E-5</v>
      </c>
      <c r="P22" s="76">
        <v>4.0675178620689657E-5</v>
      </c>
      <c r="Q22" s="76">
        <v>2.2248741428571429E-5</v>
      </c>
      <c r="R22" s="76"/>
      <c r="S22" s="76"/>
      <c r="T22" s="76"/>
    </row>
    <row r="23" spans="1:20" x14ac:dyDescent="0.25">
      <c r="A23" s="25" t="s">
        <v>79</v>
      </c>
      <c r="B23" s="30" t="s">
        <v>76</v>
      </c>
      <c r="C23" s="31">
        <v>2020</v>
      </c>
      <c r="D23" s="44">
        <f t="shared" si="0"/>
        <v>2.2128037657289073E-5</v>
      </c>
      <c r="E23" s="44">
        <f t="shared" si="1"/>
        <v>2.4852344999999999E-5</v>
      </c>
      <c r="F23" s="44">
        <f t="shared" si="2"/>
        <v>6.1999999999999999E-7</v>
      </c>
      <c r="G23" s="44">
        <f t="shared" si="3"/>
        <v>5.3636191034482761E-5</v>
      </c>
      <c r="H23" s="24">
        <f t="shared" si="4"/>
        <v>9</v>
      </c>
      <c r="I23" s="76">
        <v>7.6250000000000001E-7</v>
      </c>
      <c r="J23" s="77">
        <v>9.0500000000000002E-7</v>
      </c>
      <c r="K23" s="77">
        <v>6.1999999999999999E-7</v>
      </c>
      <c r="L23" s="77"/>
      <c r="M23" s="76">
        <v>4.8605632727272729E-5</v>
      </c>
      <c r="N23" s="76">
        <v>2.4852344999999999E-5</v>
      </c>
      <c r="O23" s="76">
        <v>3.9706451692307698E-5</v>
      </c>
      <c r="P23" s="76">
        <v>5.3636191034482761E-5</v>
      </c>
      <c r="Q23" s="76">
        <v>2.840268E-5</v>
      </c>
      <c r="R23" s="76"/>
      <c r="S23" s="76">
        <v>1.6615384615384616E-6</v>
      </c>
      <c r="T23" s="76"/>
    </row>
    <row r="24" spans="1:20" x14ac:dyDescent="0.25">
      <c r="A24" s="25" t="s">
        <v>42</v>
      </c>
      <c r="B24" s="30" t="s">
        <v>76</v>
      </c>
      <c r="C24" s="31">
        <v>2020</v>
      </c>
      <c r="D24" s="44">
        <f t="shared" si="0"/>
        <v>6.6336351697799652E-6</v>
      </c>
      <c r="E24" s="44">
        <f t="shared" si="1"/>
        <v>7.2314330357142864E-6</v>
      </c>
      <c r="F24" s="44">
        <f t="shared" si="2"/>
        <v>1.4153846153846155E-6</v>
      </c>
      <c r="G24" s="44">
        <f t="shared" si="3"/>
        <v>1.3312824242424244E-5</v>
      </c>
      <c r="H24" s="24">
        <f t="shared" si="4"/>
        <v>10</v>
      </c>
      <c r="I24" s="76">
        <v>3.4250000000000002E-6</v>
      </c>
      <c r="J24" s="77">
        <v>2.7549999999999999E-6</v>
      </c>
      <c r="K24" s="77">
        <v>3.9249999999999997E-6</v>
      </c>
      <c r="L24" s="77"/>
      <c r="M24" s="76">
        <v>1.3312824242424244E-5</v>
      </c>
      <c r="N24" s="76">
        <v>6.7493375000000008E-6</v>
      </c>
      <c r="O24" s="76">
        <v>7.9455692307692315E-6</v>
      </c>
      <c r="P24" s="76">
        <v>9.1710206896551714E-6</v>
      </c>
      <c r="Q24" s="76">
        <v>7.7135285714285719E-6</v>
      </c>
      <c r="R24" s="76">
        <v>9.92368684813782E-6</v>
      </c>
      <c r="S24" s="76">
        <v>1.4153846153846155E-6</v>
      </c>
      <c r="T24" s="76"/>
    </row>
    <row r="25" spans="1:20" x14ac:dyDescent="0.25">
      <c r="A25" s="25" t="s">
        <v>80</v>
      </c>
      <c r="B25" s="30" t="s">
        <v>76</v>
      </c>
      <c r="C25" s="31">
        <v>2020</v>
      </c>
      <c r="D25" s="44">
        <f t="shared" si="0"/>
        <v>2.51061660362031E-5</v>
      </c>
      <c r="E25" s="44">
        <f t="shared" si="1"/>
        <v>2.6118255625000001E-5</v>
      </c>
      <c r="F25" s="44">
        <f t="shared" si="2"/>
        <v>5.0625000000000002E-7</v>
      </c>
      <c r="G25" s="44">
        <f t="shared" si="3"/>
        <v>5.2565311724137933E-5</v>
      </c>
      <c r="H25" s="24">
        <f t="shared" si="4"/>
        <v>9</v>
      </c>
      <c r="I25" s="76">
        <v>5.0625000000000002E-7</v>
      </c>
      <c r="J25" s="77">
        <v>2.0049999999999999E-6</v>
      </c>
      <c r="K25" s="77">
        <v>1.2350000000000002E-6</v>
      </c>
      <c r="L25" s="77">
        <v>1.8545454545454545E-5</v>
      </c>
      <c r="M25" s="76">
        <v>5.0396016969696973E-5</v>
      </c>
      <c r="N25" s="76">
        <v>2.6118255625000001E-5</v>
      </c>
      <c r="O25" s="76">
        <v>4.4734770461538456E-5</v>
      </c>
      <c r="P25" s="76">
        <v>5.2565311724137933E-5</v>
      </c>
      <c r="Q25" s="76">
        <v>2.9849435000000002E-5</v>
      </c>
      <c r="R25" s="76"/>
      <c r="S25" s="76"/>
      <c r="T25" s="76"/>
    </row>
    <row r="26" spans="1:20" x14ac:dyDescent="0.25">
      <c r="A26" s="25" t="s">
        <v>88</v>
      </c>
      <c r="B26" s="30" t="s">
        <v>76</v>
      </c>
      <c r="C26" s="31">
        <v>2020</v>
      </c>
      <c r="D26" s="44">
        <f t="shared" si="0"/>
        <v>2.5721313763133422E-7</v>
      </c>
      <c r="E26" s="44">
        <f t="shared" si="1"/>
        <v>2.8484061538461533E-7</v>
      </c>
      <c r="F26" s="44">
        <f t="shared" si="2"/>
        <v>1.5528750000000002E-7</v>
      </c>
      <c r="G26" s="44">
        <f t="shared" si="3"/>
        <v>3.450006896551724E-7</v>
      </c>
      <c r="H26" s="24">
        <f t="shared" si="4"/>
        <v>5</v>
      </c>
      <c r="I26" s="76"/>
      <c r="J26" s="77"/>
      <c r="K26" s="77"/>
      <c r="L26" s="77"/>
      <c r="M26" s="76">
        <v>3.2346545454545459E-7</v>
      </c>
      <c r="N26" s="76">
        <v>1.5528750000000002E-7</v>
      </c>
      <c r="O26" s="76">
        <v>2.8484061538461533E-7</v>
      </c>
      <c r="P26" s="76">
        <v>3.450006896551724E-7</v>
      </c>
      <c r="Q26" s="76">
        <v>1.774714285714286E-7</v>
      </c>
      <c r="R26" s="76"/>
      <c r="S26" s="76"/>
      <c r="T26" s="76"/>
    </row>
    <row r="27" spans="1:20" x14ac:dyDescent="0.25">
      <c r="A27" s="25" t="s">
        <v>81</v>
      </c>
      <c r="B27" s="30" t="s">
        <v>76</v>
      </c>
      <c r="C27" s="31">
        <v>2020</v>
      </c>
      <c r="D27" s="44">
        <f t="shared" si="0"/>
        <v>5.416666666666668E-9</v>
      </c>
      <c r="E27" s="44">
        <f t="shared" si="1"/>
        <v>5.0000000000000001E-9</v>
      </c>
      <c r="F27" s="44">
        <f t="shared" si="2"/>
        <v>5.0000000000000001E-9</v>
      </c>
      <c r="G27" s="44">
        <f t="shared" si="3"/>
        <v>6.2500000000000005E-9</v>
      </c>
      <c r="H27" s="24">
        <f t="shared" si="4"/>
        <v>3</v>
      </c>
      <c r="I27" s="76">
        <v>6.2500000000000005E-9</v>
      </c>
      <c r="J27" s="77">
        <v>5.0000000000000001E-9</v>
      </c>
      <c r="K27" s="77">
        <v>5.0000000000000001E-9</v>
      </c>
      <c r="L27" s="77"/>
      <c r="M27" s="77"/>
      <c r="N27" s="77"/>
      <c r="O27" s="77"/>
      <c r="P27" s="77"/>
      <c r="Q27" s="77"/>
      <c r="R27" s="77"/>
      <c r="S27" s="77"/>
      <c r="T27" s="77"/>
    </row>
    <row r="28" spans="1:20" x14ac:dyDescent="0.25">
      <c r="A28" s="25" t="s">
        <v>90</v>
      </c>
      <c r="B28" s="30" t="s">
        <v>76</v>
      </c>
      <c r="C28" s="31">
        <v>2020</v>
      </c>
      <c r="D28" s="44">
        <f t="shared" si="0"/>
        <v>2.886339945365267E-6</v>
      </c>
      <c r="E28" s="44">
        <f t="shared" si="1"/>
        <v>3.4426498461538462E-6</v>
      </c>
      <c r="F28" s="44">
        <f t="shared" si="2"/>
        <v>1.6943668750000005E-6</v>
      </c>
      <c r="G28" s="44">
        <f t="shared" si="3"/>
        <v>3.7567206896551723E-6</v>
      </c>
      <c r="H28" s="24">
        <f t="shared" si="4"/>
        <v>5</v>
      </c>
      <c r="I28" s="76"/>
      <c r="J28" s="77"/>
      <c r="K28" s="77"/>
      <c r="L28" s="77"/>
      <c r="M28" s="76">
        <v>3.6015430303030305E-6</v>
      </c>
      <c r="N28" s="76">
        <v>1.6943668750000005E-6</v>
      </c>
      <c r="O28" s="76">
        <v>3.4426498461538462E-6</v>
      </c>
      <c r="P28" s="76">
        <v>3.7567206896551723E-6</v>
      </c>
      <c r="Q28" s="76">
        <v>1.9364192857142861E-6</v>
      </c>
      <c r="R28" s="76"/>
      <c r="S28" s="76"/>
      <c r="T28" s="76"/>
    </row>
    <row r="29" spans="1:20" x14ac:dyDescent="0.25">
      <c r="A29" s="25" t="s">
        <v>87</v>
      </c>
      <c r="B29" s="30" t="s">
        <v>76</v>
      </c>
      <c r="C29" s="31">
        <v>2020</v>
      </c>
      <c r="D29" s="44">
        <f t="shared" si="0"/>
        <v>4.3424408979775969E-6</v>
      </c>
      <c r="E29" s="44">
        <f t="shared" si="1"/>
        <v>4.3359858461538459E-6</v>
      </c>
      <c r="F29" s="44">
        <f t="shared" si="2"/>
        <v>2.5496881249999999E-6</v>
      </c>
      <c r="G29" s="44">
        <f t="shared" si="3"/>
        <v>6.3247551724137921E-6</v>
      </c>
      <c r="H29" s="24">
        <f t="shared" si="4"/>
        <v>5</v>
      </c>
      <c r="I29" s="76"/>
      <c r="J29" s="77"/>
      <c r="K29" s="77"/>
      <c r="L29" s="77"/>
      <c r="M29" s="76">
        <v>5.5878460606060604E-6</v>
      </c>
      <c r="N29" s="76">
        <v>2.5496881249999999E-6</v>
      </c>
      <c r="O29" s="76">
        <v>4.3359858461538459E-6</v>
      </c>
      <c r="P29" s="76">
        <v>6.3247551724137921E-6</v>
      </c>
      <c r="Q29" s="76">
        <v>2.9139292857142859E-6</v>
      </c>
      <c r="R29" s="76"/>
      <c r="S29" s="76"/>
      <c r="T29" s="76"/>
    </row>
    <row r="30" spans="1:20" x14ac:dyDescent="0.25">
      <c r="A30" s="25" t="s">
        <v>82</v>
      </c>
      <c r="B30" s="30" t="s">
        <v>76</v>
      </c>
      <c r="C30" s="31">
        <v>2020</v>
      </c>
      <c r="D30" s="44">
        <f t="shared" si="0"/>
        <v>1.4997616709030113E-6</v>
      </c>
      <c r="E30" s="44">
        <f t="shared" si="1"/>
        <v>1.4595378571428571E-6</v>
      </c>
      <c r="F30" s="44">
        <f t="shared" si="2"/>
        <v>2.6874999999999997E-7</v>
      </c>
      <c r="G30" s="44">
        <f t="shared" si="3"/>
        <v>2.8249124137931035E-6</v>
      </c>
      <c r="H30" s="24">
        <f t="shared" si="4"/>
        <v>9</v>
      </c>
      <c r="I30" s="76">
        <v>2.6874999999999997E-7</v>
      </c>
      <c r="J30" s="77">
        <v>6.9999999999999997E-7</v>
      </c>
      <c r="K30" s="77">
        <v>3.65E-7</v>
      </c>
      <c r="L30" s="77">
        <v>1.9636363636363636E-6</v>
      </c>
      <c r="M30" s="76">
        <v>2.5518193939393941E-6</v>
      </c>
      <c r="N30" s="76">
        <v>1.2770956249999999E-6</v>
      </c>
      <c r="O30" s="76">
        <v>2.0871033846153846E-6</v>
      </c>
      <c r="P30" s="76">
        <v>2.8249124137931035E-6</v>
      </c>
      <c r="Q30" s="76">
        <v>1.4595378571428571E-6</v>
      </c>
      <c r="R30" s="76"/>
      <c r="S30" s="76"/>
      <c r="T30" s="76"/>
    </row>
    <row r="31" spans="1:20" x14ac:dyDescent="0.25">
      <c r="A31" s="25" t="s">
        <v>45</v>
      </c>
      <c r="B31" s="30" t="s">
        <v>76</v>
      </c>
      <c r="C31" s="31">
        <v>2020</v>
      </c>
      <c r="D31" s="44">
        <f t="shared" si="0"/>
        <v>6.8181818181818191E-7</v>
      </c>
      <c r="E31" s="44">
        <f t="shared" si="1"/>
        <v>6.8181818181818191E-7</v>
      </c>
      <c r="F31" s="44">
        <f t="shared" si="2"/>
        <v>6.8181818181818191E-7</v>
      </c>
      <c r="G31" s="44">
        <f t="shared" si="3"/>
        <v>6.8181818181818191E-7</v>
      </c>
      <c r="H31" s="24">
        <f t="shared" si="4"/>
        <v>1</v>
      </c>
      <c r="I31" s="76"/>
      <c r="J31" s="77"/>
      <c r="K31" s="77"/>
      <c r="L31" s="77">
        <v>6.8181818181818191E-7</v>
      </c>
      <c r="M31" s="76"/>
      <c r="N31" s="76"/>
      <c r="O31" s="76"/>
      <c r="P31" s="76"/>
      <c r="Q31" s="76"/>
      <c r="R31" s="76"/>
      <c r="S31" s="76"/>
      <c r="T31" s="76"/>
    </row>
    <row r="32" spans="1:20" x14ac:dyDescent="0.25">
      <c r="A32" s="25" t="s">
        <v>48</v>
      </c>
      <c r="B32" s="30" t="s">
        <v>76</v>
      </c>
      <c r="C32" s="31">
        <v>2020</v>
      </c>
      <c r="D32" s="44">
        <f t="shared" si="0"/>
        <v>7.6722835419269775E-4</v>
      </c>
      <c r="E32" s="44">
        <f t="shared" si="1"/>
        <v>8.0603015938461521E-4</v>
      </c>
      <c r="F32" s="44">
        <f t="shared" si="2"/>
        <v>4.6644386562499999E-4</v>
      </c>
      <c r="G32" s="44">
        <f t="shared" si="3"/>
        <v>1.0753658096551723E-3</v>
      </c>
      <c r="H32" s="24">
        <f t="shared" si="4"/>
        <v>5</v>
      </c>
      <c r="I32" s="76"/>
      <c r="J32" s="77"/>
      <c r="K32" s="77"/>
      <c r="L32" s="77"/>
      <c r="M32" s="76">
        <v>9.5522323272727284E-4</v>
      </c>
      <c r="N32" s="76">
        <v>4.6644386562499999E-4</v>
      </c>
      <c r="O32" s="76">
        <v>8.0603015938461521E-4</v>
      </c>
      <c r="P32" s="76">
        <v>1.0753658096551723E-3</v>
      </c>
      <c r="Q32" s="76">
        <v>5.3307870357142853E-4</v>
      </c>
      <c r="R32" s="76"/>
      <c r="S32" s="76"/>
      <c r="T32" s="76"/>
    </row>
    <row r="33" spans="1:20" x14ac:dyDescent="0.25">
      <c r="A33" s="25" t="s">
        <v>49</v>
      </c>
      <c r="B33" s="30" t="s">
        <v>76</v>
      </c>
      <c r="C33" s="31">
        <v>2020</v>
      </c>
      <c r="D33" s="44">
        <f t="shared" si="0"/>
        <v>7.093537564142742E-2</v>
      </c>
      <c r="E33" s="44">
        <f t="shared" si="1"/>
        <v>8.2639155511034484E-2</v>
      </c>
      <c r="F33" s="44">
        <f t="shared" si="2"/>
        <v>4.5495953189374994E-2</v>
      </c>
      <c r="G33" s="44">
        <f t="shared" si="3"/>
        <v>8.730359164484848E-2</v>
      </c>
      <c r="H33" s="24">
        <f t="shared" si="4"/>
        <v>5</v>
      </c>
      <c r="I33" s="76"/>
      <c r="J33" s="77"/>
      <c r="K33" s="77"/>
      <c r="L33" s="77"/>
      <c r="M33" s="76">
        <v>8.730359164484848E-2</v>
      </c>
      <c r="N33" s="76">
        <v>4.5495953189374994E-2</v>
      </c>
      <c r="O33" s="76">
        <v>8.7242802788307705E-2</v>
      </c>
      <c r="P33" s="76">
        <v>8.2639155511034484E-2</v>
      </c>
      <c r="Q33" s="76">
        <v>5.1995375073571423E-2</v>
      </c>
      <c r="R33" s="76"/>
      <c r="S33" s="76"/>
      <c r="T33" s="76"/>
    </row>
    <row r="34" spans="1:20" x14ac:dyDescent="0.25">
      <c r="A34" s="25" t="s">
        <v>51</v>
      </c>
      <c r="B34" s="30" t="s">
        <v>76</v>
      </c>
      <c r="C34" s="31">
        <v>2020</v>
      </c>
      <c r="D34" s="44">
        <f t="shared" si="0"/>
        <v>3.0099348579102475E-4</v>
      </c>
      <c r="E34" s="44">
        <f t="shared" si="1"/>
        <v>3.331489888392857E-4</v>
      </c>
      <c r="F34" s="44">
        <f t="shared" si="2"/>
        <v>3.4950000000000004E-6</v>
      </c>
      <c r="G34" s="44">
        <f t="shared" si="3"/>
        <v>7.0269493655172421E-4</v>
      </c>
      <c r="H34" s="24">
        <f t="shared" si="4"/>
        <v>8</v>
      </c>
      <c r="I34" s="76">
        <v>3.6437500000000001E-6</v>
      </c>
      <c r="J34" s="77">
        <v>5.4149999999999998E-6</v>
      </c>
      <c r="K34" s="77">
        <v>3.4950000000000004E-6</v>
      </c>
      <c r="L34" s="77"/>
      <c r="M34" s="76">
        <v>5.9608096363636366E-4</v>
      </c>
      <c r="N34" s="76">
        <v>3.1093905624999998E-4</v>
      </c>
      <c r="O34" s="76">
        <v>4.3032025846153845E-4</v>
      </c>
      <c r="P34" s="76">
        <v>7.0269493655172421E-4</v>
      </c>
      <c r="Q34" s="76">
        <v>3.5535892142857142E-4</v>
      </c>
      <c r="R34" s="76"/>
      <c r="S34" s="76"/>
      <c r="T34" s="76"/>
    </row>
    <row r="35" spans="1:20" x14ac:dyDescent="0.25">
      <c r="A35" s="25" t="s">
        <v>52</v>
      </c>
      <c r="B35" s="30" t="s">
        <v>76</v>
      </c>
      <c r="C35" s="31">
        <v>2020</v>
      </c>
      <c r="D35" s="44">
        <f t="shared" si="0"/>
        <v>1.3068893035783181E-6</v>
      </c>
      <c r="E35" s="44">
        <f t="shared" si="1"/>
        <v>1.4493163076923074E-6</v>
      </c>
      <c r="F35" s="44">
        <f t="shared" si="2"/>
        <v>7.9014937500000003E-7</v>
      </c>
      <c r="G35" s="44">
        <f t="shared" si="3"/>
        <v>1.7479420689655169E-6</v>
      </c>
      <c r="H35" s="24">
        <f t="shared" si="4"/>
        <v>5</v>
      </c>
      <c r="I35" s="76"/>
      <c r="J35" s="77"/>
      <c r="K35" s="77"/>
      <c r="L35" s="77"/>
      <c r="M35" s="76">
        <v>1.644010909090909E-6</v>
      </c>
      <c r="N35" s="76">
        <v>7.9014937500000003E-7</v>
      </c>
      <c r="O35" s="76">
        <v>1.4493163076923074E-6</v>
      </c>
      <c r="P35" s="76">
        <v>1.7479420689655169E-6</v>
      </c>
      <c r="Q35" s="76">
        <v>9.030278571428572E-7</v>
      </c>
      <c r="R35" s="76"/>
      <c r="S35" s="76"/>
      <c r="T35" s="76"/>
    </row>
    <row r="36" spans="1:20" x14ac:dyDescent="0.25">
      <c r="A36" s="25" t="s">
        <v>83</v>
      </c>
      <c r="B36" s="30" t="s">
        <v>76</v>
      </c>
      <c r="C36" s="31">
        <v>2020</v>
      </c>
      <c r="D36" s="44">
        <f t="shared" si="0"/>
        <v>3.7139942753804305E-6</v>
      </c>
      <c r="E36" s="44">
        <f t="shared" si="1"/>
        <v>3.4418942857142859E-6</v>
      </c>
      <c r="F36" s="44">
        <f t="shared" si="2"/>
        <v>0</v>
      </c>
      <c r="G36" s="44">
        <f t="shared" si="3"/>
        <v>9.9299999999999998E-6</v>
      </c>
      <c r="H36" s="24">
        <f t="shared" si="4"/>
        <v>9</v>
      </c>
      <c r="I36" s="76">
        <v>6.2500000000000005E-9</v>
      </c>
      <c r="J36" s="77">
        <v>9.9299999999999998E-6</v>
      </c>
      <c r="K36" s="77">
        <v>0</v>
      </c>
      <c r="L36" s="77">
        <v>6.2727272727272732E-10</v>
      </c>
      <c r="M36" s="76">
        <v>5.8387066666666674E-6</v>
      </c>
      <c r="N36" s="76">
        <v>3.0116575000000003E-6</v>
      </c>
      <c r="O36" s="76">
        <v>4.7664886153846147E-6</v>
      </c>
      <c r="P36" s="76">
        <v>6.4303241379310339E-6</v>
      </c>
      <c r="Q36" s="76">
        <v>3.4418942857142859E-6</v>
      </c>
      <c r="R36" s="76"/>
      <c r="S36" s="76"/>
      <c r="T36" s="76"/>
    </row>
    <row r="37" spans="1:20" x14ac:dyDescent="0.25">
      <c r="A37" s="25" t="s">
        <v>89</v>
      </c>
      <c r="B37" s="30" t="s">
        <v>76</v>
      </c>
      <c r="C37" s="31">
        <v>2020</v>
      </c>
      <c r="D37" s="44">
        <f t="shared" si="0"/>
        <v>2.6209198926386394E-2</v>
      </c>
      <c r="E37" s="44">
        <f t="shared" si="1"/>
        <v>2.5020319003076923E-2</v>
      </c>
      <c r="F37" s="44">
        <f t="shared" si="2"/>
        <v>1.6558113900000001E-2</v>
      </c>
      <c r="G37" s="44">
        <f t="shared" si="3"/>
        <v>3.7882607234482758E-2</v>
      </c>
      <c r="H37" s="24">
        <f t="shared" si="4"/>
        <v>5</v>
      </c>
      <c r="I37" s="76"/>
      <c r="J37" s="77"/>
      <c r="K37" s="77"/>
      <c r="L37" s="77"/>
      <c r="M37" s="76">
        <v>3.2661395751515158E-2</v>
      </c>
      <c r="N37" s="76">
        <v>1.6558113900000001E-2</v>
      </c>
      <c r="O37" s="76">
        <v>2.5020319003076923E-2</v>
      </c>
      <c r="P37" s="76">
        <v>3.7882607234482758E-2</v>
      </c>
      <c r="Q37" s="76">
        <v>1.8923558742857144E-2</v>
      </c>
      <c r="R37" s="76"/>
      <c r="S37" s="76"/>
      <c r="T37" s="76"/>
    </row>
    <row r="38" spans="1:20" x14ac:dyDescent="0.25">
      <c r="A38" s="25" t="s">
        <v>54</v>
      </c>
      <c r="B38" s="30" t="s">
        <v>76</v>
      </c>
      <c r="C38" s="31">
        <v>2020</v>
      </c>
      <c r="D38" s="44">
        <f t="shared" si="0"/>
        <v>1.522002756863022E-5</v>
      </c>
      <c r="E38" s="44">
        <f t="shared" si="1"/>
        <v>1.6388899692307694E-5</v>
      </c>
      <c r="F38" s="44">
        <f t="shared" si="2"/>
        <v>9.6448175000000008E-6</v>
      </c>
      <c r="G38" s="44">
        <f t="shared" si="3"/>
        <v>2.0081089655172412E-5</v>
      </c>
      <c r="H38" s="24">
        <f t="shared" si="4"/>
        <v>5</v>
      </c>
      <c r="I38" s="76"/>
      <c r="J38" s="77"/>
      <c r="K38" s="77"/>
      <c r="L38" s="77"/>
      <c r="M38" s="76">
        <v>1.8962682424242426E-5</v>
      </c>
      <c r="N38" s="76">
        <v>9.6448175000000008E-6</v>
      </c>
      <c r="O38" s="76">
        <v>1.6388899692307694E-5</v>
      </c>
      <c r="P38" s="76">
        <v>2.0081089655172412E-5</v>
      </c>
      <c r="Q38" s="76">
        <v>1.1022648571428572E-5</v>
      </c>
      <c r="R38" s="76"/>
      <c r="S38" s="76"/>
      <c r="T38" s="76"/>
    </row>
    <row r="39" spans="1:20" x14ac:dyDescent="0.25">
      <c r="A39" s="25" t="s">
        <v>84</v>
      </c>
      <c r="B39" s="30" t="s">
        <v>76</v>
      </c>
      <c r="C39" s="31">
        <v>2020</v>
      </c>
      <c r="D39" s="44">
        <f t="shared" si="0"/>
        <v>4.5259090909090913E-8</v>
      </c>
      <c r="E39" s="44">
        <f t="shared" si="1"/>
        <v>4.0518181818181815E-8</v>
      </c>
      <c r="F39" s="44">
        <f t="shared" si="2"/>
        <v>0</v>
      </c>
      <c r="G39" s="44">
        <f t="shared" si="3"/>
        <v>1.0000000000000001E-7</v>
      </c>
      <c r="H39" s="24">
        <f t="shared" si="4"/>
        <v>4</v>
      </c>
      <c r="I39" s="76">
        <v>1.0000000000000001E-7</v>
      </c>
      <c r="J39" s="77">
        <v>8.0000000000000002E-8</v>
      </c>
      <c r="K39" s="77">
        <v>0</v>
      </c>
      <c r="L39" s="77">
        <v>1.0363636363636365E-9</v>
      </c>
      <c r="M39" s="77"/>
      <c r="N39" s="77"/>
      <c r="O39" s="77"/>
      <c r="P39" s="77"/>
      <c r="Q39" s="77"/>
      <c r="R39" s="77"/>
      <c r="S39" s="77"/>
      <c r="T39" s="77"/>
    </row>
    <row r="40" spans="1:20" x14ac:dyDescent="0.25">
      <c r="A40" s="25" t="s">
        <v>56</v>
      </c>
      <c r="B40" s="30" t="s">
        <v>76</v>
      </c>
      <c r="C40" s="31">
        <v>2020</v>
      </c>
      <c r="D40" s="44">
        <f t="shared" si="0"/>
        <v>3.5902350928573028E-5</v>
      </c>
      <c r="E40" s="44">
        <f t="shared" si="1"/>
        <v>4.5265376250000002E-5</v>
      </c>
      <c r="F40" s="44">
        <f t="shared" si="2"/>
        <v>1E-8</v>
      </c>
      <c r="G40" s="44">
        <f t="shared" si="3"/>
        <v>8.7415855757575753E-5</v>
      </c>
      <c r="H40" s="24">
        <f t="shared" si="4"/>
        <v>9</v>
      </c>
      <c r="I40" s="76">
        <v>1.3750000000000001E-7</v>
      </c>
      <c r="J40" s="77">
        <v>1.15E-7</v>
      </c>
      <c r="K40" s="77">
        <v>1E-8</v>
      </c>
      <c r="L40" s="77">
        <v>3.5454545454545458E-7</v>
      </c>
      <c r="M40" s="76">
        <v>8.7415855757575753E-5</v>
      </c>
      <c r="N40" s="76">
        <v>4.5265376250000002E-5</v>
      </c>
      <c r="O40" s="76">
        <v>5.6173466461538468E-5</v>
      </c>
      <c r="P40" s="76">
        <v>8.1917555862068975E-5</v>
      </c>
      <c r="Q40" s="76">
        <v>5.1731858571428576E-5</v>
      </c>
      <c r="R40" s="76"/>
      <c r="S40" s="76"/>
      <c r="T40" s="76"/>
    </row>
    <row r="41" spans="1:20" x14ac:dyDescent="0.25">
      <c r="A41" s="25" t="s">
        <v>58</v>
      </c>
      <c r="B41" s="30" t="s">
        <v>76</v>
      </c>
      <c r="C41" s="31">
        <v>2020</v>
      </c>
      <c r="D41" s="44">
        <f t="shared" si="0"/>
        <v>9.1184770468896487E-4</v>
      </c>
      <c r="E41" s="44">
        <f t="shared" si="1"/>
        <v>7.863159999999999E-4</v>
      </c>
      <c r="F41" s="44">
        <f t="shared" si="2"/>
        <v>6.4424111562499996E-4</v>
      </c>
      <c r="G41" s="44">
        <f t="shared" si="3"/>
        <v>1.2417878484848486E-3</v>
      </c>
      <c r="H41" s="24">
        <f t="shared" si="4"/>
        <v>5</v>
      </c>
      <c r="I41" s="76"/>
      <c r="J41" s="77"/>
      <c r="K41" s="77"/>
      <c r="L41" s="77"/>
      <c r="M41" s="76">
        <v>1.2417878484848486E-3</v>
      </c>
      <c r="N41" s="76">
        <v>6.4424111562499996E-4</v>
      </c>
      <c r="O41" s="76">
        <v>7.863159999999999E-4</v>
      </c>
      <c r="P41" s="76">
        <v>1.1506179986206897E-3</v>
      </c>
      <c r="Q41" s="76">
        <v>7.3627556071428565E-4</v>
      </c>
      <c r="R41" s="76"/>
      <c r="S41" s="76"/>
      <c r="T41" s="76"/>
    </row>
    <row r="42" spans="1:20" x14ac:dyDescent="0.25">
      <c r="A42" s="25"/>
      <c r="B42" s="30"/>
      <c r="C42" s="31"/>
      <c r="D42" s="44"/>
      <c r="E42" s="44"/>
      <c r="F42" s="24"/>
      <c r="G42" s="24"/>
      <c r="H42" s="24"/>
      <c r="I42" s="76"/>
      <c r="J42" s="77"/>
      <c r="K42" s="77"/>
      <c r="L42" s="77"/>
      <c r="M42" s="76"/>
      <c r="N42" s="76"/>
      <c r="O42" s="76"/>
      <c r="P42" s="76"/>
      <c r="Q42" s="76"/>
      <c r="R42" s="76"/>
      <c r="S42" s="76"/>
      <c r="T42" s="76"/>
    </row>
    <row r="43" spans="1:20" x14ac:dyDescent="0.25">
      <c r="A43" s="26"/>
      <c r="B43" s="32"/>
      <c r="C43" s="32"/>
      <c r="D43" s="26"/>
      <c r="E43" s="26"/>
      <c r="F43" s="26"/>
      <c r="G43" s="26"/>
      <c r="H43" s="35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</row>
  </sheetData>
  <mergeCells count="1">
    <mergeCell ref="D1:H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AG58"/>
  <sheetViews>
    <sheetView zoomScale="70" zoomScaleNormal="70" workbookViewId="0">
      <pane xSplit="3" ySplit="3" topLeftCell="D34" activePane="bottomRight" state="frozen"/>
      <selection pane="topRight" activeCell="D1" sqref="D1"/>
      <selection pane="bottomLeft" activeCell="A5" sqref="A5"/>
      <selection pane="bottomRight" activeCell="A12" sqref="A12"/>
    </sheetView>
  </sheetViews>
  <sheetFormatPr defaultRowHeight="15" x14ac:dyDescent="0.25"/>
  <cols>
    <col min="1" max="1" width="14.42578125" bestFit="1" customWidth="1"/>
    <col min="2" max="2" width="18.5703125" bestFit="1" customWidth="1"/>
    <col min="4" max="4" width="12.42578125" bestFit="1" customWidth="1"/>
    <col min="5" max="5" width="14.85546875" customWidth="1"/>
    <col min="6" max="7" width="12.5703125" bestFit="1" customWidth="1"/>
    <col min="8" max="8" width="33.7109375" customWidth="1"/>
    <col min="9" max="9" width="19.140625" bestFit="1" customWidth="1"/>
    <col min="10" max="10" width="16.42578125" bestFit="1" customWidth="1"/>
    <col min="11" max="11" width="20.7109375" bestFit="1" customWidth="1"/>
    <col min="12" max="13" width="18.85546875" bestFit="1" customWidth="1"/>
    <col min="14" max="14" width="16.85546875" bestFit="1" customWidth="1"/>
    <col min="15" max="16" width="15.28515625" bestFit="1" customWidth="1"/>
    <col min="17" max="17" width="21" bestFit="1" customWidth="1"/>
    <col min="18" max="19" width="18.140625" bestFit="1" customWidth="1"/>
    <col min="20" max="21" width="20.28515625" bestFit="1" customWidth="1"/>
    <col min="22" max="23" width="23.42578125" bestFit="1" customWidth="1"/>
    <col min="24" max="25" width="21.5703125" bestFit="1" customWidth="1"/>
    <col min="26" max="27" width="18.28515625" bestFit="1" customWidth="1"/>
    <col min="28" max="29" width="16.42578125" bestFit="1" customWidth="1"/>
    <col min="30" max="32" width="19.5703125" bestFit="1" customWidth="1"/>
  </cols>
  <sheetData>
    <row r="1" spans="1:33" x14ac:dyDescent="0.25">
      <c r="A1" s="53" t="s">
        <v>70</v>
      </c>
      <c r="B1" s="27" t="s">
        <v>71</v>
      </c>
      <c r="C1" s="27" t="s">
        <v>72</v>
      </c>
      <c r="D1" s="129" t="s">
        <v>73</v>
      </c>
      <c r="E1" s="130"/>
      <c r="F1" s="130"/>
      <c r="G1" s="130"/>
      <c r="H1" s="131"/>
      <c r="I1" s="59" t="s">
        <v>74</v>
      </c>
      <c r="J1" s="66" t="s">
        <v>85</v>
      </c>
      <c r="K1" s="61" t="s">
        <v>100</v>
      </c>
      <c r="L1" s="66" t="s">
        <v>105</v>
      </c>
      <c r="M1" s="61" t="s">
        <v>105</v>
      </c>
      <c r="N1" s="66" t="s">
        <v>101</v>
      </c>
      <c r="O1" s="61" t="s">
        <v>102</v>
      </c>
      <c r="P1" s="66" t="s">
        <v>102</v>
      </c>
      <c r="Q1" s="61" t="s">
        <v>103</v>
      </c>
      <c r="R1" s="66" t="s">
        <v>104</v>
      </c>
      <c r="S1" s="61" t="s">
        <v>91</v>
      </c>
      <c r="T1" s="66" t="s">
        <v>94</v>
      </c>
      <c r="U1" s="61" t="s">
        <v>94</v>
      </c>
      <c r="V1" s="66" t="s">
        <v>108</v>
      </c>
      <c r="W1" s="61" t="s">
        <v>108</v>
      </c>
      <c r="X1" s="66" t="s">
        <v>109</v>
      </c>
      <c r="Y1" s="61" t="s">
        <v>109</v>
      </c>
      <c r="Z1" s="66" t="s">
        <v>110</v>
      </c>
      <c r="AA1" s="61" t="s">
        <v>110</v>
      </c>
      <c r="AB1" s="66" t="s">
        <v>130</v>
      </c>
      <c r="AC1" s="61" t="s">
        <v>130</v>
      </c>
      <c r="AD1" s="66" t="s">
        <v>131</v>
      </c>
      <c r="AE1" s="61" t="s">
        <v>131</v>
      </c>
      <c r="AF1" s="66" t="s">
        <v>131</v>
      </c>
    </row>
    <row r="2" spans="1:33" ht="40.5" x14ac:dyDescent="0.25">
      <c r="A2" s="23"/>
      <c r="B2" s="28"/>
      <c r="C2" s="28"/>
      <c r="D2" s="90" t="s">
        <v>95</v>
      </c>
      <c r="E2" s="33" t="s">
        <v>96</v>
      </c>
      <c r="F2" s="33" t="s">
        <v>97</v>
      </c>
      <c r="G2" s="34" t="s">
        <v>98</v>
      </c>
      <c r="H2" s="36" t="s">
        <v>107</v>
      </c>
      <c r="I2" s="39" t="s">
        <v>75</v>
      </c>
      <c r="J2" s="67" t="s">
        <v>75</v>
      </c>
      <c r="K2" s="62" t="s">
        <v>75</v>
      </c>
      <c r="L2" s="67" t="s">
        <v>75</v>
      </c>
      <c r="M2" s="62" t="s">
        <v>75</v>
      </c>
      <c r="N2" s="67" t="s">
        <v>75</v>
      </c>
      <c r="O2" s="62" t="s">
        <v>75</v>
      </c>
      <c r="P2" s="67" t="s">
        <v>75</v>
      </c>
      <c r="Q2" s="62" t="s">
        <v>75</v>
      </c>
      <c r="R2" s="67" t="s">
        <v>75</v>
      </c>
      <c r="S2" s="62" t="s">
        <v>75</v>
      </c>
      <c r="T2" s="67" t="s">
        <v>75</v>
      </c>
      <c r="U2" s="62" t="s">
        <v>75</v>
      </c>
      <c r="V2" s="67" t="s">
        <v>75</v>
      </c>
      <c r="W2" s="62" t="s">
        <v>75</v>
      </c>
      <c r="X2" s="67" t="s">
        <v>75</v>
      </c>
      <c r="Y2" s="62" t="s">
        <v>75</v>
      </c>
      <c r="Z2" s="67" t="s">
        <v>75</v>
      </c>
      <c r="AA2" s="62" t="s">
        <v>75</v>
      </c>
      <c r="AB2" s="67" t="s">
        <v>75</v>
      </c>
      <c r="AC2" s="62" t="s">
        <v>75</v>
      </c>
      <c r="AD2" s="67" t="s">
        <v>75</v>
      </c>
      <c r="AE2" s="62" t="s">
        <v>75</v>
      </c>
      <c r="AF2" s="67" t="s">
        <v>75</v>
      </c>
    </row>
    <row r="3" spans="1:33" x14ac:dyDescent="0.25">
      <c r="A3" s="24"/>
      <c r="B3" s="29"/>
      <c r="C3" s="30"/>
      <c r="D3" s="91"/>
      <c r="E3" s="24"/>
      <c r="F3" s="24"/>
      <c r="G3" s="24"/>
      <c r="H3" s="40"/>
      <c r="I3" s="40"/>
      <c r="J3" s="63"/>
      <c r="K3" s="63"/>
      <c r="L3" s="63"/>
      <c r="M3" s="63"/>
      <c r="N3" s="63"/>
      <c r="O3" s="70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</row>
    <row r="4" spans="1:33" x14ac:dyDescent="0.25">
      <c r="A4" s="42" t="s">
        <v>3</v>
      </c>
      <c r="B4" s="30" t="s">
        <v>99</v>
      </c>
      <c r="C4" s="31">
        <v>2020</v>
      </c>
      <c r="D4" s="92">
        <f t="shared" ref="D4:D28" si="0">AVERAGE(I4,J4,K4,L4,M4,N4,O4,P4,Q4,R4,S4,T4,U4,V4,W4,X4,Y4,Z4,AA4,AB4,AC4,AD4,AE4,AF4)</f>
        <v>0.20551083828299452</v>
      </c>
      <c r="E4" s="44">
        <f t="shared" ref="E4:E28" si="1">MEDIAN(I4,J4,K4,L4,M4,N4,O4,P4,Q4,R4,S4,T4,U4,V4,W4,X4,Y4,Z4,AA4,AB4,AC4,AD4,AE4,AF4)</f>
        <v>0.22526972674120049</v>
      </c>
      <c r="F4" s="44">
        <f t="shared" ref="F4:F28" si="2">MIN(I4,J4,K4,L4,M4,N4,O4,P4,Q4,R4,S4,T4,U4,V4,W4,X4,Y4,Z4,AA4,AB4,AC4,AD4,AE4,AF4)</f>
        <v>0.10660270504364049</v>
      </c>
      <c r="G4" s="44">
        <f t="shared" ref="G4:G28" si="3">MAX(I4,J4,K4,L4,M4,N4,O4,P4,Q4,R4,S4,T4,U4,V4,W4,X4,Y4,Z4,AA4,AB4,AC4,AD4,AE4,AF4)</f>
        <v>0.36326357781194979</v>
      </c>
      <c r="H4" s="40">
        <f t="shared" ref="H4:H28" si="4">COUNT(I4,J4,K4,L4,M4,N4,O4,P4,Q4,R4,S4,T4,U4,V4,W4,X4,Y4,Z4,AA4,AB4,AC4,AD4,AE4,AF4)</f>
        <v>5</v>
      </c>
      <c r="I4" s="84"/>
      <c r="J4" s="70"/>
      <c r="K4" s="70"/>
      <c r="L4" s="70"/>
      <c r="M4" s="70"/>
      <c r="N4" s="70"/>
      <c r="O4" s="64">
        <v>0.22559999999999999</v>
      </c>
      <c r="P4" s="64">
        <v>0.1068181818181818</v>
      </c>
      <c r="Q4" s="64">
        <v>0.10660270504364049</v>
      </c>
      <c r="R4" s="71">
        <v>0.36326357781194979</v>
      </c>
      <c r="S4" s="71">
        <v>0.22526972674120049</v>
      </c>
      <c r="T4" s="71"/>
      <c r="U4" s="70"/>
      <c r="V4" s="71"/>
      <c r="W4" s="70"/>
      <c r="X4" s="71"/>
      <c r="Y4" s="70"/>
      <c r="Z4" s="71"/>
      <c r="AA4" s="70"/>
      <c r="AB4" s="71"/>
      <c r="AC4" s="70"/>
      <c r="AD4" s="71"/>
      <c r="AE4" s="70"/>
      <c r="AF4" s="71"/>
      <c r="AG4" s="38"/>
    </row>
    <row r="5" spans="1:33" x14ac:dyDescent="0.25">
      <c r="A5" s="42" t="s">
        <v>106</v>
      </c>
      <c r="B5" s="30" t="s">
        <v>99</v>
      </c>
      <c r="C5" s="31">
        <v>2020</v>
      </c>
      <c r="D5" s="92">
        <f t="shared" si="0"/>
        <v>3.8600118126097077E-4</v>
      </c>
      <c r="E5" s="44">
        <f t="shared" si="1"/>
        <v>3.7971803614806894E-4</v>
      </c>
      <c r="F5" s="44">
        <f t="shared" si="2"/>
        <v>3.1818181818181809E-4</v>
      </c>
      <c r="G5" s="44">
        <f t="shared" si="3"/>
        <v>4.6638683456592717E-4</v>
      </c>
      <c r="H5" s="40">
        <f t="shared" si="4"/>
        <v>4</v>
      </c>
      <c r="I5" s="84"/>
      <c r="J5" s="70"/>
      <c r="K5" s="70"/>
      <c r="L5" s="70"/>
      <c r="M5" s="64"/>
      <c r="N5" s="64"/>
      <c r="O5" s="64">
        <v>3.3600000000000004E-4</v>
      </c>
      <c r="P5" s="64">
        <v>3.1818181818181809E-4</v>
      </c>
      <c r="Q5" s="64">
        <v>4.6638683456592717E-4</v>
      </c>
      <c r="R5" s="64">
        <v>4.2343607229613779E-4</v>
      </c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38"/>
    </row>
    <row r="6" spans="1:33" x14ac:dyDescent="0.25">
      <c r="A6" s="25" t="s">
        <v>11</v>
      </c>
      <c r="B6" s="30" t="s">
        <v>99</v>
      </c>
      <c r="C6" s="31">
        <v>2020</v>
      </c>
      <c r="D6" s="92">
        <f t="shared" si="0"/>
        <v>7.7556603773584905E-4</v>
      </c>
      <c r="E6" s="44">
        <f t="shared" si="1"/>
        <v>7.7556603773584905E-4</v>
      </c>
      <c r="F6" s="44">
        <f t="shared" si="2"/>
        <v>5.8490566037735849E-6</v>
      </c>
      <c r="G6" s="44">
        <f t="shared" si="3"/>
        <v>1.5452830188679245E-3</v>
      </c>
      <c r="H6" s="40">
        <f t="shared" si="4"/>
        <v>2</v>
      </c>
      <c r="I6" s="85">
        <v>5.8490566037735849E-6</v>
      </c>
      <c r="J6" s="64">
        <v>1.5452830188679245E-3</v>
      </c>
      <c r="K6" s="68"/>
      <c r="L6" s="87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38"/>
    </row>
    <row r="7" spans="1:33" x14ac:dyDescent="0.25">
      <c r="A7" s="25" t="s">
        <v>13</v>
      </c>
      <c r="B7" s="30" t="s">
        <v>99</v>
      </c>
      <c r="C7" s="31">
        <v>2020</v>
      </c>
      <c r="D7" s="92">
        <f t="shared" si="0"/>
        <v>3.8605317324185248E-4</v>
      </c>
      <c r="E7" s="44">
        <f t="shared" si="1"/>
        <v>4.1252144082332755E-4</v>
      </c>
      <c r="F7" s="44">
        <f t="shared" si="2"/>
        <v>4.7169811320754728E-5</v>
      </c>
      <c r="G7" s="44">
        <f t="shared" si="3"/>
        <v>6.7200000000000007E-4</v>
      </c>
      <c r="H7" s="40">
        <f t="shared" si="4"/>
        <v>4</v>
      </c>
      <c r="I7" s="85"/>
      <c r="J7" s="68"/>
      <c r="K7" s="68"/>
      <c r="L7" s="88">
        <v>4.7169811320754728E-5</v>
      </c>
      <c r="M7" s="88">
        <v>1.8867924528301891E-4</v>
      </c>
      <c r="N7" s="64"/>
      <c r="O7" s="64">
        <v>6.7200000000000007E-4</v>
      </c>
      <c r="P7" s="64">
        <v>6.3636363636363619E-4</v>
      </c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38"/>
    </row>
    <row r="8" spans="1:33" x14ac:dyDescent="0.25">
      <c r="A8" s="25" t="s">
        <v>16</v>
      </c>
      <c r="B8" s="30" t="s">
        <v>99</v>
      </c>
      <c r="C8" s="31">
        <v>2020</v>
      </c>
      <c r="D8" s="92">
        <f t="shared" si="0"/>
        <v>2.103734134271105E-3</v>
      </c>
      <c r="E8" s="44">
        <f t="shared" si="1"/>
        <v>1.5094339622641509E-3</v>
      </c>
      <c r="F8" s="44">
        <f t="shared" si="2"/>
        <v>1.8867924528301888E-5</v>
      </c>
      <c r="G8" s="44">
        <f t="shared" si="3"/>
        <v>6.7924528301886791E-3</v>
      </c>
      <c r="H8" s="40">
        <f t="shared" si="4"/>
        <v>23</v>
      </c>
      <c r="I8" s="86">
        <v>2.4464150943396224E-3</v>
      </c>
      <c r="J8" s="64">
        <v>2.9716981132075471E-3</v>
      </c>
      <c r="K8" s="64">
        <v>7.1071698113207539E-5</v>
      </c>
      <c r="L8" s="88">
        <v>1.8867924528301888E-5</v>
      </c>
      <c r="M8" s="88">
        <v>5.660377358490566E-5</v>
      </c>
      <c r="N8" s="64">
        <v>5.5000000000000002E-5</v>
      </c>
      <c r="O8" s="64">
        <v>3.3600000000000001E-3</v>
      </c>
      <c r="P8" s="64">
        <v>3.1818181818181811E-3</v>
      </c>
      <c r="Q8" s="64"/>
      <c r="R8" s="64">
        <v>1.2925943259566313E-3</v>
      </c>
      <c r="S8" s="64">
        <v>1.7725458711411284E-4</v>
      </c>
      <c r="T8" s="64">
        <v>2.0057498161396002E-3</v>
      </c>
      <c r="U8" s="64">
        <v>1.3991605036977812E-3</v>
      </c>
      <c r="V8" s="64">
        <v>1.5094339622641509E-3</v>
      </c>
      <c r="W8" s="64">
        <v>1.5E-3</v>
      </c>
      <c r="X8" s="64">
        <v>2.5471698113207547E-3</v>
      </c>
      <c r="Y8" s="64">
        <v>4.0143396226415093E-4</v>
      </c>
      <c r="Z8" s="64">
        <v>1.6981132075471698E-3</v>
      </c>
      <c r="AA8" s="64">
        <v>1.3991605036977812E-3</v>
      </c>
      <c r="AB8" s="64">
        <v>2.1226415094339622E-3</v>
      </c>
      <c r="AC8" s="64">
        <v>1.7169811320754717E-4</v>
      </c>
      <c r="AD8" s="64">
        <v>6.6037735849056598E-3</v>
      </c>
      <c r="AE8" s="64">
        <v>6.6037735849056598E-3</v>
      </c>
      <c r="AF8" s="64">
        <v>6.7924528301886791E-3</v>
      </c>
      <c r="AG8" s="38"/>
    </row>
    <row r="9" spans="1:33" x14ac:dyDescent="0.25">
      <c r="A9" s="25" t="s">
        <v>77</v>
      </c>
      <c r="B9" s="30" t="s">
        <v>99</v>
      </c>
      <c r="C9" s="31">
        <v>2020</v>
      </c>
      <c r="D9" s="92">
        <f t="shared" si="0"/>
        <v>3.3962264150943391E-6</v>
      </c>
      <c r="E9" s="44">
        <f t="shared" si="1"/>
        <v>3.3962264150943391E-6</v>
      </c>
      <c r="F9" s="44">
        <f t="shared" si="2"/>
        <v>3.3962264150943391E-6</v>
      </c>
      <c r="G9" s="44">
        <f t="shared" si="3"/>
        <v>3.3962264150943391E-6</v>
      </c>
      <c r="H9" s="40">
        <f t="shared" si="4"/>
        <v>1</v>
      </c>
      <c r="I9" s="85">
        <v>3.3962264150943391E-6</v>
      </c>
      <c r="J9" s="68"/>
      <c r="K9" s="68"/>
      <c r="L9" s="87"/>
      <c r="M9" s="87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38"/>
    </row>
    <row r="10" spans="1:33" x14ac:dyDescent="0.25">
      <c r="A10" s="25" t="s">
        <v>78</v>
      </c>
      <c r="B10" s="30" t="s">
        <v>99</v>
      </c>
      <c r="C10" s="31">
        <v>2020</v>
      </c>
      <c r="D10" s="92">
        <f t="shared" si="0"/>
        <v>4.4528301886792465E-6</v>
      </c>
      <c r="E10" s="44">
        <f t="shared" si="1"/>
        <v>4.4528301886792457E-6</v>
      </c>
      <c r="F10" s="44">
        <f t="shared" si="2"/>
        <v>1.8867924528301889E-7</v>
      </c>
      <c r="G10" s="44">
        <f t="shared" si="3"/>
        <v>8.7169811320754735E-6</v>
      </c>
      <c r="H10" s="40">
        <f t="shared" si="4"/>
        <v>2</v>
      </c>
      <c r="I10" s="85">
        <v>1.8867924528301889E-7</v>
      </c>
      <c r="J10" s="64">
        <v>8.7169811320754735E-6</v>
      </c>
      <c r="K10" s="68"/>
      <c r="L10" s="87"/>
      <c r="M10" s="87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38"/>
    </row>
    <row r="11" spans="1:33" x14ac:dyDescent="0.25">
      <c r="A11" s="25" t="s">
        <v>18</v>
      </c>
      <c r="B11" s="30" t="s">
        <v>99</v>
      </c>
      <c r="C11" s="31">
        <v>2020</v>
      </c>
      <c r="D11" s="92">
        <f t="shared" si="0"/>
        <v>3.3632075471698113E-6</v>
      </c>
      <c r="E11" s="44">
        <f t="shared" si="1"/>
        <v>3.3632075471698113E-6</v>
      </c>
      <c r="F11" s="44">
        <f t="shared" si="2"/>
        <v>1.8867924528301889E-7</v>
      </c>
      <c r="G11" s="44">
        <f t="shared" si="3"/>
        <v>6.5377358490566038E-6</v>
      </c>
      <c r="H11" s="40">
        <f t="shared" si="4"/>
        <v>2</v>
      </c>
      <c r="I11" s="85">
        <v>1.8867924528301889E-7</v>
      </c>
      <c r="J11" s="64">
        <v>6.5377358490566038E-6</v>
      </c>
      <c r="K11" s="68"/>
      <c r="L11" s="87"/>
      <c r="M11" s="88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38"/>
    </row>
    <row r="12" spans="1:33" x14ac:dyDescent="0.25">
      <c r="A12" s="25" t="s">
        <v>20</v>
      </c>
      <c r="B12" s="30" t="s">
        <v>99</v>
      </c>
      <c r="C12" s="31">
        <v>2020</v>
      </c>
      <c r="D12" s="92">
        <f t="shared" si="0"/>
        <v>8.3964119452146384E-6</v>
      </c>
      <c r="E12" s="44">
        <f t="shared" si="1"/>
        <v>8.2075471698113213E-6</v>
      </c>
      <c r="F12" s="44">
        <f t="shared" si="2"/>
        <v>6.6626690652275305E-6</v>
      </c>
      <c r="G12" s="44">
        <f t="shared" si="3"/>
        <v>1.0754716981132076E-5</v>
      </c>
      <c r="H12" s="40">
        <f t="shared" si="4"/>
        <v>5</v>
      </c>
      <c r="I12" s="86">
        <v>1.0754716981132076E-5</v>
      </c>
      <c r="J12" s="68"/>
      <c r="K12" s="68"/>
      <c r="L12" s="87"/>
      <c r="M12" s="88"/>
      <c r="N12" s="64"/>
      <c r="O12" s="64"/>
      <c r="P12" s="64"/>
      <c r="Q12" s="64"/>
      <c r="R12" s="64"/>
      <c r="S12" s="64"/>
      <c r="T12" s="64">
        <v>9.6944574446747341E-6</v>
      </c>
      <c r="U12" s="64">
        <v>6.6626690652275305E-6</v>
      </c>
      <c r="V12" s="64"/>
      <c r="W12" s="64"/>
      <c r="X12" s="64"/>
      <c r="Y12" s="64"/>
      <c r="Z12" s="64">
        <v>8.2075471698113213E-6</v>
      </c>
      <c r="AA12" s="64">
        <v>6.6626690652275305E-6</v>
      </c>
      <c r="AB12" s="64"/>
      <c r="AC12" s="64"/>
      <c r="AD12" s="64"/>
      <c r="AE12" s="64"/>
      <c r="AF12" s="64"/>
      <c r="AG12" s="38"/>
    </row>
    <row r="13" spans="1:33" x14ac:dyDescent="0.25">
      <c r="A13" s="25" t="s">
        <v>25</v>
      </c>
      <c r="B13" s="30" t="s">
        <v>99</v>
      </c>
      <c r="C13" s="31">
        <v>2020</v>
      </c>
      <c r="D13" s="92">
        <f t="shared" si="0"/>
        <v>1.5094339622641511E-6</v>
      </c>
      <c r="E13" s="44">
        <f t="shared" si="1"/>
        <v>1.5094339622641511E-6</v>
      </c>
      <c r="F13" s="44">
        <f t="shared" si="2"/>
        <v>1.5094339622641511E-6</v>
      </c>
      <c r="G13" s="44">
        <f t="shared" si="3"/>
        <v>1.5094339622641511E-6</v>
      </c>
      <c r="H13" s="40">
        <f t="shared" si="4"/>
        <v>1</v>
      </c>
      <c r="I13" s="107">
        <v>1.5094339622641511E-6</v>
      </c>
      <c r="J13" s="102"/>
      <c r="K13" s="102"/>
      <c r="L13" s="102"/>
      <c r="M13" s="101"/>
      <c r="N13" s="101"/>
      <c r="O13" s="101"/>
      <c r="P13" s="101"/>
      <c r="Q13" s="101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38"/>
    </row>
    <row r="14" spans="1:33" x14ac:dyDescent="0.25">
      <c r="A14" s="25" t="s">
        <v>28</v>
      </c>
      <c r="B14" s="30" t="s">
        <v>99</v>
      </c>
      <c r="C14" s="31">
        <v>2020</v>
      </c>
      <c r="D14" s="92">
        <f t="shared" si="0"/>
        <v>1.3929245283018866E-4</v>
      </c>
      <c r="E14" s="44">
        <f t="shared" si="1"/>
        <v>1.3929245283018866E-4</v>
      </c>
      <c r="F14" s="44">
        <f t="shared" si="2"/>
        <v>1.2603773584905659E-4</v>
      </c>
      <c r="G14" s="44">
        <f t="shared" si="3"/>
        <v>1.5254716981132077E-4</v>
      </c>
      <c r="H14" s="40">
        <f t="shared" si="4"/>
        <v>2</v>
      </c>
      <c r="I14" s="107">
        <v>1.2603773584905659E-4</v>
      </c>
      <c r="J14" s="101">
        <v>1.5254716981132077E-4</v>
      </c>
      <c r="K14" s="102"/>
      <c r="L14" s="102"/>
      <c r="M14" s="101"/>
      <c r="N14" s="101"/>
      <c r="O14" s="101"/>
      <c r="P14" s="101"/>
      <c r="Q14" s="101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38"/>
    </row>
    <row r="15" spans="1:33" x14ac:dyDescent="0.25">
      <c r="A15" s="25" t="s">
        <v>31</v>
      </c>
      <c r="B15" s="30" t="s">
        <v>99</v>
      </c>
      <c r="C15" s="31">
        <v>2020</v>
      </c>
      <c r="D15" s="92">
        <f t="shared" si="0"/>
        <v>0.11804811320754717</v>
      </c>
      <c r="E15" s="44">
        <f t="shared" si="1"/>
        <v>0.11804811320754717</v>
      </c>
      <c r="F15" s="44">
        <f t="shared" si="2"/>
        <v>0.11804811320754717</v>
      </c>
      <c r="G15" s="44">
        <f t="shared" si="3"/>
        <v>0.11804811320754717</v>
      </c>
      <c r="H15" s="40">
        <f t="shared" si="4"/>
        <v>1</v>
      </c>
      <c r="I15" s="107">
        <v>0.11804811320754717</v>
      </c>
      <c r="J15" s="102"/>
      <c r="K15" s="102"/>
      <c r="L15" s="102"/>
      <c r="M15" s="101"/>
      <c r="N15" s="101"/>
      <c r="O15" s="101"/>
      <c r="P15" s="101"/>
      <c r="Q15" s="101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38"/>
    </row>
    <row r="16" spans="1:33" x14ac:dyDescent="0.25">
      <c r="A16" s="25" t="s">
        <v>33</v>
      </c>
      <c r="B16" s="30" t="s">
        <v>99</v>
      </c>
      <c r="C16" s="31">
        <v>2020</v>
      </c>
      <c r="D16" s="92">
        <f t="shared" si="0"/>
        <v>1.0922010588354895E-2</v>
      </c>
      <c r="E16" s="44">
        <f t="shared" si="1"/>
        <v>1.0922010588354895E-2</v>
      </c>
      <c r="F16" s="44">
        <f t="shared" si="2"/>
        <v>1.0922010588354895E-2</v>
      </c>
      <c r="G16" s="44">
        <f t="shared" si="3"/>
        <v>1.0922010588354895E-2</v>
      </c>
      <c r="H16" s="40">
        <f t="shared" si="4"/>
        <v>1</v>
      </c>
      <c r="I16" s="107"/>
      <c r="J16" s="102"/>
      <c r="K16" s="102"/>
      <c r="L16" s="102"/>
      <c r="M16" s="101"/>
      <c r="N16" s="101"/>
      <c r="O16" s="101"/>
      <c r="P16" s="101"/>
      <c r="Q16" s="101"/>
      <c r="R16" s="64"/>
      <c r="S16" s="64">
        <v>1.0922010588354895E-2</v>
      </c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38"/>
    </row>
    <row r="17" spans="1:33" x14ac:dyDescent="0.25">
      <c r="A17" s="25" t="s">
        <v>37</v>
      </c>
      <c r="B17" s="30" t="s">
        <v>99</v>
      </c>
      <c r="C17" s="31">
        <v>2020</v>
      </c>
      <c r="D17" s="92">
        <f t="shared" si="0"/>
        <v>5.404503370889868E-3</v>
      </c>
      <c r="E17" s="44">
        <f t="shared" si="1"/>
        <v>4.5306149643547207E-3</v>
      </c>
      <c r="F17" s="44">
        <f t="shared" si="2"/>
        <v>3.301886792452831E-5</v>
      </c>
      <c r="G17" s="44">
        <f t="shared" si="3"/>
        <v>1.4462264150943396E-2</v>
      </c>
      <c r="H17" s="40">
        <f t="shared" si="4"/>
        <v>21</v>
      </c>
      <c r="I17" s="107">
        <v>1.0035471698113209E-2</v>
      </c>
      <c r="J17" s="101">
        <v>1.4462264150943396E-2</v>
      </c>
      <c r="K17" s="101">
        <v>5.2339622641509433E-3</v>
      </c>
      <c r="L17" s="101">
        <v>7.5471698113207552E-5</v>
      </c>
      <c r="M17" s="101">
        <v>2.2641509433962264E-4</v>
      </c>
      <c r="N17" s="101">
        <v>3.1E-4</v>
      </c>
      <c r="O17" s="101">
        <v>6.7200000000000003E-3</v>
      </c>
      <c r="P17" s="101">
        <v>6.3636363636363621E-3</v>
      </c>
      <c r="Q17" s="101">
        <v>4.5306149643547207E-3</v>
      </c>
      <c r="R17" s="64">
        <v>1.1365915624791067E-2</v>
      </c>
      <c r="S17" s="64">
        <v>2.5910449939915907E-3</v>
      </c>
      <c r="T17" s="64">
        <v>3.3429163602326666E-3</v>
      </c>
      <c r="U17" s="64">
        <v>2.3985608634819106E-3</v>
      </c>
      <c r="V17" s="64">
        <v>1.3174528301886791E-2</v>
      </c>
      <c r="W17" s="64">
        <v>1.125E-2</v>
      </c>
      <c r="X17" s="64">
        <v>8.2075471698113203E-3</v>
      </c>
      <c r="Y17" s="64">
        <v>1.2935094339622641E-3</v>
      </c>
      <c r="Z17" s="64">
        <v>2.8301886792452828E-3</v>
      </c>
      <c r="AA17" s="64">
        <v>2.3985608634819106E-3</v>
      </c>
      <c r="AB17" s="64">
        <v>6.6509433962264148E-3</v>
      </c>
      <c r="AC17" s="64">
        <v>3.301886792452831E-5</v>
      </c>
      <c r="AD17" s="64"/>
      <c r="AE17" s="64"/>
      <c r="AF17" s="64"/>
      <c r="AG17" s="38"/>
    </row>
    <row r="18" spans="1:33" x14ac:dyDescent="0.25">
      <c r="A18" s="25" t="s">
        <v>39</v>
      </c>
      <c r="B18" s="30" t="s">
        <v>99</v>
      </c>
      <c r="C18" s="31">
        <v>2020</v>
      </c>
      <c r="D18" s="92">
        <f t="shared" si="0"/>
        <v>2.0592452830188678E-3</v>
      </c>
      <c r="E18" s="44">
        <f t="shared" si="1"/>
        <v>2.0592452830188678E-3</v>
      </c>
      <c r="F18" s="44">
        <f t="shared" si="2"/>
        <v>2.0592452830188678E-3</v>
      </c>
      <c r="G18" s="44">
        <f t="shared" si="3"/>
        <v>2.0592452830188678E-3</v>
      </c>
      <c r="H18" s="40">
        <f t="shared" si="4"/>
        <v>1</v>
      </c>
      <c r="I18" s="107">
        <v>2.0592452830188678E-3</v>
      </c>
      <c r="J18" s="102"/>
      <c r="K18" s="102"/>
      <c r="L18" s="102"/>
      <c r="M18" s="101"/>
      <c r="N18" s="101"/>
      <c r="O18" s="101"/>
      <c r="P18" s="101"/>
      <c r="Q18" s="101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38"/>
    </row>
    <row r="19" spans="1:33" x14ac:dyDescent="0.25">
      <c r="A19" s="25" t="s">
        <v>79</v>
      </c>
      <c r="B19" s="30" t="s">
        <v>99</v>
      </c>
      <c r="C19" s="31">
        <v>2020</v>
      </c>
      <c r="D19" s="92">
        <f t="shared" si="0"/>
        <v>3.4150943396226417E-5</v>
      </c>
      <c r="E19" s="44">
        <f t="shared" si="1"/>
        <v>3.4150943396226417E-5</v>
      </c>
      <c r="F19" s="44">
        <f t="shared" si="2"/>
        <v>3.4150943396226417E-5</v>
      </c>
      <c r="G19" s="44">
        <f t="shared" si="3"/>
        <v>3.4150943396226417E-5</v>
      </c>
      <c r="H19" s="40">
        <f t="shared" si="4"/>
        <v>1</v>
      </c>
      <c r="I19" s="107">
        <v>3.4150943396226417E-5</v>
      </c>
      <c r="J19" s="102"/>
      <c r="K19" s="102"/>
      <c r="L19" s="102"/>
      <c r="M19" s="101"/>
      <c r="N19" s="101"/>
      <c r="O19" s="101"/>
      <c r="P19" s="101"/>
      <c r="Q19" s="101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38"/>
    </row>
    <row r="20" spans="1:33" x14ac:dyDescent="0.25">
      <c r="A20" s="25" t="s">
        <v>42</v>
      </c>
      <c r="B20" s="30" t="s">
        <v>99</v>
      </c>
      <c r="C20" s="31">
        <v>2020</v>
      </c>
      <c r="D20" s="92">
        <f t="shared" si="0"/>
        <v>1.0396226415094339E-4</v>
      </c>
      <c r="E20" s="44">
        <f t="shared" si="1"/>
        <v>1.0396226415094339E-4</v>
      </c>
      <c r="F20" s="44">
        <f t="shared" si="2"/>
        <v>1.0396226415094339E-4</v>
      </c>
      <c r="G20" s="44">
        <f t="shared" si="3"/>
        <v>1.0396226415094339E-4</v>
      </c>
      <c r="H20" s="40">
        <f t="shared" si="4"/>
        <v>1</v>
      </c>
      <c r="I20" s="107">
        <v>1.0396226415094339E-4</v>
      </c>
      <c r="J20" s="102"/>
      <c r="K20" s="102"/>
      <c r="L20" s="102"/>
      <c r="M20" s="101"/>
      <c r="N20" s="101"/>
      <c r="O20" s="101"/>
      <c r="P20" s="101"/>
      <c r="Q20" s="101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38"/>
    </row>
    <row r="21" spans="1:33" x14ac:dyDescent="0.25">
      <c r="A21" s="25" t="s">
        <v>80</v>
      </c>
      <c r="B21" s="30" t="s">
        <v>99</v>
      </c>
      <c r="C21" s="31">
        <v>2020</v>
      </c>
      <c r="D21" s="92">
        <f t="shared" si="0"/>
        <v>6.1564823140435618E-4</v>
      </c>
      <c r="E21" s="44">
        <f t="shared" si="1"/>
        <v>7.9952028782730362E-4</v>
      </c>
      <c r="F21" s="44">
        <f t="shared" si="2"/>
        <v>2.6066851046193066E-6</v>
      </c>
      <c r="G21" s="44">
        <f t="shared" si="3"/>
        <v>1.114305453410889E-3</v>
      </c>
      <c r="H21" s="40">
        <f t="shared" si="4"/>
        <v>7</v>
      </c>
      <c r="I21" s="107">
        <v>7.5660377358490556E-5</v>
      </c>
      <c r="J21" s="101">
        <v>5.7452830188679251E-4</v>
      </c>
      <c r="K21" s="102"/>
      <c r="L21" s="102"/>
      <c r="M21" s="101"/>
      <c r="N21" s="101"/>
      <c r="O21" s="101"/>
      <c r="P21" s="101"/>
      <c r="Q21" s="101"/>
      <c r="R21" s="64"/>
      <c r="S21" s="64">
        <v>2.6066851046193066E-6</v>
      </c>
      <c r="T21" s="64">
        <v>1.114305453410889E-3</v>
      </c>
      <c r="U21" s="64">
        <v>7.9952028782730362E-4</v>
      </c>
      <c r="V21" s="64"/>
      <c r="W21" s="64"/>
      <c r="X21" s="64"/>
      <c r="Y21" s="64"/>
      <c r="Z21" s="64">
        <v>9.4339622641509435E-4</v>
      </c>
      <c r="AA21" s="64">
        <v>7.9952028782730362E-4</v>
      </c>
      <c r="AB21" s="64"/>
      <c r="AC21" s="64"/>
      <c r="AD21" s="64"/>
      <c r="AE21" s="64"/>
      <c r="AF21" s="64"/>
      <c r="AG21" s="38"/>
    </row>
    <row r="22" spans="1:33" x14ac:dyDescent="0.25">
      <c r="A22" s="25" t="s">
        <v>81</v>
      </c>
      <c r="B22" s="30" t="s">
        <v>99</v>
      </c>
      <c r="C22" s="31">
        <v>2020</v>
      </c>
      <c r="D22" s="92">
        <f t="shared" si="0"/>
        <v>1.8867924528301889E-7</v>
      </c>
      <c r="E22" s="44">
        <f t="shared" si="1"/>
        <v>1.8867924528301889E-7</v>
      </c>
      <c r="F22" s="44">
        <f t="shared" si="2"/>
        <v>1.8867924528301889E-7</v>
      </c>
      <c r="G22" s="44">
        <f t="shared" si="3"/>
        <v>1.8867924528301889E-7</v>
      </c>
      <c r="H22" s="40">
        <f t="shared" si="4"/>
        <v>1</v>
      </c>
      <c r="I22" s="107">
        <v>1.8867924528301889E-7</v>
      </c>
      <c r="J22" s="102"/>
      <c r="K22" s="102"/>
      <c r="L22" s="102"/>
      <c r="M22" s="102"/>
      <c r="N22" s="102"/>
      <c r="O22" s="102"/>
      <c r="P22" s="102"/>
      <c r="Q22" s="102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38"/>
    </row>
    <row r="23" spans="1:33" x14ac:dyDescent="0.25">
      <c r="A23" s="25" t="s">
        <v>82</v>
      </c>
      <c r="B23" s="30" t="s">
        <v>99</v>
      </c>
      <c r="C23" s="31">
        <v>2020</v>
      </c>
      <c r="D23" s="92">
        <f t="shared" si="0"/>
        <v>4.3915094339622644E-5</v>
      </c>
      <c r="E23" s="44">
        <f t="shared" si="1"/>
        <v>4.3915094339622637E-5</v>
      </c>
      <c r="F23" s="44">
        <f t="shared" si="2"/>
        <v>2.6415094339622642E-5</v>
      </c>
      <c r="G23" s="44">
        <f t="shared" si="3"/>
        <v>6.1415094339622642E-5</v>
      </c>
      <c r="H23" s="40">
        <f t="shared" si="4"/>
        <v>2</v>
      </c>
      <c r="I23" s="107">
        <v>2.6415094339622642E-5</v>
      </c>
      <c r="J23" s="101">
        <v>6.1415094339622642E-5</v>
      </c>
      <c r="K23" s="102"/>
      <c r="L23" s="102"/>
      <c r="M23" s="101"/>
      <c r="N23" s="101"/>
      <c r="O23" s="101"/>
      <c r="P23" s="101"/>
      <c r="Q23" s="101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38"/>
    </row>
    <row r="24" spans="1:33" x14ac:dyDescent="0.25">
      <c r="A24" s="25" t="s">
        <v>45</v>
      </c>
      <c r="B24" s="30" t="s">
        <v>99</v>
      </c>
      <c r="C24" s="31">
        <v>2020</v>
      </c>
      <c r="D24" s="92">
        <f t="shared" si="0"/>
        <v>1.9811320754716984E-5</v>
      </c>
      <c r="E24" s="44">
        <f t="shared" si="1"/>
        <v>1.9811320754716984E-5</v>
      </c>
      <c r="F24" s="44">
        <f t="shared" si="2"/>
        <v>1.9811320754716984E-5</v>
      </c>
      <c r="G24" s="44">
        <f t="shared" si="3"/>
        <v>1.9811320754716984E-5</v>
      </c>
      <c r="H24" s="40">
        <f t="shared" si="4"/>
        <v>1</v>
      </c>
      <c r="I24" s="107"/>
      <c r="J24" s="101">
        <v>1.9811320754716984E-5</v>
      </c>
      <c r="K24" s="102"/>
      <c r="L24" s="102"/>
      <c r="M24" s="101"/>
      <c r="N24" s="101"/>
      <c r="O24" s="101"/>
      <c r="P24" s="101"/>
      <c r="Q24" s="101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38"/>
    </row>
    <row r="25" spans="1:33" x14ac:dyDescent="0.25">
      <c r="A25" s="25" t="s">
        <v>51</v>
      </c>
      <c r="B25" s="30" t="s">
        <v>99</v>
      </c>
      <c r="C25" s="31">
        <v>2020</v>
      </c>
      <c r="D25" s="92">
        <f t="shared" si="0"/>
        <v>2.0433962264150942E-4</v>
      </c>
      <c r="E25" s="44">
        <f t="shared" si="1"/>
        <v>2.0433962264150942E-4</v>
      </c>
      <c r="F25" s="44">
        <f t="shared" si="2"/>
        <v>2.0433962264150942E-4</v>
      </c>
      <c r="G25" s="44">
        <f t="shared" si="3"/>
        <v>2.0433962264150942E-4</v>
      </c>
      <c r="H25" s="40">
        <f t="shared" si="4"/>
        <v>1</v>
      </c>
      <c r="I25" s="107">
        <v>2.0433962264150942E-4</v>
      </c>
      <c r="J25" s="102"/>
      <c r="K25" s="102"/>
      <c r="L25" s="102"/>
      <c r="M25" s="101"/>
      <c r="N25" s="101"/>
      <c r="O25" s="101"/>
      <c r="P25" s="101"/>
      <c r="Q25" s="101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38"/>
    </row>
    <row r="26" spans="1:33" x14ac:dyDescent="0.25">
      <c r="A26" s="25" t="s">
        <v>83</v>
      </c>
      <c r="B26" s="30" t="s">
        <v>99</v>
      </c>
      <c r="C26" s="31">
        <v>2020</v>
      </c>
      <c r="D26" s="92">
        <f t="shared" si="0"/>
        <v>1.7082579988910807E-4</v>
      </c>
      <c r="E26" s="44">
        <f t="shared" si="1"/>
        <v>1.5486368556224755E-4</v>
      </c>
      <c r="F26" s="44">
        <f t="shared" si="2"/>
        <v>1.941509433962264E-8</v>
      </c>
      <c r="G26" s="44">
        <f t="shared" si="3"/>
        <v>3.7471698113207547E-4</v>
      </c>
      <c r="H26" s="40">
        <f t="shared" si="4"/>
        <v>6</v>
      </c>
      <c r="I26" s="107">
        <v>3.7471698113207547E-4</v>
      </c>
      <c r="J26" s="101">
        <v>1.941509433962264E-8</v>
      </c>
      <c r="K26" s="102"/>
      <c r="L26" s="102"/>
      <c r="M26" s="101"/>
      <c r="N26" s="101"/>
      <c r="O26" s="101"/>
      <c r="P26" s="101"/>
      <c r="Q26" s="101"/>
      <c r="R26" s="64"/>
      <c r="S26" s="64"/>
      <c r="T26" s="64">
        <v>2.0057498161396001E-4</v>
      </c>
      <c r="U26" s="64">
        <v>1.3991605036977814E-4</v>
      </c>
      <c r="V26" s="64"/>
      <c r="W26" s="64"/>
      <c r="X26" s="64"/>
      <c r="Y26" s="64"/>
      <c r="Z26" s="64">
        <v>1.6981132075471697E-4</v>
      </c>
      <c r="AA26" s="64">
        <v>1.3991605036977814E-4</v>
      </c>
      <c r="AB26" s="64"/>
      <c r="AC26" s="64"/>
      <c r="AD26" s="64"/>
      <c r="AE26" s="64"/>
      <c r="AF26" s="64"/>
      <c r="AG26" s="38"/>
    </row>
    <row r="27" spans="1:33" x14ac:dyDescent="0.25">
      <c r="A27" s="25" t="s">
        <v>84</v>
      </c>
      <c r="B27" s="30" t="s">
        <v>99</v>
      </c>
      <c r="C27" s="31">
        <v>2020</v>
      </c>
      <c r="D27" s="92">
        <f t="shared" si="0"/>
        <v>1.5252830188679246E-6</v>
      </c>
      <c r="E27" s="44">
        <f t="shared" si="1"/>
        <v>1.5252830188679246E-6</v>
      </c>
      <c r="F27" s="44">
        <f t="shared" si="2"/>
        <v>3.1698113207547169E-8</v>
      </c>
      <c r="G27" s="44">
        <f t="shared" si="3"/>
        <v>3.0188679245283022E-6</v>
      </c>
      <c r="H27" s="40">
        <f t="shared" si="4"/>
        <v>2</v>
      </c>
      <c r="I27" s="107">
        <v>3.0188679245283022E-6</v>
      </c>
      <c r="J27" s="101">
        <v>3.1698113207547169E-8</v>
      </c>
      <c r="K27" s="102"/>
      <c r="L27" s="102"/>
      <c r="M27" s="102"/>
      <c r="N27" s="102"/>
      <c r="O27" s="102"/>
      <c r="P27" s="102"/>
      <c r="Q27" s="102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38"/>
    </row>
    <row r="28" spans="1:33" x14ac:dyDescent="0.25">
      <c r="A28" s="25" t="s">
        <v>56</v>
      </c>
      <c r="B28" s="30" t="s">
        <v>99</v>
      </c>
      <c r="C28" s="31">
        <v>2020</v>
      </c>
      <c r="D28" s="92">
        <f t="shared" si="0"/>
        <v>7.8160377358490569E-6</v>
      </c>
      <c r="E28" s="44">
        <f t="shared" si="1"/>
        <v>7.8160377358490569E-6</v>
      </c>
      <c r="F28" s="44">
        <f t="shared" si="2"/>
        <v>4.3396226415094338E-6</v>
      </c>
      <c r="G28" s="44">
        <f t="shared" si="3"/>
        <v>1.1292452830188678E-5</v>
      </c>
      <c r="H28" s="40">
        <f t="shared" si="4"/>
        <v>2</v>
      </c>
      <c r="I28" s="107">
        <v>4.3396226415094338E-6</v>
      </c>
      <c r="J28" s="101">
        <v>1.1292452830188678E-5</v>
      </c>
      <c r="K28" s="102"/>
      <c r="L28" s="102"/>
      <c r="M28" s="101"/>
      <c r="N28" s="101"/>
      <c r="O28" s="101"/>
      <c r="P28" s="101"/>
      <c r="Q28" s="101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38"/>
    </row>
    <row r="29" spans="1:33" x14ac:dyDescent="0.25">
      <c r="A29" s="25"/>
      <c r="B29" s="30"/>
      <c r="C29" s="31"/>
      <c r="D29" s="92"/>
      <c r="E29" s="44"/>
      <c r="F29" s="44"/>
      <c r="G29" s="44"/>
      <c r="H29" s="40"/>
      <c r="I29" s="107"/>
      <c r="J29" s="102"/>
      <c r="K29" s="102"/>
      <c r="L29" s="102"/>
      <c r="M29" s="101"/>
      <c r="N29" s="101"/>
      <c r="O29" s="101"/>
      <c r="P29" s="101"/>
      <c r="Q29" s="101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</row>
    <row r="30" spans="1:33" x14ac:dyDescent="0.25">
      <c r="A30" s="25"/>
      <c r="B30" s="30"/>
      <c r="C30" s="31"/>
      <c r="D30" s="92"/>
      <c r="E30" s="44"/>
      <c r="F30" s="44"/>
      <c r="G30" s="44"/>
      <c r="H30" s="40"/>
      <c r="I30" s="107"/>
      <c r="J30" s="102"/>
      <c r="K30" s="102"/>
      <c r="L30" s="102"/>
      <c r="M30" s="101"/>
      <c r="N30" s="101"/>
      <c r="O30" s="101"/>
      <c r="P30" s="101"/>
      <c r="Q30" s="101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</row>
    <row r="31" spans="1:33" ht="60" x14ac:dyDescent="0.25">
      <c r="A31" s="81" t="s">
        <v>16</v>
      </c>
      <c r="B31" s="82" t="s">
        <v>99</v>
      </c>
      <c r="C31" s="82">
        <v>2050</v>
      </c>
      <c r="D31" s="93">
        <f>AVERAGE(F31:G31)</f>
        <v>1.5732438527971837E-5</v>
      </c>
      <c r="E31" s="83">
        <f>AVERAGE(F31:G31)</f>
        <v>1.5732438527971837E-5</v>
      </c>
      <c r="F31" s="83">
        <f>G31*(2.29/3.43)</f>
        <v>1.2596952527641785E-5</v>
      </c>
      <c r="G31" s="83">
        <f>F8</f>
        <v>1.8867924528301888E-5</v>
      </c>
      <c r="H31" s="94" t="s">
        <v>221</v>
      </c>
      <c r="I31" s="85"/>
      <c r="J31" s="68"/>
      <c r="K31" s="68"/>
      <c r="L31" s="68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3" ht="60" x14ac:dyDescent="0.25">
      <c r="A32" s="81" t="s">
        <v>37</v>
      </c>
      <c r="B32" s="82" t="s">
        <v>99</v>
      </c>
      <c r="C32" s="82">
        <v>2050</v>
      </c>
      <c r="D32" s="93">
        <f>AVERAGE(F32:G32)</f>
        <v>2.7567639729441088E-5</v>
      </c>
      <c r="E32" s="83">
        <f>AVERAGE(F32:G32)</f>
        <v>2.7567639729441088E-5</v>
      </c>
      <c r="F32" s="83">
        <f>G32*(0.71/1.06)</f>
        <v>2.2116411534353866E-5</v>
      </c>
      <c r="G32" s="83">
        <f>F17</f>
        <v>3.301886792452831E-5</v>
      </c>
      <c r="H32" s="94" t="s">
        <v>221</v>
      </c>
      <c r="I32" s="85"/>
      <c r="J32" s="68"/>
      <c r="K32" s="68"/>
      <c r="L32" s="68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</row>
    <row r="33" spans="1:32" x14ac:dyDescent="0.25">
      <c r="A33" s="26"/>
      <c r="B33" s="32"/>
      <c r="C33" s="32"/>
      <c r="D33" s="95"/>
      <c r="E33" s="26"/>
      <c r="F33" s="26"/>
      <c r="G33" s="26"/>
      <c r="H33" s="89"/>
      <c r="I33" s="37"/>
      <c r="J33" s="65"/>
      <c r="K33" s="65"/>
      <c r="L33" s="65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</row>
    <row r="44" spans="1:32" x14ac:dyDescent="0.25">
      <c r="J44" s="38"/>
    </row>
    <row r="45" spans="1:32" x14ac:dyDescent="0.25">
      <c r="J45" s="38"/>
    </row>
    <row r="46" spans="1:32" x14ac:dyDescent="0.25">
      <c r="J46" s="38"/>
    </row>
    <row r="47" spans="1:32" x14ac:dyDescent="0.25">
      <c r="J47" s="38"/>
    </row>
    <row r="58" spans="10:10" x14ac:dyDescent="0.25">
      <c r="J58" s="38"/>
    </row>
  </sheetData>
  <mergeCells count="1">
    <mergeCell ref="D1:H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59999389629810485"/>
  </sheetPr>
  <dimension ref="A1:AB52"/>
  <sheetViews>
    <sheetView workbookViewId="0">
      <pane xSplit="1" topLeftCell="B1" activePane="topRight" state="frozen"/>
      <selection pane="topRight" activeCell="A20" sqref="A20"/>
    </sheetView>
  </sheetViews>
  <sheetFormatPr defaultRowHeight="15" x14ac:dyDescent="0.25"/>
  <cols>
    <col min="1" max="1" width="14.42578125" bestFit="1" customWidth="1"/>
    <col min="8" max="8" width="30.28515625" customWidth="1"/>
    <col min="9" max="9" width="16" bestFit="1" customWidth="1"/>
    <col min="10" max="10" width="13.5703125" bestFit="1" customWidth="1"/>
    <col min="11" max="11" width="14" bestFit="1" customWidth="1"/>
    <col min="12" max="12" width="10.7109375" bestFit="1" customWidth="1"/>
    <col min="13" max="13" width="11.140625" bestFit="1" customWidth="1"/>
    <col min="14" max="14" width="17.7109375" bestFit="1" customWidth="1"/>
    <col min="15" max="15" width="13.140625" bestFit="1" customWidth="1"/>
    <col min="16" max="16" width="14.5703125" bestFit="1" customWidth="1"/>
    <col min="17" max="17" width="12.140625" bestFit="1" customWidth="1"/>
    <col min="18" max="18" width="11.85546875" bestFit="1" customWidth="1"/>
    <col min="19" max="19" width="16.140625" bestFit="1" customWidth="1"/>
    <col min="20" max="20" width="15.28515625" bestFit="1" customWidth="1"/>
    <col min="21" max="21" width="12.140625" bestFit="1" customWidth="1"/>
    <col min="22" max="22" width="14.140625" bestFit="1" customWidth="1"/>
    <col min="23" max="23" width="13.42578125" bestFit="1" customWidth="1"/>
    <col min="24" max="24" width="16" bestFit="1" customWidth="1"/>
    <col min="25" max="25" width="13.28515625" bestFit="1" customWidth="1"/>
    <col min="26" max="27" width="12.28515625" bestFit="1" customWidth="1"/>
    <col min="28" max="28" width="12" bestFit="1" customWidth="1"/>
  </cols>
  <sheetData>
    <row r="1" spans="1:28" x14ac:dyDescent="0.25">
      <c r="A1" s="53" t="s">
        <v>70</v>
      </c>
      <c r="B1" s="27" t="s">
        <v>71</v>
      </c>
      <c r="C1" s="27" t="s">
        <v>72</v>
      </c>
      <c r="D1" s="56" t="s">
        <v>73</v>
      </c>
      <c r="E1" s="57"/>
      <c r="F1" s="57"/>
      <c r="G1" s="57"/>
      <c r="H1" s="58"/>
      <c r="I1" s="61" t="s">
        <v>100</v>
      </c>
      <c r="J1" s="55" t="s">
        <v>114</v>
      </c>
      <c r="K1" s="59" t="s">
        <v>115</v>
      </c>
      <c r="L1" s="55" t="s">
        <v>116</v>
      </c>
      <c r="M1" s="59" t="s">
        <v>117</v>
      </c>
      <c r="N1" s="55" t="s">
        <v>108</v>
      </c>
      <c r="O1" s="59" t="s">
        <v>118</v>
      </c>
      <c r="P1" s="55" t="s">
        <v>119</v>
      </c>
      <c r="Q1" s="59" t="s">
        <v>101</v>
      </c>
      <c r="R1" s="55" t="s">
        <v>120</v>
      </c>
      <c r="S1" s="59" t="s">
        <v>109</v>
      </c>
      <c r="T1" s="55" t="s">
        <v>121</v>
      </c>
      <c r="U1" s="59" t="s">
        <v>122</v>
      </c>
      <c r="V1" s="55" t="s">
        <v>123</v>
      </c>
      <c r="W1" s="59" t="s">
        <v>124</v>
      </c>
      <c r="X1" s="55" t="s">
        <v>125</v>
      </c>
      <c r="Y1" s="59" t="s">
        <v>126</v>
      </c>
      <c r="Z1" s="55" t="s">
        <v>127</v>
      </c>
      <c r="AA1" s="59" t="s">
        <v>128</v>
      </c>
      <c r="AB1" s="55" t="s">
        <v>129</v>
      </c>
    </row>
    <row r="2" spans="1:28" ht="40.5" x14ac:dyDescent="0.25">
      <c r="A2" s="23"/>
      <c r="B2" s="28"/>
      <c r="C2" s="28"/>
      <c r="D2" s="33" t="s">
        <v>95</v>
      </c>
      <c r="E2" s="33" t="s">
        <v>96</v>
      </c>
      <c r="F2" s="33" t="s">
        <v>97</v>
      </c>
      <c r="G2" s="34" t="s">
        <v>98</v>
      </c>
      <c r="H2" s="36" t="s">
        <v>107</v>
      </c>
      <c r="I2" s="62" t="s">
        <v>75</v>
      </c>
      <c r="J2" s="41" t="s">
        <v>75</v>
      </c>
      <c r="K2" s="39" t="s">
        <v>75</v>
      </c>
      <c r="L2" s="41" t="s">
        <v>75</v>
      </c>
      <c r="M2" s="39" t="s">
        <v>75</v>
      </c>
      <c r="N2" s="41" t="s">
        <v>75</v>
      </c>
      <c r="O2" s="39" t="s">
        <v>75</v>
      </c>
      <c r="P2" s="41" t="s">
        <v>75</v>
      </c>
      <c r="Q2" s="39" t="s">
        <v>75</v>
      </c>
      <c r="R2" s="41" t="s">
        <v>75</v>
      </c>
      <c r="S2" s="39" t="s">
        <v>75</v>
      </c>
      <c r="T2" s="41" t="s">
        <v>75</v>
      </c>
      <c r="U2" s="39" t="s">
        <v>75</v>
      </c>
      <c r="V2" s="41" t="s">
        <v>75</v>
      </c>
      <c r="W2" s="39" t="s">
        <v>75</v>
      </c>
      <c r="X2" s="41" t="s">
        <v>75</v>
      </c>
      <c r="Y2" s="39" t="s">
        <v>75</v>
      </c>
      <c r="Z2" s="41" t="s">
        <v>75</v>
      </c>
      <c r="AA2" s="39" t="s">
        <v>75</v>
      </c>
      <c r="AB2" s="41" t="s">
        <v>75</v>
      </c>
    </row>
    <row r="3" spans="1:28" x14ac:dyDescent="0.25">
      <c r="A3" s="24"/>
      <c r="B3" s="29"/>
      <c r="C3" s="30"/>
      <c r="D3" s="24"/>
      <c r="E3" s="24"/>
      <c r="F3" s="24"/>
      <c r="G3" s="24"/>
      <c r="H3" s="40"/>
      <c r="I3" s="71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</row>
    <row r="4" spans="1:28" x14ac:dyDescent="0.25">
      <c r="A4" t="s">
        <v>3</v>
      </c>
      <c r="B4" s="30" t="s">
        <v>111</v>
      </c>
      <c r="C4" s="31">
        <v>2020</v>
      </c>
      <c r="D4" s="44">
        <f t="shared" ref="D4:D16" si="0">AVERAGE(I4,J4,K4,L4,M4,N4,O4,P4,Q4,R4,S4,T4,U4,V4,W4,X4,Y4,Z4,AA4)</f>
        <v>780</v>
      </c>
      <c r="E4" s="44">
        <f t="shared" ref="E4:E16" si="1">MEDIAN(I4,J4,K4,L4,M4,N4,O4,P4,Q4,R4,S4,T4,U4,V4,W4,X4,Y4,Z4,AA4)</f>
        <v>780</v>
      </c>
      <c r="F4" s="44">
        <f t="shared" ref="F4:F16" si="2">MIN(I4,J4,K4,L4,M4,N4,O4,P4,Q4,R4,S4,T4,U4,V4,W4,X4,Y4,Z4,AA4)</f>
        <v>500</v>
      </c>
      <c r="G4" s="44">
        <f t="shared" ref="G4:G16" si="3">MAX(I4,J4,K4,L4,M4,N4,O4,P4,Q4,R4,S4,T4,U4,V4,W4,X4,Y4,Z4,AA4)</f>
        <v>1060</v>
      </c>
      <c r="H4" s="40">
        <f t="shared" ref="H4:H13" si="4">COUNT(I4,J4,K4,L4,M4,N4,O4,P4,Q4,R4,S4,T4,U4,V4,W4,X4,Y4,Z4,AA4)</f>
        <v>2</v>
      </c>
      <c r="I4" s="71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>
        <v>1060</v>
      </c>
      <c r="Z4" s="104">
        <v>500</v>
      </c>
      <c r="AA4" s="104"/>
      <c r="AB4" s="104"/>
    </row>
    <row r="5" spans="1:28" x14ac:dyDescent="0.25">
      <c r="A5" t="s">
        <v>106</v>
      </c>
      <c r="B5" s="30" t="s">
        <v>111</v>
      </c>
      <c r="C5" s="31">
        <v>2020</v>
      </c>
      <c r="D5" s="44">
        <f t="shared" si="0"/>
        <v>6.7906250000000004</v>
      </c>
      <c r="E5" s="44">
        <f t="shared" si="1"/>
        <v>6.9</v>
      </c>
      <c r="F5" s="44">
        <f t="shared" si="2"/>
        <v>6</v>
      </c>
      <c r="G5" s="44">
        <f t="shared" si="3"/>
        <v>7.3624999999999998</v>
      </c>
      <c r="H5" s="40">
        <f t="shared" si="4"/>
        <v>4</v>
      </c>
      <c r="I5" s="71"/>
      <c r="J5" s="104"/>
      <c r="K5" s="104"/>
      <c r="L5" s="104">
        <v>7.3624999999999998</v>
      </c>
      <c r="M5" s="104"/>
      <c r="N5" s="104"/>
      <c r="O5" s="104"/>
      <c r="P5" s="104"/>
      <c r="Q5" s="104"/>
      <c r="R5" s="104"/>
      <c r="S5" s="104"/>
      <c r="T5" s="104"/>
      <c r="U5" s="104">
        <v>6.8</v>
      </c>
      <c r="V5" s="104"/>
      <c r="W5" s="104"/>
      <c r="X5" s="104">
        <v>7</v>
      </c>
      <c r="Y5" s="104"/>
      <c r="Z5" s="104">
        <v>6</v>
      </c>
      <c r="AA5" s="104"/>
      <c r="AB5" s="104"/>
    </row>
    <row r="6" spans="1:28" x14ac:dyDescent="0.25">
      <c r="A6" t="s">
        <v>12</v>
      </c>
      <c r="B6" s="30" t="s">
        <v>111</v>
      </c>
      <c r="C6" s="31">
        <v>2020</v>
      </c>
      <c r="D6" s="44">
        <f t="shared" si="0"/>
        <v>475.76499999999999</v>
      </c>
      <c r="E6" s="44">
        <f t="shared" si="1"/>
        <v>409.28</v>
      </c>
      <c r="F6" s="44">
        <f t="shared" si="2"/>
        <v>239</v>
      </c>
      <c r="G6" s="44">
        <f t="shared" si="3"/>
        <v>845.5</v>
      </c>
      <c r="H6" s="40">
        <f t="shared" si="4"/>
        <v>4</v>
      </c>
      <c r="I6" s="71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>
        <v>845.5</v>
      </c>
      <c r="Y6" s="104">
        <v>239</v>
      </c>
      <c r="Z6" s="104">
        <v>525</v>
      </c>
      <c r="AA6" s="104">
        <v>293.56</v>
      </c>
      <c r="AB6" s="104"/>
    </row>
    <row r="7" spans="1:28" x14ac:dyDescent="0.25">
      <c r="A7" t="s">
        <v>15</v>
      </c>
      <c r="B7" s="30" t="s">
        <v>111</v>
      </c>
      <c r="C7" s="31">
        <v>2020</v>
      </c>
      <c r="D7" s="44">
        <f t="shared" si="0"/>
        <v>4796</v>
      </c>
      <c r="E7" s="44">
        <f t="shared" si="1"/>
        <v>3850</v>
      </c>
      <c r="F7" s="44">
        <f t="shared" si="2"/>
        <v>1484</v>
      </c>
      <c r="G7" s="44">
        <f t="shared" si="3"/>
        <v>10000</v>
      </c>
      <c r="H7" s="40">
        <f t="shared" si="4"/>
        <v>4</v>
      </c>
      <c r="I7" s="71">
        <v>4700</v>
      </c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>
        <v>10000</v>
      </c>
      <c r="Z7" s="104">
        <v>3000</v>
      </c>
      <c r="AA7" s="104">
        <v>1484</v>
      </c>
      <c r="AB7" s="104"/>
    </row>
    <row r="8" spans="1:28" x14ac:dyDescent="0.25">
      <c r="A8" t="s">
        <v>16</v>
      </c>
      <c r="B8" s="30" t="s">
        <v>111</v>
      </c>
      <c r="C8" s="31">
        <v>2020</v>
      </c>
      <c r="D8" s="44">
        <f t="shared" si="0"/>
        <v>22.705069444444444</v>
      </c>
      <c r="E8" s="44">
        <f t="shared" si="1"/>
        <v>22.78</v>
      </c>
      <c r="F8" s="44">
        <f t="shared" si="2"/>
        <v>12</v>
      </c>
      <c r="G8" s="44">
        <f t="shared" si="3"/>
        <v>42</v>
      </c>
      <c r="H8" s="40">
        <f t="shared" si="4"/>
        <v>18</v>
      </c>
      <c r="I8" s="71">
        <v>13</v>
      </c>
      <c r="J8" s="104">
        <v>15</v>
      </c>
      <c r="K8" s="104"/>
      <c r="L8" s="104">
        <v>18.40625</v>
      </c>
      <c r="M8" s="104">
        <v>14</v>
      </c>
      <c r="N8" s="104">
        <v>27.7</v>
      </c>
      <c r="O8" s="104">
        <v>19.5</v>
      </c>
      <c r="P8" s="104">
        <v>27</v>
      </c>
      <c r="Q8" s="104">
        <v>27.5</v>
      </c>
      <c r="R8" s="104">
        <v>12</v>
      </c>
      <c r="S8" s="104">
        <v>42</v>
      </c>
      <c r="T8" s="104">
        <v>27.5</v>
      </c>
      <c r="U8" s="104">
        <v>18.149999999999999</v>
      </c>
      <c r="V8" s="104">
        <v>30.375</v>
      </c>
      <c r="W8" s="104">
        <v>24</v>
      </c>
      <c r="X8" s="104">
        <v>25</v>
      </c>
      <c r="Y8" s="104">
        <v>29</v>
      </c>
      <c r="Z8" s="104">
        <v>17</v>
      </c>
      <c r="AA8" s="104">
        <v>21.56</v>
      </c>
      <c r="AB8" s="104">
        <v>21</v>
      </c>
    </row>
    <row r="9" spans="1:28" x14ac:dyDescent="0.25">
      <c r="A9" t="s">
        <v>29</v>
      </c>
      <c r="B9" s="30" t="s">
        <v>111</v>
      </c>
      <c r="C9" s="31">
        <v>2020</v>
      </c>
      <c r="D9" s="44">
        <f t="shared" si="0"/>
        <v>6720</v>
      </c>
      <c r="E9" s="44">
        <f t="shared" si="1"/>
        <v>6720</v>
      </c>
      <c r="F9" s="44">
        <f t="shared" si="2"/>
        <v>6720</v>
      </c>
      <c r="G9" s="44">
        <f t="shared" si="3"/>
        <v>6720</v>
      </c>
      <c r="H9" s="40">
        <f t="shared" si="4"/>
        <v>1</v>
      </c>
      <c r="I9" s="71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>
        <v>6720</v>
      </c>
      <c r="Z9" s="104"/>
      <c r="AA9" s="104"/>
      <c r="AB9" s="104"/>
    </row>
    <row r="10" spans="1:28" x14ac:dyDescent="0.25">
      <c r="A10" t="s">
        <v>33</v>
      </c>
      <c r="B10" s="30" t="s">
        <v>111</v>
      </c>
      <c r="C10" s="31">
        <v>2020</v>
      </c>
      <c r="D10" s="44">
        <f t="shared" si="0"/>
        <v>423.25</v>
      </c>
      <c r="E10" s="44">
        <f t="shared" si="1"/>
        <v>423.25</v>
      </c>
      <c r="F10" s="44">
        <f t="shared" si="2"/>
        <v>56.5</v>
      </c>
      <c r="G10" s="44">
        <f t="shared" si="3"/>
        <v>790</v>
      </c>
      <c r="H10" s="40">
        <f t="shared" si="4"/>
        <v>2</v>
      </c>
      <c r="I10" s="71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>
        <v>56.5</v>
      </c>
      <c r="Y10" s="104"/>
      <c r="Z10" s="104">
        <v>790</v>
      </c>
      <c r="AA10" s="104"/>
      <c r="AB10" s="104"/>
    </row>
    <row r="11" spans="1:28" x14ac:dyDescent="0.25">
      <c r="A11" t="s">
        <v>34</v>
      </c>
      <c r="B11" s="30" t="s">
        <v>111</v>
      </c>
      <c r="C11" s="31">
        <v>2020</v>
      </c>
      <c r="D11" s="44">
        <f t="shared" si="0"/>
        <v>103.43833333333333</v>
      </c>
      <c r="E11" s="44">
        <f t="shared" si="1"/>
        <v>109</v>
      </c>
      <c r="F11" s="44">
        <f t="shared" si="2"/>
        <v>75.314999999999998</v>
      </c>
      <c r="G11" s="44">
        <f t="shared" si="3"/>
        <v>126</v>
      </c>
      <c r="H11" s="40">
        <f t="shared" si="4"/>
        <v>3</v>
      </c>
      <c r="I11" s="71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>
        <v>126</v>
      </c>
      <c r="Y11" s="104"/>
      <c r="Z11" s="104">
        <v>109</v>
      </c>
      <c r="AA11" s="104">
        <v>75.314999999999998</v>
      </c>
      <c r="AB11" s="104"/>
    </row>
    <row r="12" spans="1:28" x14ac:dyDescent="0.25">
      <c r="A12" t="s">
        <v>37</v>
      </c>
      <c r="B12" s="30" t="s">
        <v>111</v>
      </c>
      <c r="C12" s="31">
        <v>2020</v>
      </c>
      <c r="D12" s="44">
        <f t="shared" si="0"/>
        <v>179.25361842105264</v>
      </c>
      <c r="E12" s="44">
        <f t="shared" si="1"/>
        <v>183</v>
      </c>
      <c r="F12" s="44">
        <f t="shared" si="2"/>
        <v>116</v>
      </c>
      <c r="G12" s="44">
        <f t="shared" si="3"/>
        <v>217.19374999999999</v>
      </c>
      <c r="H12" s="40">
        <f t="shared" si="4"/>
        <v>19</v>
      </c>
      <c r="I12" s="71">
        <v>200</v>
      </c>
      <c r="J12" s="107">
        <v>201.5</v>
      </c>
      <c r="K12" s="104">
        <v>216</v>
      </c>
      <c r="L12" s="104">
        <v>217.19374999999999</v>
      </c>
      <c r="M12" s="104">
        <v>150</v>
      </c>
      <c r="N12" s="104">
        <v>198</v>
      </c>
      <c r="O12" s="104">
        <v>175.5</v>
      </c>
      <c r="P12" s="104">
        <v>198</v>
      </c>
      <c r="Q12" s="104">
        <v>155</v>
      </c>
      <c r="R12" s="104">
        <v>116</v>
      </c>
      <c r="S12" s="104">
        <v>203</v>
      </c>
      <c r="T12" s="104">
        <v>155</v>
      </c>
      <c r="U12" s="104">
        <v>198.83</v>
      </c>
      <c r="V12" s="104">
        <v>151.875</v>
      </c>
      <c r="W12" s="104">
        <v>170</v>
      </c>
      <c r="X12" s="104">
        <v>186</v>
      </c>
      <c r="Y12" s="104">
        <v>183</v>
      </c>
      <c r="Z12" s="104">
        <v>180</v>
      </c>
      <c r="AA12" s="104">
        <v>150.91999999999999</v>
      </c>
      <c r="AB12" s="104">
        <v>185</v>
      </c>
    </row>
    <row r="13" spans="1:28" x14ac:dyDescent="0.25">
      <c r="A13" t="s">
        <v>38</v>
      </c>
      <c r="B13" s="30" t="s">
        <v>111</v>
      </c>
      <c r="C13" s="31">
        <v>2020</v>
      </c>
      <c r="D13" s="44">
        <f t="shared" si="0"/>
        <v>342.91399999999999</v>
      </c>
      <c r="E13" s="44">
        <f t="shared" si="1"/>
        <v>376.57</v>
      </c>
      <c r="F13" s="44">
        <f t="shared" si="2"/>
        <v>111</v>
      </c>
      <c r="G13" s="44">
        <f t="shared" si="3"/>
        <v>610</v>
      </c>
      <c r="H13" s="40">
        <f t="shared" si="4"/>
        <v>5</v>
      </c>
      <c r="I13" s="71">
        <v>377</v>
      </c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>
        <v>610</v>
      </c>
      <c r="Y13" s="104">
        <v>111</v>
      </c>
      <c r="Z13" s="104">
        <v>240</v>
      </c>
      <c r="AA13" s="104">
        <v>376.57</v>
      </c>
      <c r="AB13" s="104"/>
    </row>
    <row r="14" spans="1:28" x14ac:dyDescent="0.25">
      <c r="A14" t="s">
        <v>39</v>
      </c>
      <c r="B14" s="30" t="s">
        <v>111</v>
      </c>
      <c r="C14" s="31">
        <v>2020</v>
      </c>
      <c r="D14" s="44">
        <f t="shared" si="0"/>
        <v>37.657000000000004</v>
      </c>
      <c r="E14" s="44">
        <f t="shared" si="1"/>
        <v>37.657000000000004</v>
      </c>
      <c r="F14" s="44">
        <f t="shared" si="2"/>
        <v>37.657000000000004</v>
      </c>
      <c r="G14" s="44">
        <f t="shared" si="3"/>
        <v>37.657000000000004</v>
      </c>
      <c r="H14" s="40">
        <f>COUNT(I14,J14,K14,L14,M14,N14,O14,P14,Q14,R14,S14,T14,U14,V14,W14,X14,Y14,Z15,#REF!)</f>
        <v>1</v>
      </c>
      <c r="I14" s="71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7"/>
      <c r="AA14" s="104">
        <v>37.657000000000004</v>
      </c>
      <c r="AB14" s="104"/>
    </row>
    <row r="15" spans="1:28" x14ac:dyDescent="0.25">
      <c r="A15" t="s">
        <v>80</v>
      </c>
      <c r="B15" s="30" t="s">
        <v>111</v>
      </c>
      <c r="C15" s="31">
        <v>2020</v>
      </c>
      <c r="D15" s="44">
        <f t="shared" si="0"/>
        <v>32.06071428571429</v>
      </c>
      <c r="E15" s="44">
        <f t="shared" si="1"/>
        <v>35</v>
      </c>
      <c r="F15" s="44">
        <f t="shared" si="2"/>
        <v>12</v>
      </c>
      <c r="G15" s="44">
        <f t="shared" si="3"/>
        <v>50.625</v>
      </c>
      <c r="H15" s="40">
        <f>COUNT(I15,J15,K15,L15,M15,N15,O15,P15,Q15,R15,S15,T15,U15,V15,W15,X15,Y15,#REF!,AA14)</f>
        <v>6</v>
      </c>
      <c r="I15" s="71"/>
      <c r="J15" s="104"/>
      <c r="K15" s="104"/>
      <c r="L15" s="104"/>
      <c r="M15" s="104"/>
      <c r="N15" s="104"/>
      <c r="O15" s="104">
        <v>13</v>
      </c>
      <c r="P15" s="104"/>
      <c r="Q15" s="104"/>
      <c r="R15" s="104">
        <v>12</v>
      </c>
      <c r="S15" s="104"/>
      <c r="T15" s="104"/>
      <c r="U15" s="104"/>
      <c r="V15" s="104">
        <v>50.625</v>
      </c>
      <c r="W15" s="104"/>
      <c r="X15" s="104">
        <v>35</v>
      </c>
      <c r="Y15" s="104">
        <v>48</v>
      </c>
      <c r="Z15" s="104">
        <v>35</v>
      </c>
      <c r="AA15" s="107">
        <v>30.8</v>
      </c>
      <c r="AB15" s="104"/>
    </row>
    <row r="16" spans="1:28" x14ac:dyDescent="0.25">
      <c r="A16" t="s">
        <v>83</v>
      </c>
      <c r="B16" s="30" t="s">
        <v>111</v>
      </c>
      <c r="C16" s="31">
        <v>2020</v>
      </c>
      <c r="D16" s="44">
        <f t="shared" si="0"/>
        <v>4.666666666666667</v>
      </c>
      <c r="E16" s="44">
        <f t="shared" si="1"/>
        <v>6.08</v>
      </c>
      <c r="F16" s="44">
        <f t="shared" si="2"/>
        <v>0.54</v>
      </c>
      <c r="G16" s="44">
        <f t="shared" si="3"/>
        <v>7</v>
      </c>
      <c r="H16" s="40">
        <f>COUNT(I16,J16,K16,L16,M16,N16,O16,P16,Q16,R16,S16,T16,U16,V16,W16,X16,Y16,Z16,AA16)</f>
        <v>6</v>
      </c>
      <c r="I16" s="71"/>
      <c r="J16" s="104"/>
      <c r="K16" s="104"/>
      <c r="L16" s="104"/>
      <c r="M16" s="104"/>
      <c r="N16" s="104"/>
      <c r="O16" s="104"/>
      <c r="P16" s="104"/>
      <c r="Q16" s="104"/>
      <c r="R16" s="104">
        <v>6</v>
      </c>
      <c r="S16" s="104"/>
      <c r="T16" s="104"/>
      <c r="U16" s="104">
        <v>0.54</v>
      </c>
      <c r="V16" s="104"/>
      <c r="W16" s="104"/>
      <c r="X16" s="104">
        <v>7</v>
      </c>
      <c r="Y16" s="104">
        <v>1.3</v>
      </c>
      <c r="Z16" s="104">
        <v>7</v>
      </c>
      <c r="AA16" s="104">
        <v>6.1599999999999993</v>
      </c>
      <c r="AB16" s="104">
        <v>8</v>
      </c>
    </row>
    <row r="17" spans="1:28" x14ac:dyDescent="0.25">
      <c r="A17" t="s">
        <v>55</v>
      </c>
      <c r="B17" s="30" t="s">
        <v>111</v>
      </c>
      <c r="C17" s="31">
        <v>2020</v>
      </c>
      <c r="D17" s="44">
        <f>AVERAGE(I17:AB17)</f>
        <v>45.189350000000005</v>
      </c>
      <c r="E17" s="44">
        <f>MEDIAN(I17:AB17)</f>
        <v>45.189350000000005</v>
      </c>
      <c r="F17" s="44">
        <f>MIN(I17:AB17)</f>
        <v>0</v>
      </c>
      <c r="G17" s="44">
        <f>MAX(I17:AB17)</f>
        <v>90.378700000000009</v>
      </c>
      <c r="H17" s="40">
        <f>COUNT(I17,J17,K17,L17,M17,N17,O17,P17,Q17,R17,S17,T17,U17,V17,W17,#REF!,Y17,#REF!,AA17)</f>
        <v>1</v>
      </c>
      <c r="I17" s="71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7"/>
      <c r="Y17" s="104"/>
      <c r="Z17" s="107">
        <v>0</v>
      </c>
      <c r="AA17" s="104">
        <v>90.378700000000009</v>
      </c>
      <c r="AB17" s="104"/>
    </row>
    <row r="18" spans="1:28" x14ac:dyDescent="0.25">
      <c r="B18" s="30"/>
      <c r="C18" s="31"/>
      <c r="D18" s="44"/>
      <c r="E18" s="44"/>
      <c r="F18" s="44"/>
      <c r="G18" s="44"/>
      <c r="H18" s="40"/>
      <c r="I18" s="101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4"/>
      <c r="Y18" s="103"/>
      <c r="Z18" s="104"/>
      <c r="AA18" s="103"/>
      <c r="AB18" s="103"/>
    </row>
    <row r="19" spans="1:28" x14ac:dyDescent="0.25">
      <c r="B19" s="30"/>
      <c r="C19" s="31"/>
      <c r="D19" s="44"/>
      <c r="E19" s="44"/>
      <c r="F19" s="44"/>
      <c r="G19" s="44"/>
      <c r="H19" s="40"/>
      <c r="I19" s="64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40"/>
      <c r="Y19" s="99"/>
      <c r="Z19" s="40"/>
      <c r="AA19" s="99"/>
      <c r="AB19" s="99"/>
    </row>
    <row r="20" spans="1:28" ht="58.5" customHeight="1" x14ac:dyDescent="0.25">
      <c r="A20" s="98" t="s">
        <v>16</v>
      </c>
      <c r="B20" s="82" t="s">
        <v>111</v>
      </c>
      <c r="C20" s="82">
        <v>2050</v>
      </c>
      <c r="D20" s="83">
        <f>AVERAGE(F20:G20)</f>
        <v>9.25</v>
      </c>
      <c r="E20" s="83">
        <f>AVERAGE(F20:G20)</f>
        <v>9.25</v>
      </c>
      <c r="F20" s="83">
        <v>6.5</v>
      </c>
      <c r="G20" s="83">
        <f>F8</f>
        <v>12</v>
      </c>
      <c r="H20" s="97" t="s">
        <v>222</v>
      </c>
      <c r="I20" s="64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40"/>
      <c r="Y20" s="99"/>
      <c r="Z20" s="40"/>
      <c r="AA20" s="99"/>
      <c r="AB20" s="99"/>
    </row>
    <row r="21" spans="1:28" ht="44.25" customHeight="1" x14ac:dyDescent="0.25">
      <c r="A21" s="98" t="s">
        <v>37</v>
      </c>
      <c r="B21" s="82" t="s">
        <v>111</v>
      </c>
      <c r="C21" s="82">
        <v>2050</v>
      </c>
      <c r="D21" s="83">
        <f>AVERAGE(F21:G21)</f>
        <v>97</v>
      </c>
      <c r="E21" s="83">
        <f>AVERAGE(F21:G21)</f>
        <v>97</v>
      </c>
      <c r="F21" s="83">
        <v>78</v>
      </c>
      <c r="G21" s="83">
        <f>F12</f>
        <v>116</v>
      </c>
      <c r="H21" s="97" t="s">
        <v>222</v>
      </c>
      <c r="I21" s="64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40"/>
      <c r="Y21" s="99"/>
      <c r="Z21" s="40"/>
      <c r="AA21" s="99"/>
      <c r="AB21" s="99"/>
    </row>
    <row r="22" spans="1:28" x14ac:dyDescent="0.25">
      <c r="A22" s="26"/>
      <c r="B22" s="32"/>
      <c r="C22" s="32"/>
      <c r="D22" s="26"/>
      <c r="E22" s="26"/>
      <c r="F22" s="26"/>
      <c r="G22" s="26"/>
      <c r="H22" s="89"/>
      <c r="I22" s="65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</row>
    <row r="44" spans="4:4" x14ac:dyDescent="0.25">
      <c r="D44" s="45"/>
    </row>
    <row r="46" spans="4:4" x14ac:dyDescent="0.25">
      <c r="D46" s="45"/>
    </row>
    <row r="49" spans="4:4" x14ac:dyDescent="0.25">
      <c r="D49" s="45"/>
    </row>
    <row r="51" spans="4:4" x14ac:dyDescent="0.25">
      <c r="D51" s="45"/>
    </row>
    <row r="52" spans="4:4" x14ac:dyDescent="0.25">
      <c r="D52" s="45"/>
    </row>
  </sheetData>
  <sortState xmlns:xlrd2="http://schemas.microsoft.com/office/spreadsheetml/2017/richdata2" ref="G22:G36">
    <sortCondition ref="G2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R49"/>
  <sheetViews>
    <sheetView zoomScale="85" zoomScaleNormal="85" workbookViewId="0">
      <pane xSplit="1" topLeftCell="B1" activePane="topRight" state="frozen"/>
      <selection pane="topRight" activeCell="Q15" sqref="Q15"/>
    </sheetView>
  </sheetViews>
  <sheetFormatPr defaultRowHeight="15" x14ac:dyDescent="0.25"/>
  <cols>
    <col min="1" max="1" width="14.42578125" bestFit="1" customWidth="1"/>
    <col min="6" max="6" width="11.140625" customWidth="1"/>
    <col min="8" max="8" width="34.140625" customWidth="1"/>
    <col min="9" max="9" width="16" bestFit="1" customWidth="1"/>
    <col min="10" max="11" width="13.5703125" bestFit="1" customWidth="1"/>
    <col min="12" max="13" width="11.85546875" bestFit="1" customWidth="1"/>
    <col min="14" max="14" width="14.140625" bestFit="1" customWidth="1"/>
    <col min="15" max="15" width="16" bestFit="1" customWidth="1"/>
    <col min="16" max="18" width="12.28515625" bestFit="1" customWidth="1"/>
  </cols>
  <sheetData>
    <row r="1" spans="1:18" x14ac:dyDescent="0.25">
      <c r="A1" s="53" t="s">
        <v>70</v>
      </c>
      <c r="B1" s="27" t="s">
        <v>71</v>
      </c>
      <c r="C1" s="27" t="s">
        <v>72</v>
      </c>
      <c r="D1" s="129" t="s">
        <v>73</v>
      </c>
      <c r="E1" s="130"/>
      <c r="F1" s="130"/>
      <c r="G1" s="130"/>
      <c r="H1" s="131"/>
      <c r="I1" s="61" t="s">
        <v>100</v>
      </c>
      <c r="J1" s="66" t="s">
        <v>114</v>
      </c>
      <c r="K1" s="61" t="s">
        <v>114</v>
      </c>
      <c r="L1" s="66" t="s">
        <v>112</v>
      </c>
      <c r="M1" s="61" t="s">
        <v>113</v>
      </c>
      <c r="N1" s="66" t="s">
        <v>123</v>
      </c>
      <c r="O1" s="61" t="s">
        <v>125</v>
      </c>
      <c r="P1" s="66" t="s">
        <v>127</v>
      </c>
      <c r="Q1" s="61" t="s">
        <v>127</v>
      </c>
      <c r="R1" s="55" t="s">
        <v>128</v>
      </c>
    </row>
    <row r="2" spans="1:18" ht="40.5" x14ac:dyDescent="0.25">
      <c r="A2" s="23"/>
      <c r="B2" s="28"/>
      <c r="C2" s="28"/>
      <c r="D2" s="90" t="s">
        <v>95</v>
      </c>
      <c r="E2" s="33" t="s">
        <v>96</v>
      </c>
      <c r="F2" s="33" t="s">
        <v>97</v>
      </c>
      <c r="G2" s="34" t="s">
        <v>98</v>
      </c>
      <c r="H2" s="36" t="s">
        <v>107</v>
      </c>
      <c r="I2" s="62" t="s">
        <v>75</v>
      </c>
      <c r="J2" s="67" t="s">
        <v>75</v>
      </c>
      <c r="K2" s="62" t="s">
        <v>75</v>
      </c>
      <c r="L2" s="67" t="s">
        <v>75</v>
      </c>
      <c r="M2" s="62" t="s">
        <v>75</v>
      </c>
      <c r="N2" s="67" t="s">
        <v>75</v>
      </c>
      <c r="O2" s="62" t="s">
        <v>75</v>
      </c>
      <c r="P2" s="67" t="s">
        <v>75</v>
      </c>
      <c r="Q2" s="62" t="s">
        <v>75</v>
      </c>
      <c r="R2" s="41" t="s">
        <v>75</v>
      </c>
    </row>
    <row r="3" spans="1:18" x14ac:dyDescent="0.25">
      <c r="A3" s="24"/>
      <c r="B3" s="29"/>
      <c r="C3" s="30"/>
      <c r="D3" s="91"/>
      <c r="E3" s="24"/>
      <c r="F3" s="24"/>
      <c r="G3" s="24"/>
      <c r="H3" s="40"/>
      <c r="I3" s="71"/>
      <c r="J3" s="71"/>
      <c r="K3" s="71"/>
      <c r="L3" s="71"/>
      <c r="M3" s="71"/>
      <c r="N3" s="71"/>
      <c r="O3" s="71"/>
      <c r="P3" s="71"/>
      <c r="Q3" s="71"/>
      <c r="R3" s="104"/>
    </row>
    <row r="4" spans="1:18" x14ac:dyDescent="0.25">
      <c r="A4" t="s">
        <v>3</v>
      </c>
      <c r="B4" s="30" t="s">
        <v>111</v>
      </c>
      <c r="C4" s="31">
        <v>2020</v>
      </c>
      <c r="D4" s="92">
        <f t="shared" ref="D4:D15" si="0">AVERAGE(I4,J4,K4,L4,M4,N4,O4,P4,Q4,R4)</f>
        <v>1612.5</v>
      </c>
      <c r="E4" s="44">
        <f t="shared" ref="E4:E15" si="1">MEDIAN(I4,J4,K4,L4,M4,N4,O4,P4,Q4,R4)</f>
        <v>1500</v>
      </c>
      <c r="F4" s="44">
        <f t="shared" ref="F4:F15" si="2">MIN(I4,J4,K4,L4,M4,N4,O4,P4,Q4,R4)</f>
        <v>1240</v>
      </c>
      <c r="G4" s="44">
        <f t="shared" ref="G4:G15" si="3">MAX(I4,J4,K4,L4,M4,N4,O4,P4,Q4,R4)</f>
        <v>2210</v>
      </c>
      <c r="H4" s="40">
        <f>COUNT(I4,J4,K4,L4,M4,N4,O4,P4,Q4,R4,#REF!,#REF!,#REF!,#REF!,#REF!,#REF!,#REF!,#REF!,#REF!)</f>
        <v>4</v>
      </c>
      <c r="I4" s="71"/>
      <c r="J4" s="71"/>
      <c r="K4" s="71"/>
      <c r="L4" s="71">
        <v>2210</v>
      </c>
      <c r="M4" s="71">
        <v>1240</v>
      </c>
      <c r="N4" s="71"/>
      <c r="O4" s="71"/>
      <c r="P4" s="71">
        <v>1400</v>
      </c>
      <c r="Q4" s="71">
        <v>1600</v>
      </c>
      <c r="R4" s="104"/>
    </row>
    <row r="5" spans="1:18" x14ac:dyDescent="0.25">
      <c r="A5" t="s">
        <v>106</v>
      </c>
      <c r="B5" s="30" t="s">
        <v>111</v>
      </c>
      <c r="C5" s="31">
        <v>2020</v>
      </c>
      <c r="D5" s="92">
        <f t="shared" si="0"/>
        <v>0.6</v>
      </c>
      <c r="E5" s="44">
        <f t="shared" si="1"/>
        <v>0.8</v>
      </c>
      <c r="F5" s="44">
        <f t="shared" si="2"/>
        <v>0</v>
      </c>
      <c r="G5" s="44">
        <f t="shared" si="3"/>
        <v>1</v>
      </c>
      <c r="H5" s="40">
        <f>COUNT(I5,J5,K5,L5,M5,N5,O5,P5,Q5,R5,#REF!,#REF!,#REF!,#REF!,#REF!,#REF!,#REF!,#REF!,#REF!)</f>
        <v>3</v>
      </c>
      <c r="I5" s="71"/>
      <c r="J5" s="71"/>
      <c r="K5" s="71"/>
      <c r="L5" s="71"/>
      <c r="M5" s="71"/>
      <c r="N5" s="71"/>
      <c r="O5" s="71">
        <v>0.8</v>
      </c>
      <c r="P5" s="71">
        <v>0</v>
      </c>
      <c r="Q5" s="71">
        <v>1</v>
      </c>
      <c r="R5" s="104"/>
    </row>
    <row r="6" spans="1:18" x14ac:dyDescent="0.25">
      <c r="A6" t="s">
        <v>12</v>
      </c>
      <c r="B6" s="30" t="s">
        <v>111</v>
      </c>
      <c r="C6" s="31">
        <v>2020</v>
      </c>
      <c r="D6" s="92">
        <f t="shared" si="0"/>
        <v>563.6</v>
      </c>
      <c r="E6" s="44">
        <f t="shared" si="1"/>
        <v>525</v>
      </c>
      <c r="F6" s="44">
        <f t="shared" si="2"/>
        <v>358.9</v>
      </c>
      <c r="G6" s="44">
        <f t="shared" si="3"/>
        <v>845.5</v>
      </c>
      <c r="H6" s="40">
        <f>COUNT(I6,J6,K6,L6,M6,N6,O6,P6,Q6,R6,#REF!,#REF!,#REF!,#REF!,#REF!,#REF!,#REF!,#REF!,#REF!)</f>
        <v>4</v>
      </c>
      <c r="I6" s="71"/>
      <c r="J6" s="71"/>
      <c r="K6" s="71"/>
      <c r="L6" s="71"/>
      <c r="M6" s="71"/>
      <c r="N6" s="71"/>
      <c r="O6" s="71">
        <v>845.5</v>
      </c>
      <c r="P6" s="71">
        <v>470</v>
      </c>
      <c r="Q6" s="71">
        <v>580</v>
      </c>
      <c r="R6" s="104">
        <v>358.9</v>
      </c>
    </row>
    <row r="7" spans="1:18" x14ac:dyDescent="0.25">
      <c r="A7" t="s">
        <v>16</v>
      </c>
      <c r="B7" s="30" t="s">
        <v>111</v>
      </c>
      <c r="C7" s="31">
        <v>2020</v>
      </c>
      <c r="D7" s="92">
        <f t="shared" si="0"/>
        <v>2.5111111111111111</v>
      </c>
      <c r="E7" s="44">
        <f t="shared" si="1"/>
        <v>2</v>
      </c>
      <c r="F7" s="44">
        <f t="shared" si="2"/>
        <v>0</v>
      </c>
      <c r="G7" s="44">
        <f t="shared" si="3"/>
        <v>6</v>
      </c>
      <c r="H7" s="40">
        <f>COUNT(I7,J7,K7,L7,M7,N7,O7,P7,Q7,R7,#REF!,#REF!,#REF!,#REF!,#REF!,#REF!,#REF!,#REF!,#REF!)</f>
        <v>9</v>
      </c>
      <c r="I7" s="71"/>
      <c r="J7" s="105">
        <v>3.7</v>
      </c>
      <c r="K7" s="71">
        <v>1.8</v>
      </c>
      <c r="L7" s="71">
        <v>0</v>
      </c>
      <c r="M7" s="71">
        <v>0</v>
      </c>
      <c r="N7" s="71">
        <v>5.3999999999999995</v>
      </c>
      <c r="O7" s="71">
        <v>2.8</v>
      </c>
      <c r="P7" s="71">
        <v>2</v>
      </c>
      <c r="Q7" s="71">
        <v>6</v>
      </c>
      <c r="R7" s="104">
        <v>0.9</v>
      </c>
    </row>
    <row r="8" spans="1:18" x14ac:dyDescent="0.25">
      <c r="A8" t="s">
        <v>33</v>
      </c>
      <c r="B8" s="30" t="s">
        <v>111</v>
      </c>
      <c r="C8" s="31">
        <v>2020</v>
      </c>
      <c r="D8" s="92">
        <f t="shared" si="0"/>
        <v>545.5</v>
      </c>
      <c r="E8" s="44">
        <f t="shared" si="1"/>
        <v>780</v>
      </c>
      <c r="F8" s="44">
        <f t="shared" si="2"/>
        <v>56.5</v>
      </c>
      <c r="G8" s="44">
        <f t="shared" si="3"/>
        <v>800</v>
      </c>
      <c r="H8" s="40">
        <f>COUNT(I8,J8,K8,L8,M8,N8,O8,P8,Q8,R8,#REF!,#REF!,#REF!,#REF!,#REF!,#REF!,#REF!,#REF!,#REF!)</f>
        <v>3</v>
      </c>
      <c r="I8" s="71"/>
      <c r="J8" s="71"/>
      <c r="K8" s="71"/>
      <c r="L8" s="71"/>
      <c r="M8" s="71"/>
      <c r="N8" s="71"/>
      <c r="O8" s="71">
        <v>56.5</v>
      </c>
      <c r="P8" s="71">
        <v>780</v>
      </c>
      <c r="Q8" s="71">
        <v>800</v>
      </c>
      <c r="R8" s="104"/>
    </row>
    <row r="9" spans="1:18" x14ac:dyDescent="0.25">
      <c r="A9" t="s">
        <v>34</v>
      </c>
      <c r="B9" s="30" t="s">
        <v>111</v>
      </c>
      <c r="C9" s="31">
        <v>2020</v>
      </c>
      <c r="D9" s="92">
        <f t="shared" si="0"/>
        <v>104.825</v>
      </c>
      <c r="E9" s="44">
        <f t="shared" si="1"/>
        <v>109</v>
      </c>
      <c r="F9" s="44">
        <f t="shared" si="2"/>
        <v>75.300000000000011</v>
      </c>
      <c r="G9" s="44">
        <f t="shared" si="3"/>
        <v>126</v>
      </c>
      <c r="H9" s="40">
        <f>COUNT(I9,J9,K9,L9,M9,N9,O9,P9,Q9,R9,#REF!,#REF!,#REF!,#REF!,#REF!,#REF!,#REF!,#REF!,#REF!)</f>
        <v>4</v>
      </c>
      <c r="I9" s="71"/>
      <c r="J9" s="71"/>
      <c r="K9" s="71"/>
      <c r="L9" s="71"/>
      <c r="M9" s="71"/>
      <c r="N9" s="71"/>
      <c r="O9" s="71">
        <v>126</v>
      </c>
      <c r="P9" s="71">
        <v>99</v>
      </c>
      <c r="Q9" s="71">
        <v>119</v>
      </c>
      <c r="R9" s="104">
        <v>75.300000000000011</v>
      </c>
    </row>
    <row r="10" spans="1:18" x14ac:dyDescent="0.25">
      <c r="A10" t="s">
        <v>37</v>
      </c>
      <c r="B10" s="30" t="s">
        <v>111</v>
      </c>
      <c r="C10" s="31">
        <v>2020</v>
      </c>
      <c r="D10" s="92">
        <f t="shared" si="0"/>
        <v>18.955555555555556</v>
      </c>
      <c r="E10" s="44">
        <f t="shared" si="1"/>
        <v>12</v>
      </c>
      <c r="F10" s="44">
        <f t="shared" si="2"/>
        <v>0</v>
      </c>
      <c r="G10" s="44">
        <f t="shared" si="3"/>
        <v>51</v>
      </c>
      <c r="H10" s="40">
        <f>COUNT(I10,J10,K10,L10,M10,N10,O10,P10,Q10,R10,#REF!,#REF!,#REF!,#REF!,#REF!,#REF!,#REF!,#REF!,#REF!)</f>
        <v>9</v>
      </c>
      <c r="I10" s="71"/>
      <c r="J10" s="101">
        <v>49.6</v>
      </c>
      <c r="K10" s="71">
        <v>24.8</v>
      </c>
      <c r="L10" s="71">
        <v>0</v>
      </c>
      <c r="M10" s="71">
        <v>0</v>
      </c>
      <c r="N10" s="71">
        <v>27</v>
      </c>
      <c r="O10" s="71">
        <v>0</v>
      </c>
      <c r="P10" s="71">
        <v>12</v>
      </c>
      <c r="Q10" s="71">
        <v>51</v>
      </c>
      <c r="R10" s="104">
        <v>6.2</v>
      </c>
    </row>
    <row r="11" spans="1:18" x14ac:dyDescent="0.25">
      <c r="A11" t="s">
        <v>39</v>
      </c>
      <c r="B11" s="30" t="s">
        <v>111</v>
      </c>
      <c r="C11" s="31">
        <v>2020</v>
      </c>
      <c r="D11" s="92">
        <f t="shared" si="0"/>
        <v>37.699999999999996</v>
      </c>
      <c r="E11" s="44">
        <f t="shared" si="1"/>
        <v>37.699999999999996</v>
      </c>
      <c r="F11" s="44">
        <f t="shared" si="2"/>
        <v>37.699999999999996</v>
      </c>
      <c r="G11" s="44">
        <f t="shared" si="3"/>
        <v>37.699999999999996</v>
      </c>
      <c r="H11" s="40">
        <f>COUNT(I11,J11,K11,L11,M11,N11,O11,P11,Q11,R11,#REF!,#REF!,#REF!,#REF!,#REF!,#REF!,#REF!,#REF!,#REF!)</f>
        <v>1</v>
      </c>
      <c r="I11" s="71"/>
      <c r="J11" s="71"/>
      <c r="K11" s="71"/>
      <c r="L11" s="71"/>
      <c r="M11" s="71"/>
      <c r="N11" s="71"/>
      <c r="O11" s="71"/>
      <c r="P11" s="71"/>
      <c r="Q11" s="71"/>
      <c r="R11" s="104">
        <v>37.699999999999996</v>
      </c>
    </row>
    <row r="12" spans="1:18" x14ac:dyDescent="0.25">
      <c r="A12" t="s">
        <v>80</v>
      </c>
      <c r="B12" s="30" t="s">
        <v>111</v>
      </c>
      <c r="C12" s="31">
        <v>2020</v>
      </c>
      <c r="D12" s="92">
        <f t="shared" si="0"/>
        <v>3.66</v>
      </c>
      <c r="E12" s="44">
        <f t="shared" si="1"/>
        <v>4</v>
      </c>
      <c r="F12" s="44">
        <f t="shared" si="2"/>
        <v>0</v>
      </c>
      <c r="G12" s="44">
        <f t="shared" si="3"/>
        <v>9</v>
      </c>
      <c r="H12" s="40">
        <f>COUNT(I12,J12,K12,L12,M12,N12,O12,P12,Q12,R12,#REF!,#REF!,#REF!,#REF!,#REF!,#REF!,#REF!,#REF!,#REF!)</f>
        <v>5</v>
      </c>
      <c r="I12" s="71"/>
      <c r="J12" s="71"/>
      <c r="K12" s="71"/>
      <c r="L12" s="71"/>
      <c r="M12" s="71"/>
      <c r="N12" s="71">
        <v>9</v>
      </c>
      <c r="O12" s="71">
        <v>4</v>
      </c>
      <c r="P12" s="71">
        <v>0</v>
      </c>
      <c r="Q12" s="71">
        <v>4</v>
      </c>
      <c r="R12" s="104">
        <v>1.3</v>
      </c>
    </row>
    <row r="13" spans="1:18" x14ac:dyDescent="0.25">
      <c r="A13" t="s">
        <v>83</v>
      </c>
      <c r="B13" s="30" t="s">
        <v>111</v>
      </c>
      <c r="C13" s="31">
        <v>2020</v>
      </c>
      <c r="D13" s="92">
        <f t="shared" si="0"/>
        <v>0.52500000000000002</v>
      </c>
      <c r="E13" s="44">
        <f t="shared" si="1"/>
        <v>0.55000000000000004</v>
      </c>
      <c r="F13" s="44">
        <f t="shared" si="2"/>
        <v>0</v>
      </c>
      <c r="G13" s="44">
        <f t="shared" si="3"/>
        <v>1</v>
      </c>
      <c r="H13" s="40">
        <f>COUNT(I13,J13,K13,L13,M13,N13,O13,P13,Q13,R13,#REF!,#REF!,#REF!,#REF!,#REF!,#REF!,#REF!,#REF!,#REF!)</f>
        <v>4</v>
      </c>
      <c r="I13" s="71"/>
      <c r="J13" s="71"/>
      <c r="K13" s="71"/>
      <c r="L13" s="71"/>
      <c r="M13" s="71"/>
      <c r="N13" s="71"/>
      <c r="O13" s="71">
        <v>0.8</v>
      </c>
      <c r="P13" s="71">
        <v>0</v>
      </c>
      <c r="Q13" s="71">
        <v>1</v>
      </c>
      <c r="R13" s="104">
        <v>0.3</v>
      </c>
    </row>
    <row r="14" spans="1:18" x14ac:dyDescent="0.25">
      <c r="A14" t="s">
        <v>55</v>
      </c>
      <c r="B14" s="30" t="s">
        <v>111</v>
      </c>
      <c r="C14" s="31">
        <v>2020</v>
      </c>
      <c r="D14" s="92">
        <f t="shared" si="0"/>
        <v>45.199999999999996</v>
      </c>
      <c r="E14" s="44">
        <f t="shared" si="1"/>
        <v>45.199999999999996</v>
      </c>
      <c r="F14" s="44">
        <f t="shared" si="2"/>
        <v>0</v>
      </c>
      <c r="G14" s="44">
        <f t="shared" si="3"/>
        <v>90.399999999999991</v>
      </c>
      <c r="H14" s="40">
        <f>COUNT(I14,J14,K14,L14,M14,N14,O14,P14,Q14,R14,#REF!,#REF!,#REF!,#REF!,#REF!,#REF!,#REF!,#REF!,#REF!)</f>
        <v>2</v>
      </c>
      <c r="I14" s="71"/>
      <c r="J14" s="71"/>
      <c r="K14" s="71"/>
      <c r="L14" s="71"/>
      <c r="M14" s="71"/>
      <c r="N14" s="71"/>
      <c r="O14" s="71"/>
      <c r="P14" s="71"/>
      <c r="Q14" s="71">
        <v>0</v>
      </c>
      <c r="R14" s="104">
        <v>90.399999999999991</v>
      </c>
    </row>
    <row r="15" spans="1:18" x14ac:dyDescent="0.25">
      <c r="A15" t="s">
        <v>57</v>
      </c>
      <c r="B15" s="30" t="s">
        <v>111</v>
      </c>
      <c r="C15" s="31">
        <v>2020</v>
      </c>
      <c r="D15" s="92">
        <f t="shared" si="0"/>
        <v>5483.333333333333</v>
      </c>
      <c r="E15" s="44">
        <f t="shared" si="1"/>
        <v>5500</v>
      </c>
      <c r="F15" s="44">
        <f t="shared" si="2"/>
        <v>5450</v>
      </c>
      <c r="G15" s="44">
        <f t="shared" si="3"/>
        <v>5500</v>
      </c>
      <c r="H15" s="40">
        <f>COUNT(I15,J15,K15,L15,M15,N15,O15,P15,Q15,R15,#REF!,#REF!,#REF!,#REF!,#REF!,#REF!,#REF!,#REF!,#REF!)</f>
        <v>3</v>
      </c>
      <c r="I15" s="101"/>
      <c r="J15" s="102"/>
      <c r="K15" s="102"/>
      <c r="L15" s="102"/>
      <c r="M15" s="102"/>
      <c r="N15" s="102"/>
      <c r="O15" s="102">
        <v>5450</v>
      </c>
      <c r="P15" s="102">
        <v>5500</v>
      </c>
      <c r="Q15" s="102">
        <v>5500</v>
      </c>
      <c r="R15" s="103"/>
    </row>
    <row r="16" spans="1:18" x14ac:dyDescent="0.25">
      <c r="B16" s="30"/>
      <c r="C16" s="31"/>
      <c r="D16" s="92"/>
      <c r="E16" s="44"/>
      <c r="F16" s="44"/>
      <c r="G16" s="44"/>
      <c r="H16" s="40"/>
      <c r="I16" s="101"/>
      <c r="J16" s="102"/>
      <c r="K16" s="102"/>
      <c r="L16" s="102"/>
      <c r="M16" s="102"/>
      <c r="N16" s="102"/>
      <c r="O16" s="102"/>
      <c r="P16" s="102"/>
      <c r="Q16" s="102"/>
      <c r="R16" s="103"/>
    </row>
    <row r="17" spans="1:18" ht="45" x14ac:dyDescent="0.25">
      <c r="A17" t="s">
        <v>16</v>
      </c>
      <c r="B17" s="30" t="s">
        <v>111</v>
      </c>
      <c r="C17" s="31">
        <v>2050</v>
      </c>
      <c r="D17" s="92">
        <f>AVERAGE(F17:G17)</f>
        <v>1.2555555555555555</v>
      </c>
      <c r="E17" s="44">
        <f>AVERAGE(F17:G17)</f>
        <v>1.2555555555555555</v>
      </c>
      <c r="F17" s="44">
        <v>0</v>
      </c>
      <c r="G17" s="44">
        <f>D7</f>
        <v>2.5111111111111111</v>
      </c>
      <c r="H17" s="97" t="s">
        <v>223</v>
      </c>
      <c r="I17" s="64"/>
      <c r="J17" s="68"/>
      <c r="K17" s="68"/>
      <c r="L17" s="68"/>
      <c r="M17" s="68"/>
      <c r="N17" s="68"/>
      <c r="O17" s="68"/>
      <c r="P17" s="68"/>
      <c r="Q17" s="68"/>
      <c r="R17" s="99"/>
    </row>
    <row r="18" spans="1:18" ht="45" x14ac:dyDescent="0.25">
      <c r="A18" t="s">
        <v>37</v>
      </c>
      <c r="B18" s="30" t="s">
        <v>111</v>
      </c>
      <c r="C18" s="31">
        <v>2050</v>
      </c>
      <c r="D18" s="92">
        <f>AVERAGE(F18:G18)</f>
        <v>9.4777777777777779</v>
      </c>
      <c r="E18" s="44">
        <f>AVERAGE(F18:G18)</f>
        <v>9.4777777777777779</v>
      </c>
      <c r="F18" s="44">
        <v>0</v>
      </c>
      <c r="G18" s="44">
        <f>D10</f>
        <v>18.955555555555556</v>
      </c>
      <c r="H18" s="97" t="s">
        <v>224</v>
      </c>
      <c r="I18" s="64"/>
      <c r="J18" s="68"/>
      <c r="K18" s="68"/>
      <c r="L18" s="68"/>
      <c r="M18" s="68"/>
      <c r="N18" s="68"/>
      <c r="O18" s="68"/>
      <c r="P18" s="68"/>
      <c r="Q18" s="68"/>
      <c r="R18" s="99"/>
    </row>
    <row r="19" spans="1:18" x14ac:dyDescent="0.25">
      <c r="A19" s="26"/>
      <c r="B19" s="32"/>
      <c r="C19" s="32"/>
      <c r="D19" s="95"/>
      <c r="E19" s="26"/>
      <c r="F19" s="26"/>
      <c r="G19" s="26"/>
      <c r="H19" s="89"/>
      <c r="I19" s="65"/>
      <c r="J19" s="65"/>
      <c r="K19" s="65"/>
      <c r="L19" s="65"/>
      <c r="M19" s="65"/>
      <c r="N19" s="65"/>
      <c r="O19" s="65"/>
      <c r="P19" s="65"/>
      <c r="Q19" s="65"/>
      <c r="R19" s="37"/>
    </row>
    <row r="41" spans="4:4" x14ac:dyDescent="0.25">
      <c r="D41" s="45"/>
    </row>
    <row r="43" spans="4:4" x14ac:dyDescent="0.25">
      <c r="D43" s="45"/>
    </row>
    <row r="46" spans="4:4" x14ac:dyDescent="0.25">
      <c r="D46" s="45"/>
    </row>
    <row r="48" spans="4:4" x14ac:dyDescent="0.25">
      <c r="D48" s="45"/>
    </row>
    <row r="49" spans="4:4" x14ac:dyDescent="0.25">
      <c r="D49" s="45"/>
    </row>
  </sheetData>
  <mergeCells count="1">
    <mergeCell ref="D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T13"/>
  <sheetViews>
    <sheetView workbookViewId="0">
      <pane xSplit="1" topLeftCell="B1" activePane="topRight" state="frozen"/>
      <selection pane="topRight" activeCell="I21" sqref="I21"/>
    </sheetView>
  </sheetViews>
  <sheetFormatPr defaultRowHeight="15" x14ac:dyDescent="0.25"/>
  <cols>
    <col min="1" max="1" width="12.85546875" bestFit="1" customWidth="1"/>
    <col min="8" max="8" width="23.140625" customWidth="1"/>
    <col min="9" max="9" width="13.42578125" bestFit="1" customWidth="1"/>
    <col min="10" max="10" width="10.85546875" bestFit="1" customWidth="1"/>
    <col min="11" max="11" width="8.5703125" bestFit="1" customWidth="1"/>
    <col min="12" max="12" width="12.140625" bestFit="1" customWidth="1"/>
    <col min="13" max="13" width="12" bestFit="1" customWidth="1"/>
    <col min="14" max="14" width="13.5703125" bestFit="1" customWidth="1"/>
    <col min="15" max="15" width="12.42578125" bestFit="1" customWidth="1"/>
    <col min="16" max="16" width="16.140625" bestFit="1" customWidth="1"/>
    <col min="17" max="17" width="12.42578125" bestFit="1" customWidth="1"/>
    <col min="18" max="18" width="12" bestFit="1" customWidth="1"/>
    <col min="19" max="19" width="14.7109375" bestFit="1" customWidth="1"/>
    <col min="20" max="20" width="11.85546875" bestFit="1" customWidth="1"/>
  </cols>
  <sheetData>
    <row r="1" spans="1:20" x14ac:dyDescent="0.25">
      <c r="A1" s="53" t="s">
        <v>70</v>
      </c>
      <c r="B1" s="27" t="s">
        <v>71</v>
      </c>
      <c r="C1" s="27" t="s">
        <v>72</v>
      </c>
      <c r="D1" s="129" t="s">
        <v>73</v>
      </c>
      <c r="E1" s="130"/>
      <c r="F1" s="130"/>
      <c r="G1" s="130"/>
      <c r="H1" s="131"/>
      <c r="I1" s="61" t="s">
        <v>126</v>
      </c>
      <c r="J1" s="66" t="s">
        <v>116</v>
      </c>
      <c r="K1" s="61" t="s">
        <v>132</v>
      </c>
      <c r="L1" s="66" t="s">
        <v>133</v>
      </c>
      <c r="M1" s="61" t="s">
        <v>120</v>
      </c>
      <c r="N1" s="66" t="s">
        <v>134</v>
      </c>
      <c r="O1" s="61" t="s">
        <v>128</v>
      </c>
      <c r="P1" s="66" t="s">
        <v>100</v>
      </c>
      <c r="Q1" s="61" t="s">
        <v>127</v>
      </c>
      <c r="R1" s="66" t="s">
        <v>135</v>
      </c>
      <c r="S1" s="61" t="s">
        <v>119</v>
      </c>
      <c r="T1" s="55" t="s">
        <v>136</v>
      </c>
    </row>
    <row r="2" spans="1:20" ht="40.5" x14ac:dyDescent="0.25">
      <c r="A2" s="23"/>
      <c r="B2" s="28"/>
      <c r="C2" s="28"/>
      <c r="D2" s="90" t="s">
        <v>95</v>
      </c>
      <c r="E2" s="33" t="s">
        <v>96</v>
      </c>
      <c r="F2" s="33" t="s">
        <v>97</v>
      </c>
      <c r="G2" s="34" t="s">
        <v>98</v>
      </c>
      <c r="H2" s="36" t="s">
        <v>107</v>
      </c>
      <c r="I2" s="62" t="s">
        <v>75</v>
      </c>
      <c r="J2" s="67" t="s">
        <v>75</v>
      </c>
      <c r="K2" s="62" t="s">
        <v>75</v>
      </c>
      <c r="L2" s="67" t="s">
        <v>75</v>
      </c>
      <c r="M2" s="62" t="s">
        <v>75</v>
      </c>
      <c r="N2" s="67" t="s">
        <v>75</v>
      </c>
      <c r="O2" s="62" t="s">
        <v>75</v>
      </c>
      <c r="P2" s="67" t="s">
        <v>75</v>
      </c>
      <c r="Q2" s="62" t="s">
        <v>75</v>
      </c>
      <c r="R2" s="67" t="s">
        <v>75</v>
      </c>
      <c r="S2" s="62" t="s">
        <v>75</v>
      </c>
      <c r="T2" s="41" t="s">
        <v>75</v>
      </c>
    </row>
    <row r="3" spans="1:20" x14ac:dyDescent="0.25">
      <c r="A3" s="24"/>
      <c r="B3" s="29"/>
      <c r="C3" s="30"/>
      <c r="D3" s="91"/>
      <c r="E3" s="24"/>
      <c r="F3" s="24"/>
      <c r="G3" s="24"/>
      <c r="H3" s="40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104"/>
    </row>
    <row r="4" spans="1:20" x14ac:dyDescent="0.25">
      <c r="A4" t="s">
        <v>3</v>
      </c>
      <c r="B4" s="30" t="s">
        <v>111</v>
      </c>
      <c r="C4" s="31">
        <v>2020</v>
      </c>
      <c r="D4" s="92">
        <f t="shared" ref="D4:D10" si="0">AVERAGE(I4,J4,K4,L4,M4,N4,O4,P4,Q4,R4,S4,T4,U4,Y4,AC4,AG4,AK4,AO4)</f>
        <v>2003.75</v>
      </c>
      <c r="E4" s="44">
        <f t="shared" ref="E4:E10" si="1">MEDIAN(I4,J4,K4,L4,M4,N4,O4,P4,Q4,R4,S4,T4,U4,Y4,AC4,AG4,AK4,AO4)</f>
        <v>2003.75</v>
      </c>
      <c r="F4" s="44">
        <f t="shared" ref="F4:F10" si="2">MIN(I4,J4,K4,L4,M4,N4,O4,P4,Q4,R4,S4,T4,U4,Y4,AC4,AG4,AK4,AO4)</f>
        <v>7.5</v>
      </c>
      <c r="G4" s="44">
        <f t="shared" ref="G4:G10" si="3">MAX(I4,J4,K4,L4,M4,N4,O4,P4,Q4,R4,S4,T4,U4,Y4,AC4,AG4,AK4,AO4)</f>
        <v>4000</v>
      </c>
      <c r="H4" s="40">
        <f t="shared" ref="H4:H10" si="4">COUNT(I4,J4,K4,L4,M4,N4,O4,P4,Q4,R4,S4,T4,U4,Y4,AC4,AG4,AK4,AO4,AS4)</f>
        <v>2</v>
      </c>
      <c r="I4" s="71"/>
      <c r="J4" s="71"/>
      <c r="K4" s="71"/>
      <c r="L4" s="71">
        <v>4000</v>
      </c>
      <c r="M4" s="71"/>
      <c r="N4" s="71"/>
      <c r="O4" s="71"/>
      <c r="P4" s="71"/>
      <c r="Q4" s="71">
        <v>7.5</v>
      </c>
      <c r="R4" s="71"/>
      <c r="S4" s="71"/>
      <c r="T4" s="104"/>
    </row>
    <row r="5" spans="1:20" x14ac:dyDescent="0.25">
      <c r="A5" t="s">
        <v>20</v>
      </c>
      <c r="B5" s="30" t="s">
        <v>111</v>
      </c>
      <c r="C5" s="31">
        <v>2020</v>
      </c>
      <c r="D5" s="92">
        <f t="shared" si="0"/>
        <v>9</v>
      </c>
      <c r="E5" s="44">
        <f t="shared" si="1"/>
        <v>9</v>
      </c>
      <c r="F5" s="44">
        <f t="shared" si="2"/>
        <v>9</v>
      </c>
      <c r="G5" s="44">
        <f t="shared" si="3"/>
        <v>9</v>
      </c>
      <c r="H5" s="40">
        <f t="shared" si="4"/>
        <v>1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>
        <v>9</v>
      </c>
      <c r="T5" s="104"/>
    </row>
    <row r="6" spans="1:20" x14ac:dyDescent="0.25">
      <c r="A6" t="s">
        <v>29</v>
      </c>
      <c r="B6" s="30" t="s">
        <v>111</v>
      </c>
      <c r="C6" s="31">
        <v>2020</v>
      </c>
      <c r="D6" s="92">
        <f t="shared" si="0"/>
        <v>138.10166666666666</v>
      </c>
      <c r="E6" s="44">
        <f t="shared" si="1"/>
        <v>72.38</v>
      </c>
      <c r="F6" s="44">
        <f t="shared" si="2"/>
        <v>5.9250000000000007</v>
      </c>
      <c r="G6" s="44">
        <f t="shared" si="3"/>
        <v>336</v>
      </c>
      <c r="H6" s="40">
        <f t="shared" si="4"/>
        <v>3</v>
      </c>
      <c r="I6" s="71"/>
      <c r="J6" s="101">
        <v>336</v>
      </c>
      <c r="K6" s="71"/>
      <c r="L6" s="101"/>
      <c r="M6" s="71"/>
      <c r="N6" s="101">
        <v>72.38</v>
      </c>
      <c r="O6" s="71">
        <v>5.9250000000000007</v>
      </c>
      <c r="P6" s="101"/>
      <c r="Q6" s="71"/>
      <c r="R6" s="101"/>
      <c r="S6" s="71"/>
      <c r="T6" s="107"/>
    </row>
    <row r="7" spans="1:20" x14ac:dyDescent="0.25">
      <c r="A7" t="s">
        <v>38</v>
      </c>
      <c r="B7" s="30" t="s">
        <v>111</v>
      </c>
      <c r="C7" s="31">
        <v>2020</v>
      </c>
      <c r="D7" s="92">
        <f t="shared" si="0"/>
        <v>1.3</v>
      </c>
      <c r="E7" s="44">
        <f t="shared" si="1"/>
        <v>1.3</v>
      </c>
      <c r="F7" s="44">
        <f t="shared" si="2"/>
        <v>1.3</v>
      </c>
      <c r="G7" s="44">
        <f t="shared" si="3"/>
        <v>1.3</v>
      </c>
      <c r="H7" s="40">
        <f t="shared" si="4"/>
        <v>1</v>
      </c>
      <c r="I7" s="71"/>
      <c r="J7" s="71"/>
      <c r="K7" s="71"/>
      <c r="L7" s="71"/>
      <c r="M7" s="71"/>
      <c r="N7" s="71"/>
      <c r="O7" s="71">
        <v>1.3</v>
      </c>
      <c r="P7" s="71"/>
      <c r="Q7" s="71"/>
      <c r="R7" s="71"/>
      <c r="S7" s="71"/>
      <c r="T7" s="104"/>
    </row>
    <row r="8" spans="1:20" x14ac:dyDescent="0.25">
      <c r="A8" t="s">
        <v>48</v>
      </c>
      <c r="B8" s="30" t="s">
        <v>111</v>
      </c>
      <c r="C8" s="31">
        <v>2020</v>
      </c>
      <c r="D8" s="92">
        <f t="shared" si="0"/>
        <v>38.839469696969701</v>
      </c>
      <c r="E8" s="44">
        <f t="shared" si="1"/>
        <v>24</v>
      </c>
      <c r="F8" s="44">
        <f t="shared" si="2"/>
        <v>5.17</v>
      </c>
      <c r="G8" s="44">
        <f t="shared" si="3"/>
        <v>80</v>
      </c>
      <c r="H8" s="40">
        <f t="shared" si="4"/>
        <v>11</v>
      </c>
      <c r="I8" s="71">
        <v>80</v>
      </c>
      <c r="J8" s="71">
        <v>24</v>
      </c>
      <c r="K8" s="71">
        <v>54.812499999999993</v>
      </c>
      <c r="L8" s="71">
        <v>80</v>
      </c>
      <c r="M8" s="71">
        <v>49.666666666666664</v>
      </c>
      <c r="N8" s="71">
        <v>5.17</v>
      </c>
      <c r="O8" s="71">
        <v>63.584999999999994</v>
      </c>
      <c r="P8" s="71">
        <v>10</v>
      </c>
      <c r="Q8" s="71">
        <v>20</v>
      </c>
      <c r="R8" s="71">
        <v>20</v>
      </c>
      <c r="S8" s="71">
        <v>20</v>
      </c>
      <c r="T8" s="104"/>
    </row>
    <row r="9" spans="1:20" x14ac:dyDescent="0.25">
      <c r="A9" t="s">
        <v>89</v>
      </c>
      <c r="B9" s="30" t="s">
        <v>111</v>
      </c>
      <c r="C9" s="31">
        <v>2020</v>
      </c>
      <c r="D9" s="92">
        <f t="shared" si="0"/>
        <v>350.54</v>
      </c>
      <c r="E9" s="44">
        <f t="shared" si="1"/>
        <v>350.54</v>
      </c>
      <c r="F9" s="44">
        <f t="shared" si="2"/>
        <v>124.08</v>
      </c>
      <c r="G9" s="44">
        <f t="shared" si="3"/>
        <v>577</v>
      </c>
      <c r="H9" s="40">
        <f t="shared" si="4"/>
        <v>2</v>
      </c>
      <c r="I9" s="71"/>
      <c r="J9" s="71">
        <v>577</v>
      </c>
      <c r="K9" s="71"/>
      <c r="L9" s="71"/>
      <c r="M9" s="71"/>
      <c r="N9" s="71">
        <v>124.08</v>
      </c>
      <c r="O9" s="71"/>
      <c r="P9" s="71"/>
      <c r="Q9" s="71"/>
      <c r="R9" s="71"/>
      <c r="S9" s="71"/>
      <c r="T9" s="104"/>
    </row>
    <row r="10" spans="1:20" x14ac:dyDescent="0.25">
      <c r="A10" t="s">
        <v>57</v>
      </c>
      <c r="B10" s="30" t="s">
        <v>111</v>
      </c>
      <c r="C10" s="31">
        <v>2020</v>
      </c>
      <c r="D10" s="92">
        <f t="shared" si="0"/>
        <v>16.734999999999999</v>
      </c>
      <c r="E10" s="44">
        <f t="shared" si="1"/>
        <v>16.734999999999999</v>
      </c>
      <c r="F10" s="44">
        <f t="shared" si="2"/>
        <v>16.734999999999999</v>
      </c>
      <c r="G10" s="44">
        <f t="shared" si="3"/>
        <v>16.734999999999999</v>
      </c>
      <c r="H10" s="40">
        <f t="shared" si="4"/>
        <v>1</v>
      </c>
      <c r="I10" s="101"/>
      <c r="J10" s="102"/>
      <c r="K10" s="102"/>
      <c r="L10" s="102"/>
      <c r="M10" s="101"/>
      <c r="N10" s="102"/>
      <c r="O10" s="102">
        <v>16.734999999999999</v>
      </c>
      <c r="P10" s="102"/>
      <c r="Q10" s="102"/>
      <c r="R10" s="102"/>
      <c r="S10" s="101"/>
      <c r="T10" s="103"/>
    </row>
    <row r="11" spans="1:20" x14ac:dyDescent="0.25">
      <c r="B11" s="30"/>
      <c r="C11" s="31"/>
      <c r="D11" s="92"/>
      <c r="E11" s="44"/>
      <c r="F11" s="44"/>
      <c r="G11" s="44"/>
      <c r="H11" s="40"/>
      <c r="I11" s="101"/>
      <c r="J11" s="102"/>
      <c r="K11" s="102"/>
      <c r="L11" s="102"/>
      <c r="M11" s="101"/>
      <c r="N11" s="102"/>
      <c r="O11" s="102"/>
      <c r="P11" s="102"/>
      <c r="Q11" s="102"/>
      <c r="R11" s="102"/>
      <c r="S11" s="101"/>
      <c r="T11" s="103"/>
    </row>
    <row r="12" spans="1:20" ht="75" x14ac:dyDescent="0.25">
      <c r="A12" s="98" t="s">
        <v>48</v>
      </c>
      <c r="B12" s="82" t="s">
        <v>111</v>
      </c>
      <c r="C12" s="82">
        <v>2050</v>
      </c>
      <c r="D12" s="93">
        <f>AVERAGE(F12:G12)</f>
        <v>3.085</v>
      </c>
      <c r="E12" s="83">
        <f>AVERAGE(F12:G12)</f>
        <v>3.085</v>
      </c>
      <c r="F12" s="83">
        <v>1</v>
      </c>
      <c r="G12" s="83">
        <f>F8</f>
        <v>5.17</v>
      </c>
      <c r="H12" s="97" t="s">
        <v>222</v>
      </c>
      <c r="I12" s="101"/>
      <c r="J12" s="102"/>
      <c r="K12" s="102"/>
      <c r="L12" s="102"/>
      <c r="M12" s="101"/>
      <c r="N12" s="102"/>
      <c r="O12" s="102"/>
      <c r="P12" s="102"/>
      <c r="Q12" s="102"/>
      <c r="R12" s="102"/>
      <c r="S12" s="101"/>
      <c r="T12" s="103"/>
    </row>
    <row r="13" spans="1:20" x14ac:dyDescent="0.25">
      <c r="A13" s="26"/>
      <c r="B13" s="32"/>
      <c r="C13" s="32"/>
      <c r="D13" s="95"/>
      <c r="E13" s="26"/>
      <c r="F13" s="26"/>
      <c r="G13" s="26"/>
      <c r="H13" s="89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37"/>
    </row>
  </sheetData>
  <sortState xmlns:xlrd2="http://schemas.microsoft.com/office/spreadsheetml/2017/richdata2" ref="E24:E42">
    <sortCondition ref="E24"/>
  </sortState>
  <mergeCells count="1">
    <mergeCell ref="D1:H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59999389629810485"/>
  </sheetPr>
  <dimension ref="A1:U19"/>
  <sheetViews>
    <sheetView zoomScale="85" zoomScaleNormal="85" workbookViewId="0">
      <pane xSplit="1" topLeftCell="B1" activePane="topRight" state="frozen"/>
      <selection pane="topRight" activeCell="A12" sqref="A12:XFD12"/>
    </sheetView>
  </sheetViews>
  <sheetFormatPr defaultRowHeight="15" x14ac:dyDescent="0.25"/>
  <cols>
    <col min="8" max="8" width="23.140625" customWidth="1"/>
    <col min="9" max="9" width="13.28515625" bestFit="1" customWidth="1"/>
    <col min="10" max="10" width="10.7109375" bestFit="1" customWidth="1"/>
    <col min="11" max="11" width="12" bestFit="1" customWidth="1"/>
    <col min="12" max="12" width="12.28515625" bestFit="1" customWidth="1"/>
    <col min="13" max="13" width="13.42578125" bestFit="1" customWidth="1"/>
    <col min="14" max="14" width="12.28515625" bestFit="1" customWidth="1"/>
    <col min="15" max="15" width="16" bestFit="1" customWidth="1"/>
    <col min="16" max="16" width="12.28515625" bestFit="1" customWidth="1"/>
    <col min="17" max="17" width="14.5703125" bestFit="1" customWidth="1"/>
    <col min="18" max="18" width="12.28515625" bestFit="1" customWidth="1"/>
    <col min="19" max="19" width="13.5703125" bestFit="1" customWidth="1"/>
    <col min="20" max="20" width="14.7109375" bestFit="1" customWidth="1"/>
  </cols>
  <sheetData>
    <row r="1" spans="1:21" x14ac:dyDescent="0.25">
      <c r="A1" s="53" t="s">
        <v>70</v>
      </c>
      <c r="B1" s="27" t="s">
        <v>71</v>
      </c>
      <c r="C1" s="27" t="s">
        <v>72</v>
      </c>
      <c r="D1" s="129" t="s">
        <v>73</v>
      </c>
      <c r="E1" s="130"/>
      <c r="F1" s="130"/>
      <c r="G1" s="130"/>
      <c r="H1" s="131"/>
      <c r="I1" s="61" t="s">
        <v>126</v>
      </c>
      <c r="J1" s="66" t="s">
        <v>116</v>
      </c>
      <c r="K1" s="61" t="s">
        <v>133</v>
      </c>
      <c r="L1" s="66" t="s">
        <v>120</v>
      </c>
      <c r="M1" s="61" t="s">
        <v>134</v>
      </c>
      <c r="N1" s="66" t="s">
        <v>128</v>
      </c>
      <c r="O1" s="61" t="s">
        <v>100</v>
      </c>
      <c r="P1" s="66" t="s">
        <v>127</v>
      </c>
      <c r="Q1" s="61" t="s">
        <v>119</v>
      </c>
      <c r="R1" s="66" t="s">
        <v>136</v>
      </c>
      <c r="S1" s="61" t="s">
        <v>114</v>
      </c>
      <c r="T1" s="55" t="s">
        <v>137</v>
      </c>
    </row>
    <row r="2" spans="1:21" ht="40.5" x14ac:dyDescent="0.25">
      <c r="A2" s="23"/>
      <c r="B2" s="28"/>
      <c r="C2" s="28"/>
      <c r="D2" s="90" t="s">
        <v>95</v>
      </c>
      <c r="E2" s="33" t="s">
        <v>96</v>
      </c>
      <c r="F2" s="33" t="s">
        <v>97</v>
      </c>
      <c r="G2" s="34" t="s">
        <v>98</v>
      </c>
      <c r="H2" s="36" t="s">
        <v>107</v>
      </c>
      <c r="I2" s="62" t="s">
        <v>75</v>
      </c>
      <c r="J2" s="67" t="s">
        <v>75</v>
      </c>
      <c r="K2" s="62" t="s">
        <v>75</v>
      </c>
      <c r="L2" s="67" t="s">
        <v>75</v>
      </c>
      <c r="M2" s="62" t="s">
        <v>75</v>
      </c>
      <c r="N2" s="67" t="s">
        <v>75</v>
      </c>
      <c r="O2" s="62" t="s">
        <v>75</v>
      </c>
      <c r="P2" s="67" t="s">
        <v>75</v>
      </c>
      <c r="Q2" s="62" t="s">
        <v>75</v>
      </c>
      <c r="R2" s="67" t="s">
        <v>75</v>
      </c>
      <c r="S2" s="62" t="s">
        <v>75</v>
      </c>
      <c r="T2" s="41" t="s">
        <v>75</v>
      </c>
    </row>
    <row r="3" spans="1:21" x14ac:dyDescent="0.25">
      <c r="A3" s="24"/>
      <c r="B3" s="29"/>
      <c r="C3" s="30"/>
      <c r="D3" s="91"/>
      <c r="E3" s="24"/>
      <c r="F3" s="24"/>
      <c r="G3" s="24"/>
      <c r="H3" s="40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104"/>
      <c r="U3" s="49"/>
    </row>
    <row r="4" spans="1:21" x14ac:dyDescent="0.25">
      <c r="A4" t="s">
        <v>3</v>
      </c>
      <c r="B4" s="30" t="s">
        <v>111</v>
      </c>
      <c r="C4" s="31">
        <v>2020</v>
      </c>
      <c r="D4" s="92">
        <f t="shared" ref="D4:D13" si="0">AVERAGE(I4,J4,K4,L4,M4,N4,O4,P4,Q4,R4,S4,T4,U4,Y4,AC4,AG4,AK4,AO4)</f>
        <v>16003.75</v>
      </c>
      <c r="E4" s="44">
        <f t="shared" ref="E4:E13" si="1">MEDIAN(I4,J4,K4,L4,M4,N4,O4,P4,Q4,R4,S4,T4,U4,Y4,AC4,AG4,AK4,AO4)</f>
        <v>16003.75</v>
      </c>
      <c r="F4" s="44">
        <f t="shared" ref="F4:F13" si="2">MIN(I4,J4,K4,L4,M4,N4,O4,P4,Q4,R4,S4,T4,U4,Y4,AC4,AG4,AK4,AO4)</f>
        <v>7.5</v>
      </c>
      <c r="G4" s="44">
        <f t="shared" ref="G4:G13" si="3">MAX(I4,J4,K4,L4,M4,N4,O4,P4,Q4,R4,S4,T4,U4,Y4,AC4,AG4,AK4,AO4)</f>
        <v>32000</v>
      </c>
      <c r="H4" s="40">
        <f t="shared" ref="H4:H13" si="4">COUNT(I4,J4,K4,L4,M4,N4,O4,P4,Q4,R4,S4,T4,U4,Y4,AC4,AG4,AK4,AO4,AS4)</f>
        <v>2</v>
      </c>
      <c r="I4" s="71"/>
      <c r="J4" s="71"/>
      <c r="K4" s="71">
        <v>32000</v>
      </c>
      <c r="L4" s="71"/>
      <c r="M4" s="71"/>
      <c r="N4" s="71"/>
      <c r="O4" s="71"/>
      <c r="P4" s="71">
        <v>7.5</v>
      </c>
      <c r="Q4" s="71"/>
      <c r="R4" s="71"/>
      <c r="S4" s="71"/>
      <c r="T4" s="104"/>
      <c r="U4" s="49"/>
    </row>
    <row r="5" spans="1:21" x14ac:dyDescent="0.25">
      <c r="A5" t="s">
        <v>10</v>
      </c>
      <c r="B5" s="30" t="s">
        <v>111</v>
      </c>
      <c r="C5" s="31">
        <v>2020</v>
      </c>
      <c r="D5" s="92">
        <f t="shared" si="0"/>
        <v>97.015185185185203</v>
      </c>
      <c r="E5" s="44">
        <f t="shared" si="1"/>
        <v>83.51</v>
      </c>
      <c r="F5" s="44">
        <f t="shared" si="2"/>
        <v>56.666666666666664</v>
      </c>
      <c r="G5" s="44">
        <f t="shared" si="3"/>
        <v>244.26</v>
      </c>
      <c r="H5" s="40">
        <f t="shared" si="4"/>
        <v>9</v>
      </c>
      <c r="I5" s="71">
        <v>85</v>
      </c>
      <c r="J5" s="71"/>
      <c r="K5" s="71">
        <v>85</v>
      </c>
      <c r="L5" s="71">
        <v>69.666666666666671</v>
      </c>
      <c r="M5" s="71">
        <v>83.51</v>
      </c>
      <c r="N5" s="71">
        <v>244.26</v>
      </c>
      <c r="O5" s="71"/>
      <c r="P5" s="71">
        <v>56.666666666666664</v>
      </c>
      <c r="Q5" s="71">
        <v>60</v>
      </c>
      <c r="R5" s="71">
        <v>72.333333333333329</v>
      </c>
      <c r="S5" s="71">
        <v>116.7</v>
      </c>
      <c r="T5" s="104"/>
      <c r="U5" s="49"/>
    </row>
    <row r="6" spans="1:21" x14ac:dyDescent="0.25">
      <c r="A6" t="s">
        <v>12</v>
      </c>
      <c r="B6" s="30" t="s">
        <v>111</v>
      </c>
      <c r="C6" s="31">
        <v>2020</v>
      </c>
      <c r="D6" s="92">
        <f t="shared" si="0"/>
        <v>61</v>
      </c>
      <c r="E6" s="44">
        <f t="shared" si="1"/>
        <v>61</v>
      </c>
      <c r="F6" s="44">
        <f t="shared" si="2"/>
        <v>61</v>
      </c>
      <c r="G6" s="44">
        <f t="shared" si="3"/>
        <v>61</v>
      </c>
      <c r="H6" s="40">
        <f t="shared" si="4"/>
        <v>1</v>
      </c>
      <c r="I6" s="71"/>
      <c r="J6" s="71"/>
      <c r="K6" s="71"/>
      <c r="L6" s="71"/>
      <c r="M6" s="71"/>
      <c r="N6" s="71">
        <v>61</v>
      </c>
      <c r="O6" s="71"/>
      <c r="P6" s="71"/>
      <c r="Q6" s="71"/>
      <c r="R6" s="71"/>
      <c r="S6" s="71"/>
      <c r="T6" s="104"/>
      <c r="U6" s="49"/>
    </row>
    <row r="7" spans="1:21" x14ac:dyDescent="0.25">
      <c r="A7" t="s">
        <v>25</v>
      </c>
      <c r="B7" s="30" t="s">
        <v>111</v>
      </c>
      <c r="C7" s="31">
        <v>2020</v>
      </c>
      <c r="D7" s="92">
        <f t="shared" si="0"/>
        <v>13.116666666666667</v>
      </c>
      <c r="E7" s="44">
        <f t="shared" si="1"/>
        <v>15.5</v>
      </c>
      <c r="F7" s="44">
        <f t="shared" si="2"/>
        <v>7.95</v>
      </c>
      <c r="G7" s="44">
        <f t="shared" si="3"/>
        <v>15.9</v>
      </c>
      <c r="H7" s="40">
        <f t="shared" si="4"/>
        <v>3</v>
      </c>
      <c r="I7" s="71"/>
      <c r="J7" s="71">
        <v>15.9</v>
      </c>
      <c r="K7" s="71"/>
      <c r="L7" s="71"/>
      <c r="M7" s="71">
        <v>7.95</v>
      </c>
      <c r="N7" s="71"/>
      <c r="O7" s="71"/>
      <c r="P7" s="71"/>
      <c r="Q7" s="71"/>
      <c r="R7" s="71"/>
      <c r="S7" s="71">
        <v>15.5</v>
      </c>
      <c r="T7" s="104"/>
      <c r="U7" s="49"/>
    </row>
    <row r="8" spans="1:21" x14ac:dyDescent="0.25">
      <c r="A8" t="s">
        <v>29</v>
      </c>
      <c r="B8" s="30" t="s">
        <v>111</v>
      </c>
      <c r="C8" s="31">
        <v>2020</v>
      </c>
      <c r="D8" s="92">
        <f t="shared" si="0"/>
        <v>7.8</v>
      </c>
      <c r="E8" s="44">
        <f t="shared" si="1"/>
        <v>7.8</v>
      </c>
      <c r="F8" s="44">
        <f t="shared" si="2"/>
        <v>7.8</v>
      </c>
      <c r="G8" s="44">
        <f t="shared" si="3"/>
        <v>7.8</v>
      </c>
      <c r="H8" s="40">
        <f t="shared" si="4"/>
        <v>1</v>
      </c>
      <c r="I8" s="71"/>
      <c r="J8" s="101"/>
      <c r="K8" s="71"/>
      <c r="L8" s="101"/>
      <c r="M8" s="71"/>
      <c r="N8" s="101">
        <v>7.8</v>
      </c>
      <c r="O8" s="71"/>
      <c r="P8" s="101"/>
      <c r="Q8" s="71"/>
      <c r="R8" s="101"/>
      <c r="S8" s="71"/>
      <c r="T8" s="107"/>
      <c r="U8" s="49"/>
    </row>
    <row r="9" spans="1:21" x14ac:dyDescent="0.25">
      <c r="A9" t="s">
        <v>34</v>
      </c>
      <c r="B9" s="30" t="s">
        <v>111</v>
      </c>
      <c r="C9" s="31">
        <v>2020</v>
      </c>
      <c r="D9" s="92">
        <f t="shared" si="0"/>
        <v>0.5</v>
      </c>
      <c r="E9" s="44">
        <f t="shared" si="1"/>
        <v>0.5</v>
      </c>
      <c r="F9" s="44">
        <f t="shared" si="2"/>
        <v>0.5</v>
      </c>
      <c r="G9" s="44">
        <f t="shared" si="3"/>
        <v>0.5</v>
      </c>
      <c r="H9" s="40">
        <f t="shared" si="4"/>
        <v>1</v>
      </c>
      <c r="I9" s="71"/>
      <c r="J9" s="71"/>
      <c r="K9" s="71"/>
      <c r="L9" s="71"/>
      <c r="M9" s="71"/>
      <c r="N9" s="71">
        <v>0.5</v>
      </c>
      <c r="O9" s="71"/>
      <c r="P9" s="71"/>
      <c r="Q9" s="71"/>
      <c r="R9" s="71"/>
      <c r="S9" s="71"/>
      <c r="T9" s="104"/>
      <c r="U9" s="49"/>
    </row>
    <row r="10" spans="1:21" x14ac:dyDescent="0.25">
      <c r="A10" t="s">
        <v>38</v>
      </c>
      <c r="B10" s="30" t="s">
        <v>111</v>
      </c>
      <c r="C10" s="31">
        <v>2020</v>
      </c>
      <c r="D10" s="92">
        <f t="shared" si="0"/>
        <v>15.59</v>
      </c>
      <c r="E10" s="44">
        <f t="shared" si="1"/>
        <v>15.59</v>
      </c>
      <c r="F10" s="44">
        <f t="shared" si="2"/>
        <v>15.59</v>
      </c>
      <c r="G10" s="44">
        <f t="shared" si="3"/>
        <v>15.59</v>
      </c>
      <c r="H10" s="40">
        <f t="shared" si="4"/>
        <v>1</v>
      </c>
      <c r="I10" s="71"/>
      <c r="J10" s="71"/>
      <c r="K10" s="71"/>
      <c r="L10" s="71"/>
      <c r="M10" s="71"/>
      <c r="N10" s="71">
        <v>15.59</v>
      </c>
      <c r="O10" s="71"/>
      <c r="P10" s="71"/>
      <c r="Q10" s="71"/>
      <c r="R10" s="71"/>
      <c r="S10" s="71"/>
      <c r="T10" s="104"/>
      <c r="U10" s="49"/>
    </row>
    <row r="11" spans="1:21" x14ac:dyDescent="0.25">
      <c r="A11" t="s">
        <v>48</v>
      </c>
      <c r="B11" s="30" t="s">
        <v>111</v>
      </c>
      <c r="C11" s="31">
        <v>2020</v>
      </c>
      <c r="D11" s="92">
        <f t="shared" si="0"/>
        <v>80</v>
      </c>
      <c r="E11" s="44">
        <f t="shared" si="1"/>
        <v>80</v>
      </c>
      <c r="F11" s="44">
        <f t="shared" si="2"/>
        <v>80</v>
      </c>
      <c r="G11" s="44">
        <f t="shared" si="3"/>
        <v>80</v>
      </c>
      <c r="H11" s="40">
        <f t="shared" si="4"/>
        <v>1</v>
      </c>
      <c r="I11" s="71"/>
      <c r="J11" s="71"/>
      <c r="K11" s="71">
        <v>80</v>
      </c>
      <c r="L11" s="71"/>
      <c r="M11" s="71"/>
      <c r="N11" s="71"/>
      <c r="O11" s="71"/>
      <c r="P11" s="71"/>
      <c r="Q11" s="71"/>
      <c r="R11" s="71"/>
      <c r="S11" s="71"/>
      <c r="T11" s="104"/>
      <c r="U11" s="49"/>
    </row>
    <row r="12" spans="1:21" x14ac:dyDescent="0.25">
      <c r="A12" t="s">
        <v>52</v>
      </c>
      <c r="B12" s="30" t="s">
        <v>111</v>
      </c>
      <c r="C12" s="31">
        <v>2020</v>
      </c>
      <c r="D12" s="92">
        <f t="shared" si="0"/>
        <v>94.618055555555543</v>
      </c>
      <c r="E12" s="44">
        <f t="shared" si="1"/>
        <v>91.84</v>
      </c>
      <c r="F12" s="44">
        <f t="shared" si="2"/>
        <v>17</v>
      </c>
      <c r="G12" s="44">
        <f t="shared" si="3"/>
        <v>242.87</v>
      </c>
      <c r="H12" s="40">
        <f t="shared" si="4"/>
        <v>12</v>
      </c>
      <c r="I12" s="71">
        <v>97.5</v>
      </c>
      <c r="J12" s="71">
        <v>93.3</v>
      </c>
      <c r="K12" s="71">
        <v>97.5</v>
      </c>
      <c r="L12" s="71">
        <v>78.833333333333329</v>
      </c>
      <c r="M12" s="71">
        <v>90.38</v>
      </c>
      <c r="N12" s="71">
        <v>242.87</v>
      </c>
      <c r="O12" s="71">
        <v>70</v>
      </c>
      <c r="P12" s="71">
        <v>60.666666666666664</v>
      </c>
      <c r="Q12" s="71">
        <v>17</v>
      </c>
      <c r="R12" s="71">
        <v>81.666666666666671</v>
      </c>
      <c r="S12" s="71">
        <v>99.7</v>
      </c>
      <c r="T12" s="104">
        <v>106</v>
      </c>
      <c r="U12" s="49"/>
    </row>
    <row r="13" spans="1:21" x14ac:dyDescent="0.25">
      <c r="A13" t="s">
        <v>89</v>
      </c>
      <c r="B13" s="30" t="s">
        <v>111</v>
      </c>
      <c r="C13" s="31">
        <v>2020</v>
      </c>
      <c r="D13" s="92">
        <f t="shared" si="0"/>
        <v>52.629999999999995</v>
      </c>
      <c r="E13" s="44">
        <f t="shared" si="1"/>
        <v>52.629999999999995</v>
      </c>
      <c r="F13" s="44">
        <f t="shared" si="2"/>
        <v>21.4</v>
      </c>
      <c r="G13" s="44">
        <f t="shared" si="3"/>
        <v>83.86</v>
      </c>
      <c r="H13" s="40">
        <f t="shared" si="4"/>
        <v>2</v>
      </c>
      <c r="I13" s="71"/>
      <c r="J13" s="71">
        <v>21.4</v>
      </c>
      <c r="K13" s="71"/>
      <c r="L13" s="71"/>
      <c r="M13" s="71">
        <v>83.86</v>
      </c>
      <c r="N13" s="71"/>
      <c r="O13" s="71"/>
      <c r="P13" s="71"/>
      <c r="Q13" s="71"/>
      <c r="R13" s="71"/>
      <c r="S13" s="71"/>
      <c r="T13" s="104"/>
      <c r="U13" s="49"/>
    </row>
    <row r="14" spans="1:21" x14ac:dyDescent="0.25">
      <c r="B14" s="30"/>
      <c r="C14" s="31"/>
      <c r="D14" s="92"/>
      <c r="E14" s="44"/>
      <c r="F14" s="44"/>
      <c r="G14" s="44"/>
      <c r="H14" s="40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104"/>
      <c r="U14" s="49"/>
    </row>
    <row r="15" spans="1:21" x14ac:dyDescent="0.25">
      <c r="B15" s="30"/>
      <c r="C15" s="31"/>
      <c r="D15" s="92"/>
      <c r="E15" s="44"/>
      <c r="F15" s="44"/>
      <c r="G15" s="44"/>
      <c r="H15" s="4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84"/>
    </row>
    <row r="16" spans="1:21" ht="75" x14ac:dyDescent="0.25">
      <c r="A16" s="98" t="s">
        <v>10</v>
      </c>
      <c r="B16" s="82" t="s">
        <v>111</v>
      </c>
      <c r="C16" s="82">
        <v>2050</v>
      </c>
      <c r="D16" s="93">
        <f>AVERAGE(F16:G16)</f>
        <v>31.433333333333334</v>
      </c>
      <c r="E16" s="83">
        <f>AVERAGE(F16:G16)</f>
        <v>31.433333333333334</v>
      </c>
      <c r="F16" s="83">
        <v>6.2</v>
      </c>
      <c r="G16" s="83">
        <f>F5</f>
        <v>56.666666666666664</v>
      </c>
      <c r="H16" s="97" t="s">
        <v>222</v>
      </c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40"/>
    </row>
    <row r="17" spans="1:20" ht="75" x14ac:dyDescent="0.25">
      <c r="A17" s="98" t="s">
        <v>25</v>
      </c>
      <c r="B17" s="82" t="s">
        <v>111</v>
      </c>
      <c r="C17" s="82">
        <v>2050</v>
      </c>
      <c r="D17" s="93">
        <f t="shared" ref="D17:D18" si="5">AVERAGE(F17:G17)</f>
        <v>3.9750000000000001</v>
      </c>
      <c r="E17" s="83">
        <f t="shared" ref="E17:E18" si="6">AVERAGE(F17:G17)</f>
        <v>3.9750000000000001</v>
      </c>
      <c r="F17" s="83">
        <v>0</v>
      </c>
      <c r="G17" s="83">
        <f>F7</f>
        <v>7.95</v>
      </c>
      <c r="H17" s="97" t="s">
        <v>222</v>
      </c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40"/>
    </row>
    <row r="18" spans="1:20" ht="75" x14ac:dyDescent="0.25">
      <c r="A18" s="98" t="s">
        <v>52</v>
      </c>
      <c r="B18" s="82" t="s">
        <v>111</v>
      </c>
      <c r="C18" s="82">
        <v>2050</v>
      </c>
      <c r="D18" s="93">
        <f t="shared" si="5"/>
        <v>12</v>
      </c>
      <c r="E18" s="83">
        <f t="shared" si="6"/>
        <v>12</v>
      </c>
      <c r="F18" s="83">
        <v>7</v>
      </c>
      <c r="G18" s="83">
        <f>F12</f>
        <v>17</v>
      </c>
      <c r="H18" s="97" t="s">
        <v>222</v>
      </c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40"/>
    </row>
    <row r="19" spans="1:20" x14ac:dyDescent="0.25">
      <c r="A19" s="26"/>
      <c r="B19" s="32"/>
      <c r="C19" s="32"/>
      <c r="D19" s="95"/>
      <c r="E19" s="26"/>
      <c r="F19" s="26"/>
      <c r="G19" s="26"/>
      <c r="H19" s="89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37"/>
    </row>
  </sheetData>
  <mergeCells count="1">
    <mergeCell ref="D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Materials</vt:lpstr>
      <vt:lpstr>Technologies</vt:lpstr>
      <vt:lpstr>References</vt:lpstr>
      <vt:lpstr>ICEV</vt:lpstr>
      <vt:lpstr>EV</vt:lpstr>
      <vt:lpstr>Wind-DDPM</vt:lpstr>
      <vt:lpstr>Wind-Gearbox</vt:lpstr>
      <vt:lpstr>c-Si</vt:lpstr>
      <vt:lpstr>CdTe</vt:lpstr>
      <vt:lpstr>CIGS</vt:lpstr>
      <vt:lpstr>a-Si</vt:lpstr>
      <vt:lpstr>perovskite</vt:lpstr>
      <vt:lpstr>Parabolic Trough - PB</vt:lpstr>
      <vt:lpstr>CSP Tower - PB</vt:lpstr>
      <vt:lpstr>Nuclear</vt:lpstr>
      <vt:lpstr>PEMFC</vt:lpstr>
      <vt:lpstr>SOFC - Y</vt:lpstr>
      <vt:lpstr>PAFC</vt:lpstr>
      <vt:lpstr>PEMEL</vt:lpstr>
      <vt:lpstr>AEL</vt:lpstr>
      <vt:lpstr>HTEL - Yttrium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Hahn Menacho Alvaro Jose</dc:creator>
  <cp:lastModifiedBy>Hahn Menacho Alvaro Jose</cp:lastModifiedBy>
  <dcterms:created xsi:type="dcterms:W3CDTF">2023-03-06T10:23:51Z</dcterms:created>
  <dcterms:modified xsi:type="dcterms:W3CDTF">2024-10-17T08:40:28Z</dcterms:modified>
</cp:coreProperties>
</file>