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664497F5-AE29-47E4-85C0-5108202E4B2B}" xr6:coauthVersionLast="47" xr6:coauthVersionMax="47" xr10:uidLastSave="{00000000-0000-0000-0000-000000000000}"/>
  <bookViews>
    <workbookView xWindow="-60" yWindow="-16320" windowWidth="29040" windowHeight="15840" xr2:uid="{00000000-000D-0000-FFFF-FFFF00000000}"/>
  </bookViews>
  <sheets>
    <sheet name="activities_mapping" sheetId="2" r:id="rId1"/>
  </sheets>
  <definedNames>
    <definedName name="_xlnm._FilterDatabase" localSheetId="0" hidden="1">activities_mapping!$A$1:$K$309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3" i="2" l="1"/>
  <c r="E14" i="2"/>
  <c r="E13" i="2"/>
  <c r="E306" i="2" l="1"/>
  <c r="E305" i="2"/>
  <c r="E301" i="2" l="1"/>
  <c r="E300" i="2"/>
  <c r="E299" i="2"/>
  <c r="E298" i="2"/>
  <c r="E297" i="2"/>
  <c r="E296" i="2"/>
  <c r="E295" i="2"/>
  <c r="E294" i="2"/>
  <c r="E293" i="2"/>
  <c r="E285" i="2"/>
  <c r="E284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57" i="2"/>
  <c r="E256" i="2"/>
  <c r="E255" i="2"/>
  <c r="E254" i="2"/>
  <c r="E253" i="2"/>
  <c r="E249" i="2"/>
  <c r="E248" i="2"/>
  <c r="E233" i="2"/>
  <c r="E232" i="2"/>
  <c r="E231" i="2"/>
  <c r="E230" i="2"/>
  <c r="E229" i="2"/>
  <c r="E228" i="2"/>
  <c r="E222" i="2"/>
  <c r="E221" i="2"/>
  <c r="E220" i="2"/>
  <c r="E219" i="2"/>
  <c r="E218" i="2"/>
  <c r="E217" i="2"/>
  <c r="E216" i="2"/>
  <c r="E209" i="2"/>
  <c r="E208" i="2"/>
  <c r="E207" i="2"/>
  <c r="E206" i="2"/>
  <c r="E205" i="2"/>
  <c r="E204" i="2"/>
  <c r="E203" i="2"/>
  <c r="E199" i="2"/>
  <c r="E198" i="2"/>
  <c r="E197" i="2"/>
  <c r="E196" i="2"/>
  <c r="E195" i="2"/>
  <c r="E194" i="2"/>
  <c r="E193" i="2"/>
  <c r="E192" i="2"/>
  <c r="E191" i="2"/>
  <c r="E190" i="2"/>
  <c r="E179" i="2"/>
  <c r="E178" i="2"/>
  <c r="E177" i="2"/>
  <c r="E176" i="2"/>
  <c r="E165" i="2"/>
  <c r="E164" i="2"/>
  <c r="E163" i="2"/>
  <c r="E162" i="2"/>
  <c r="E161" i="2"/>
  <c r="E141" i="2"/>
  <c r="E140" i="2"/>
  <c r="E139" i="2"/>
  <c r="E126" i="2"/>
  <c r="E125" i="2"/>
  <c r="E124" i="2"/>
  <c r="E123" i="2"/>
  <c r="E122" i="2"/>
  <c r="E121" i="2"/>
  <c r="E119" i="2"/>
  <c r="E118" i="2"/>
  <c r="E112" i="2"/>
  <c r="E111" i="2"/>
  <c r="E110" i="2"/>
  <c r="E109" i="2"/>
  <c r="E108" i="2"/>
  <c r="E107" i="2"/>
  <c r="E96" i="2"/>
  <c r="E95" i="2"/>
  <c r="E94" i="2"/>
  <c r="E93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68" i="2"/>
  <c r="E67" i="2"/>
  <c r="E66" i="2"/>
  <c r="E65" i="2"/>
  <c r="E64" i="2"/>
  <c r="E63" i="2"/>
  <c r="E62" i="2"/>
  <c r="E61" i="2"/>
  <c r="E57" i="2"/>
  <c r="E56" i="2"/>
  <c r="E55" i="2"/>
  <c r="E54" i="2"/>
  <c r="E53" i="2"/>
  <c r="E52" i="2"/>
  <c r="E49" i="2"/>
  <c r="E48" i="2"/>
  <c r="E47" i="2"/>
  <c r="E46" i="2"/>
  <c r="E45" i="2"/>
  <c r="E44" i="2"/>
  <c r="E43" i="2"/>
  <c r="E42" i="2"/>
  <c r="E41" i="2"/>
  <c r="E40" i="2"/>
  <c r="E39" i="2"/>
  <c r="E36" i="2"/>
  <c r="E35" i="2"/>
  <c r="E34" i="2"/>
  <c r="E33" i="2"/>
  <c r="E32" i="2"/>
  <c r="E31" i="2"/>
</calcChain>
</file>

<file path=xl/sharedStrings.xml><?xml version="1.0" encoding="utf-8"?>
<sst xmlns="http://schemas.openxmlformats.org/spreadsheetml/2006/main" count="2301" uniqueCount="373">
  <si>
    <t>technology</t>
  </si>
  <si>
    <t>demanding_process</t>
  </si>
  <si>
    <t>demanding_process_reference_product</t>
  </si>
  <si>
    <t>Element</t>
  </si>
  <si>
    <t>unit_convertor</t>
  </si>
  <si>
    <t>Activity</t>
  </si>
  <si>
    <t>Reference product</t>
  </si>
  <si>
    <t>From (ecoinvent form)</t>
  </si>
  <si>
    <t>To (intensity form)</t>
  </si>
  <si>
    <t>Comment</t>
  </si>
  <si>
    <t>ICEV</t>
  </si>
  <si>
    <t>Aluminium</t>
  </si>
  <si>
    <t>market for aluminium, cast alloy</t>
  </si>
  <si>
    <t>aluminium, cast alloy</t>
  </si>
  <si>
    <t>aluminium</t>
  </si>
  <si>
    <t>EV</t>
  </si>
  <si>
    <t>Wind-DDPM</t>
  </si>
  <si>
    <t>Wind-DDEE</t>
  </si>
  <si>
    <t>Wind-Gearbox</t>
  </si>
  <si>
    <t>c-Si</t>
  </si>
  <si>
    <t>CdTe</t>
  </si>
  <si>
    <t>CIGS</t>
  </si>
  <si>
    <t>a-Si</t>
  </si>
  <si>
    <t>Parabolic Trough - PB</t>
  </si>
  <si>
    <t>CSP Tower - PB</t>
  </si>
  <si>
    <t>Nuclear</t>
  </si>
  <si>
    <t>LMO</t>
  </si>
  <si>
    <t>NMC111</t>
  </si>
  <si>
    <t>NMC622</t>
  </si>
  <si>
    <t>NCA</t>
  </si>
  <si>
    <t>LFP</t>
  </si>
  <si>
    <t>LTO</t>
  </si>
  <si>
    <t>LiS</t>
  </si>
  <si>
    <t>LiO2</t>
  </si>
  <si>
    <t>SOFC - Y</t>
  </si>
  <si>
    <t>SOFC - Sc</t>
  </si>
  <si>
    <t>PAFC</t>
  </si>
  <si>
    <t>AEL</t>
  </si>
  <si>
    <t>Antimony</t>
  </si>
  <si>
    <t>market for antimony</t>
  </si>
  <si>
    <t>antimony</t>
  </si>
  <si>
    <t>Beryllium</t>
  </si>
  <si>
    <t>market for beryllium</t>
  </si>
  <si>
    <t>beryllium</t>
  </si>
  <si>
    <t>No process in ecoinvent demands beryllium</t>
  </si>
  <si>
    <t>permanent magnet production, for electric motor</t>
  </si>
  <si>
    <t>permanent magnet, for electric motor</t>
  </si>
  <si>
    <t>Boron</t>
  </si>
  <si>
    <t>market for boric oxide</t>
  </si>
  <si>
    <t>boric oxide</t>
  </si>
  <si>
    <t>boron</t>
  </si>
  <si>
    <t>B2O3 // This exchange is already present</t>
  </si>
  <si>
    <t>diborane</t>
  </si>
  <si>
    <t>B2H6 //  // This exchange is already present (not in all the options)</t>
  </si>
  <si>
    <t>market for boron carbide</t>
  </si>
  <si>
    <t>boron carbide</t>
  </si>
  <si>
    <t>B4C</t>
  </si>
  <si>
    <t>Brass</t>
  </si>
  <si>
    <t>market for brass</t>
  </si>
  <si>
    <t>brass</t>
  </si>
  <si>
    <t>It is an alloy: copper + zinc</t>
  </si>
  <si>
    <t>Cadmium</t>
  </si>
  <si>
    <t>market for cadmium</t>
  </si>
  <si>
    <t>cadmium</t>
  </si>
  <si>
    <t>market for cadmium telluride, semiconductor-grade</t>
  </si>
  <si>
    <t>cadmium telluride, semiconductor-grade</t>
  </si>
  <si>
    <t>CdTe  // This exchange is already present</t>
  </si>
  <si>
    <t>market for cadmium sulfide, semiconductor-grade</t>
  </si>
  <si>
    <t>cadmium sulfide, semiconductor-grade</t>
  </si>
  <si>
    <t>CdS  // This exchange is already present</t>
  </si>
  <si>
    <t>Cerium</t>
  </si>
  <si>
    <t>market for cerium oxide</t>
  </si>
  <si>
    <t>cerium oxide</t>
  </si>
  <si>
    <t>cerium</t>
  </si>
  <si>
    <t>CeO2</t>
  </si>
  <si>
    <t>CeO2  // This exchange is already present</t>
  </si>
  <si>
    <t>Chromium</t>
  </si>
  <si>
    <t>market for steel, chromium steel 18/8</t>
  </si>
  <si>
    <t>steel, chromium steel 18/8</t>
  </si>
  <si>
    <t>chromium steel 18/8</t>
  </si>
  <si>
    <t>chromium</t>
  </si>
  <si>
    <t>This exchange is already present</t>
  </si>
  <si>
    <t>market for chromium</t>
  </si>
  <si>
    <t>market for steel, chromium steel 18/8, hot rolled</t>
  </si>
  <si>
    <t>steel, chromium steel 18/8, hot rolled</t>
  </si>
  <si>
    <t>PEMFC</t>
  </si>
  <si>
    <t>Cobalt</t>
  </si>
  <si>
    <t>market for cobalt</t>
  </si>
  <si>
    <t>cobalt</t>
  </si>
  <si>
    <t>EV, ICEV, fuel cell and electrolyzers</t>
  </si>
  <si>
    <t>Batteries</t>
  </si>
  <si>
    <t>LCO</t>
  </si>
  <si>
    <t>market for cobalt sulfate</t>
  </si>
  <si>
    <t>cobalt sulfate</t>
  </si>
  <si>
    <t>CoSO4</t>
  </si>
  <si>
    <t>CoSO4  // This exchange is already present // These battery technology have two options in Ecoinvent, but none of them have downstream consumers. Finally, I will have to link one of them to the IAM projections</t>
  </si>
  <si>
    <t>CoSO4  // This exchange is already present</t>
  </si>
  <si>
    <t>NCA hydroxide production, for Li-ion battery</t>
  </si>
  <si>
    <t>NCA hydroxide</t>
  </si>
  <si>
    <t>NiMH</t>
  </si>
  <si>
    <t>electrode production, negative, Ni</t>
  </si>
  <si>
    <t>electrode, negative, Ni</t>
  </si>
  <si>
    <t>Copper</t>
  </si>
  <si>
    <t>I would leave the intensities from Ecoinvent</t>
  </si>
  <si>
    <t>Dysprosium</t>
  </si>
  <si>
    <t>market for dysprosium oxide</t>
  </si>
  <si>
    <t>dysprosium oxide</t>
  </si>
  <si>
    <t>dysprosium</t>
  </si>
  <si>
    <t>Dy2O3</t>
  </si>
  <si>
    <t>Erbium</t>
  </si>
  <si>
    <t>market for erbium oxide</t>
  </si>
  <si>
    <t>erbium oxide</t>
  </si>
  <si>
    <t>erbium</t>
  </si>
  <si>
    <t>Er2O3</t>
  </si>
  <si>
    <t>Europium</t>
  </si>
  <si>
    <t>market for europium oxide</t>
  </si>
  <si>
    <t>europium oxide</t>
  </si>
  <si>
    <t>europium</t>
  </si>
  <si>
    <t>Eu2O3</t>
  </si>
  <si>
    <t>Gadolinium</t>
  </si>
  <si>
    <t>market for gadolinium oxide</t>
  </si>
  <si>
    <t>gadolinium oxide</t>
  </si>
  <si>
    <t>gadolinium</t>
  </si>
  <si>
    <t>Gd2O3</t>
  </si>
  <si>
    <t>Gallium</t>
  </si>
  <si>
    <t>market for gallium, semiconductor-grade</t>
  </si>
  <si>
    <t>gallium, semiconductor-grade</t>
  </si>
  <si>
    <t>gallium</t>
  </si>
  <si>
    <t>Germanium</t>
  </si>
  <si>
    <t>market for germanium, concentrate</t>
  </si>
  <si>
    <t>germanium, concentrate</t>
  </si>
  <si>
    <t>germanium</t>
  </si>
  <si>
    <t>Double check my LCI</t>
  </si>
  <si>
    <t>Gold</t>
  </si>
  <si>
    <t>market for gold</t>
  </si>
  <si>
    <t>gold</t>
  </si>
  <si>
    <t>anode, graphite, for Li-ion battery</t>
  </si>
  <si>
    <t>Graphite</t>
  </si>
  <si>
    <t>graphite</t>
  </si>
  <si>
    <t>Location: CN //// Double check with Romain that we are pointing to the right product</t>
  </si>
  <si>
    <t>market for graphite</t>
  </si>
  <si>
    <t>Hafnium</t>
  </si>
  <si>
    <t>market for hafnium sponge</t>
  </si>
  <si>
    <t>hafnium sponge</t>
  </si>
  <si>
    <t>hafnium</t>
  </si>
  <si>
    <t>Indium</t>
  </si>
  <si>
    <t>indium</t>
  </si>
  <si>
    <t>PEMEL</t>
  </si>
  <si>
    <t>Iridium</t>
  </si>
  <si>
    <t>market for iridium</t>
  </si>
  <si>
    <t>iridium</t>
  </si>
  <si>
    <t>Lanthanum</t>
  </si>
  <si>
    <t>market for lanthanum oxide</t>
  </si>
  <si>
    <t>lanthanum oxide</t>
  </si>
  <si>
    <t>lanthanum</t>
  </si>
  <si>
    <t>La2O3</t>
  </si>
  <si>
    <t>Lead</t>
  </si>
  <si>
    <t>market for lead</t>
  </si>
  <si>
    <t>lead</t>
  </si>
  <si>
    <t>Lithium</t>
  </si>
  <si>
    <t>market for lithium carbonate, battery grade</t>
  </si>
  <si>
    <t>lithium carbonate, battery grade</t>
  </si>
  <si>
    <t>lithium</t>
  </si>
  <si>
    <t>Li2CO3</t>
  </si>
  <si>
    <t>Not found in Ecoinvent</t>
  </si>
  <si>
    <t>market for lithium manganese oxide</t>
  </si>
  <si>
    <t>lithium manganese oxide</t>
  </si>
  <si>
    <t>LiMn2O4</t>
  </si>
  <si>
    <t>market for lithium hydroxide, battery grade</t>
  </si>
  <si>
    <t>lithium hydroxide, battery grade</t>
  </si>
  <si>
    <t>LiOH</t>
  </si>
  <si>
    <t>cathode paste, LFP</t>
  </si>
  <si>
    <t>LiFePO4</t>
  </si>
  <si>
    <t>It uses NCA cathode</t>
  </si>
  <si>
    <t>Not in Ecoinvent</t>
  </si>
  <si>
    <t>Magnesium</t>
  </si>
  <si>
    <t>market for magnesium</t>
  </si>
  <si>
    <t>magnesium</t>
  </si>
  <si>
    <t>Used for glass production (Phil et al. 2012)</t>
  </si>
  <si>
    <t>Manganese</t>
  </si>
  <si>
    <t>market for manganese</t>
  </si>
  <si>
    <t>manganese</t>
  </si>
  <si>
    <t>collector field area, solar thermal parabolic trough, 50 MW</t>
  </si>
  <si>
    <t>collector field area construction, solar thermal parabolic trough, 50 MW</t>
  </si>
  <si>
    <t>MnSO4 // This exchange is already present</t>
  </si>
  <si>
    <t>Already considered in LiMn2O4</t>
  </si>
  <si>
    <t>market for manganese sulfate</t>
  </si>
  <si>
    <t>manganese sulfate</t>
  </si>
  <si>
    <t>Molybdenum</t>
  </si>
  <si>
    <t>market for molybdenum</t>
  </si>
  <si>
    <t>molybdenum</t>
  </si>
  <si>
    <t>Neodymium</t>
  </si>
  <si>
    <t>market for neodymium oxide</t>
  </si>
  <si>
    <t>neodymium oxide</t>
  </si>
  <si>
    <t>neodymium</t>
  </si>
  <si>
    <t>Nd2O3</t>
  </si>
  <si>
    <t>Nickel</t>
  </si>
  <si>
    <t>In steel chromium steel 18/8, It was modified by chromium already</t>
  </si>
  <si>
    <t>market for nickel, class 1</t>
  </si>
  <si>
    <t>nickel, class 1</t>
  </si>
  <si>
    <t>nickel</t>
  </si>
  <si>
    <t>In steel, low-alloyed, hot rolled</t>
  </si>
  <si>
    <t>market for nickel sulfate</t>
  </si>
  <si>
    <t>nickel sulfate</t>
  </si>
  <si>
    <t>NiSO4</t>
  </si>
  <si>
    <t>Niobium</t>
  </si>
  <si>
    <t>market for ferroniobium, 66% Nb</t>
  </si>
  <si>
    <t>ferroniobium, 66% Nb</t>
  </si>
  <si>
    <t>ferroniobium</t>
  </si>
  <si>
    <t>internal combustion engine production, passenger car</t>
  </si>
  <si>
    <t>internal combustion engine, passenger car</t>
  </si>
  <si>
    <t>Palladium</t>
  </si>
  <si>
    <t>market for palladium</t>
  </si>
  <si>
    <t>palladium</t>
  </si>
  <si>
    <t>petrol/natural gas</t>
  </si>
  <si>
    <t>diesel</t>
  </si>
  <si>
    <t>electrolyte, for Li-ion battery</t>
  </si>
  <si>
    <t>Phosphorous</t>
  </si>
  <si>
    <t>market for lithium hexafluorophosphate</t>
  </si>
  <si>
    <t>lithium hexafluorophosphate</t>
  </si>
  <si>
    <t>LiPF6</t>
  </si>
  <si>
    <t>I AM DOUBLE COUNTING LITHIUM</t>
  </si>
  <si>
    <t>My recommendation… not to modify the share of phosphorous in batteries</t>
  </si>
  <si>
    <t>electrolyte, LFP</t>
  </si>
  <si>
    <t>Here, I would be double counting both lithium and phosphorous</t>
  </si>
  <si>
    <t>electrolyte, LTO</t>
  </si>
  <si>
    <t>Platinum</t>
  </si>
  <si>
    <t>market for platinum</t>
  </si>
  <si>
    <t>platinum</t>
  </si>
  <si>
    <t>Potassium</t>
  </si>
  <si>
    <t>market for potassium hydroxide</t>
  </si>
  <si>
    <t>potassium hydroxide</t>
  </si>
  <si>
    <t>potassium</t>
  </si>
  <si>
    <t>KOH</t>
  </si>
  <si>
    <t>"hydrogen production, gaseous, 20 bar, from AEC electrolysis, from grid electricity" demands potassium hydroxide</t>
  </si>
  <si>
    <t>Praseodymium</t>
  </si>
  <si>
    <t>market for praseodymium oxide</t>
  </si>
  <si>
    <t>praseodymium oxide</t>
  </si>
  <si>
    <t>praseodymium</t>
  </si>
  <si>
    <t>Pr2O3</t>
  </si>
  <si>
    <t>Pr2O4</t>
  </si>
  <si>
    <t>Pr2O5</t>
  </si>
  <si>
    <t>Pr2O6</t>
  </si>
  <si>
    <t>Pr2O7</t>
  </si>
  <si>
    <t>Rhenium</t>
  </si>
  <si>
    <t>market for rhenium</t>
  </si>
  <si>
    <t>rhenium</t>
  </si>
  <si>
    <t>Rhodium</t>
  </si>
  <si>
    <t>market for rhodium</t>
  </si>
  <si>
    <t>rhodium</t>
  </si>
  <si>
    <t>Ruthenium</t>
  </si>
  <si>
    <t>market for ruthenium</t>
  </si>
  <si>
    <t>ruthenium</t>
  </si>
  <si>
    <t>Samarium</t>
  </si>
  <si>
    <t>market for samarium oxide</t>
  </si>
  <si>
    <t>samarium oxide</t>
  </si>
  <si>
    <t>samarium</t>
  </si>
  <si>
    <t>Sm2O3</t>
  </si>
  <si>
    <t>Scandium</t>
  </si>
  <si>
    <t>market for scandium oxide</t>
  </si>
  <si>
    <t>scandium oxide</t>
  </si>
  <si>
    <t>scandium</t>
  </si>
  <si>
    <t>Sc2O3</t>
  </si>
  <si>
    <t>HTEL - Sc</t>
  </si>
  <si>
    <t>Selenium</t>
  </si>
  <si>
    <t>market for selenium</t>
  </si>
  <si>
    <t>selenium</t>
  </si>
  <si>
    <t>Silicon</t>
  </si>
  <si>
    <t>It is coming from many sources</t>
  </si>
  <si>
    <t>I would trust the ecoinvent values over the literature review</t>
  </si>
  <si>
    <t>Silver</t>
  </si>
  <si>
    <t>market for silver</t>
  </si>
  <si>
    <t>silver</t>
  </si>
  <si>
    <t>Sulfur</t>
  </si>
  <si>
    <t>In nickel and manganese sulfate // Already considered when modifying the other exchanges</t>
  </si>
  <si>
    <t>Strontium</t>
  </si>
  <si>
    <t>market for strontium carbonate</t>
  </si>
  <si>
    <t>strontium carbonate</t>
  </si>
  <si>
    <t>strontium</t>
  </si>
  <si>
    <t>SrCO3</t>
  </si>
  <si>
    <t>Tantalum</t>
  </si>
  <si>
    <t>market for tantalum powder, capacitor-grade</t>
  </si>
  <si>
    <t>tantalum powder, capacitor-grade</t>
  </si>
  <si>
    <t>tantalum</t>
  </si>
  <si>
    <t>Tellurium</t>
  </si>
  <si>
    <t>market for tellurium, semiconductor-grade</t>
  </si>
  <si>
    <t>tellurium, semiconductor-grade</t>
  </si>
  <si>
    <t>tellurium</t>
  </si>
  <si>
    <t>Terbium</t>
  </si>
  <si>
    <t>market for terbium oxide</t>
  </si>
  <si>
    <t>terbium oxide</t>
  </si>
  <si>
    <t>terbium</t>
  </si>
  <si>
    <t>TbO2</t>
  </si>
  <si>
    <t>Tin</t>
  </si>
  <si>
    <t>market for tin</t>
  </si>
  <si>
    <t>tin</t>
  </si>
  <si>
    <t>There is already some in the silicone products, but difficult to assess</t>
  </si>
  <si>
    <t>Titanium</t>
  </si>
  <si>
    <t>market for titanium</t>
  </si>
  <si>
    <t>titanium</t>
  </si>
  <si>
    <t>alluminium</t>
  </si>
  <si>
    <t>There is already some in the alluminium alloy</t>
  </si>
  <si>
    <t>Tungsten</t>
  </si>
  <si>
    <t>market for tungsten carbide powder</t>
  </si>
  <si>
    <t>tungsten carbide powder</t>
  </si>
  <si>
    <t>tungsten</t>
  </si>
  <si>
    <t>WC</t>
  </si>
  <si>
    <t>Vanadium</t>
  </si>
  <si>
    <t>market for vanadium pentoxide</t>
  </si>
  <si>
    <t>vanadium pentoxide</t>
  </si>
  <si>
    <t>vanadium</t>
  </si>
  <si>
    <t>V2O5</t>
  </si>
  <si>
    <t>Ytterbium</t>
  </si>
  <si>
    <t>market for ytterbium oxide</t>
  </si>
  <si>
    <t>ytterbium oxide</t>
  </si>
  <si>
    <t>ytterbium</t>
  </si>
  <si>
    <t>Yb2O3</t>
  </si>
  <si>
    <t>Yttrium</t>
  </si>
  <si>
    <t>market for yttrium oxide</t>
  </si>
  <si>
    <t>yttrium oxide</t>
  </si>
  <si>
    <t>yttrium</t>
  </si>
  <si>
    <t>Y2O3</t>
  </si>
  <si>
    <t>HTSP</t>
  </si>
  <si>
    <t>Zinc</t>
  </si>
  <si>
    <t>market for zinc</t>
  </si>
  <si>
    <t>zinc</t>
  </si>
  <si>
    <t>Zirconium</t>
  </si>
  <si>
    <t>market for zirconium oxide</t>
  </si>
  <si>
    <t>zirconium oxide</t>
  </si>
  <si>
    <t>zirconium</t>
  </si>
  <si>
    <t>ZrO2</t>
  </si>
  <si>
    <t>filter</t>
  </si>
  <si>
    <t>Yes</t>
  </si>
  <si>
    <t>No</t>
  </si>
  <si>
    <t>Lead_Acid</t>
  </si>
  <si>
    <t>market for indium</t>
  </si>
  <si>
    <t>NMC-811 hydroxide</t>
  </si>
  <si>
    <t>NMC811</t>
  </si>
  <si>
    <t>lithium carbonate</t>
  </si>
  <si>
    <t>I will keep the ratios between the different types of lithium in the battery. 89% is lithium carbonate from the LiTFSi, 10% is lithium carbonate in the LiNO3 and 1% is lithium hydroxide from LiNO3</t>
  </si>
  <si>
    <t>I will keep the ratios between the different types of lithium in the battery. 89% is lithium carbonate from the LiTFSi, 10% is lithium carbonate in the LiNO3 and 1% is lithium hydroxide from LiNO4</t>
  </si>
  <si>
    <t>I will keep the ratios between the different types of lithium in the battery. 89% is lithium carbonate from the LiTFSi, 10% is lithium carbonate in the LiNO3 and 1% is lithium hydroxide from LiNO5</t>
  </si>
  <si>
    <t>LiTFSi, (CF3SO2)2NLi, production, for LiS battery</t>
  </si>
  <si>
    <t>LiTFSi, (CF3SO2)2NLi</t>
  </si>
  <si>
    <t>LiNO3 production, for LiS battery</t>
  </si>
  <si>
    <t>LiNO3</t>
  </si>
  <si>
    <t>We will keep the values from the original LCI, as (1) aluminium and copper are coming from many different activities, (2) ecoinvent has a fair representation of these metals and (3) these quantities will not be important for the overall (they are bulk materials)</t>
  </si>
  <si>
    <t>I will keep the ratios between the different types of lithium in the battery. 99% is the lithium metal and 1% the lithium chloride in the electrolyte</t>
  </si>
  <si>
    <t>market for lithium</t>
  </si>
  <si>
    <t>market for lithium chloride</t>
  </si>
  <si>
    <t>lithium chloride</t>
  </si>
  <si>
    <t>HTEL - Yttrium</t>
  </si>
  <si>
    <t>collector field area construction, solar tower power plant, 20 MW</t>
  </si>
  <si>
    <t>collector field area, solar tower power plant, 20 MW</t>
  </si>
  <si>
    <t>market for lithium iron phosphate</t>
  </si>
  <si>
    <t>lithium iron phosphate</t>
  </si>
  <si>
    <t>Check. Keeping the ratios from Ecoinvent</t>
  </si>
  <si>
    <t>market for aluminium, wrought alloy</t>
  </si>
  <si>
    <t>aluminium, wrought alloy</t>
  </si>
  <si>
    <t>market for synthetic graphite, battery grade</t>
  </si>
  <si>
    <t>synthetic graphite, battery grade</t>
  </si>
  <si>
    <t>anode production, graphite, for Li-ion battery</t>
  </si>
  <si>
    <t>NMC-111 oxide</t>
  </si>
  <si>
    <t>NMC-622 oxide</t>
  </si>
  <si>
    <t>NMC-811 oxide</t>
  </si>
  <si>
    <t>NCA oxide</t>
  </si>
  <si>
    <t>NMC-111 hydroxide</t>
  </si>
  <si>
    <t>NMC-622 hydroxide</t>
  </si>
  <si>
    <t>perovskite</t>
  </si>
  <si>
    <t>market for indium tin oxide powder, nanoscale, for sputtering target</t>
  </si>
  <si>
    <t>indium tin oxide powder, nanoscale, for sputtering target</t>
  </si>
  <si>
    <t>Unit convertor set to 1 because we want to keep the current intensity for the uncertainty when considering a value of 0 in 2050.</t>
  </si>
  <si>
    <t>sodium tetrafluoroborate production, sodium tetrahydridoborate fluorination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</si>
</sst>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3" fillId="4" borderId="0" xfId="0" applyFont="1" applyFill="1"/>
    <xf numFmtId="2" fontId="0" fillId="0" borderId="0" xfId="0" applyNumberFormat="1"/>
    <xf numFmtId="0" fontId="1" fillId="2" borderId="0" xfId="1"/>
    <xf numFmtId="0" fontId="0" fillId="5" borderId="0" xfId="0" applyFill="1"/>
    <xf numFmtId="0" fontId="0" fillId="0" borderId="0" xfId="0" applyAlignment="1">
      <alignment wrapText="1"/>
    </xf>
    <xf numFmtId="0" fontId="2" fillId="3" borderId="1" xfId="2"/>
    <xf numFmtId="164" fontId="0" fillId="0" borderId="0" xfId="0" applyNumberFormat="1"/>
    <xf numFmtId="0" fontId="5" fillId="0" borderId="0" xfId="0" applyFont="1" applyAlignment="1">
      <alignment vertical="center"/>
    </xf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09"/>
  <sheetViews>
    <sheetView tabSelected="1" zoomScale="70" zoomScaleNormal="70" workbookViewId="0">
      <selection activeCell="E279" sqref="E279"/>
    </sheetView>
  </sheetViews>
  <sheetFormatPr defaultColWidth="8.85546875" defaultRowHeight="15" x14ac:dyDescent="0.25"/>
  <cols>
    <col min="1" max="1" width="22.42578125" bestFit="1" customWidth="1"/>
    <col min="2" max="2" width="47.140625" bestFit="1" customWidth="1"/>
    <col min="3" max="3" width="48.7109375" bestFit="1" customWidth="1"/>
    <col min="4" max="4" width="14.42578125" bestFit="1" customWidth="1"/>
    <col min="5" max="5" width="16.7109375" bestFit="1" customWidth="1"/>
    <col min="6" max="6" width="74.42578125" bestFit="1" customWidth="1"/>
    <col min="7" max="7" width="64.42578125" bestFit="1" customWidth="1"/>
    <col min="8" max="8" width="39.42578125" bestFit="1" customWidth="1"/>
    <col min="9" max="9" width="22.42578125" bestFit="1" customWidth="1"/>
    <col min="10" max="10" width="22.42578125" customWidth="1"/>
    <col min="11" max="11" width="9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331</v>
      </c>
      <c r="K1" s="1" t="s">
        <v>9</v>
      </c>
    </row>
    <row r="2" spans="1:11" hidden="1" x14ac:dyDescent="0.25">
      <c r="A2" t="s">
        <v>10</v>
      </c>
      <c r="D2" t="s">
        <v>11</v>
      </c>
      <c r="E2">
        <v>1</v>
      </c>
      <c r="F2" t="s">
        <v>12</v>
      </c>
      <c r="G2" t="s">
        <v>13</v>
      </c>
      <c r="H2" t="s">
        <v>14</v>
      </c>
      <c r="I2" t="s">
        <v>14</v>
      </c>
      <c r="J2" t="s">
        <v>332</v>
      </c>
    </row>
    <row r="3" spans="1:11" hidden="1" x14ac:dyDescent="0.25">
      <c r="A3" t="s">
        <v>15</v>
      </c>
      <c r="D3" t="s">
        <v>11</v>
      </c>
      <c r="E3">
        <v>1</v>
      </c>
      <c r="F3" t="s">
        <v>12</v>
      </c>
      <c r="G3" t="s">
        <v>13</v>
      </c>
      <c r="H3" t="s">
        <v>14</v>
      </c>
      <c r="I3" t="s">
        <v>14</v>
      </c>
      <c r="J3" t="s">
        <v>332</v>
      </c>
    </row>
    <row r="4" spans="1:11" hidden="1" x14ac:dyDescent="0.25">
      <c r="A4" t="s">
        <v>16</v>
      </c>
      <c r="D4" t="s">
        <v>11</v>
      </c>
      <c r="E4">
        <v>1</v>
      </c>
      <c r="F4" t="s">
        <v>12</v>
      </c>
      <c r="G4" t="s">
        <v>13</v>
      </c>
      <c r="H4" t="s">
        <v>14</v>
      </c>
      <c r="I4" t="s">
        <v>14</v>
      </c>
      <c r="J4" t="s">
        <v>332</v>
      </c>
    </row>
    <row r="5" spans="1:11" hidden="1" x14ac:dyDescent="0.25">
      <c r="A5" t="s">
        <v>17</v>
      </c>
      <c r="D5" t="s">
        <v>11</v>
      </c>
      <c r="E5">
        <v>1</v>
      </c>
      <c r="F5" t="s">
        <v>12</v>
      </c>
      <c r="G5" t="s">
        <v>13</v>
      </c>
      <c r="H5" t="s">
        <v>14</v>
      </c>
      <c r="I5" t="s">
        <v>14</v>
      </c>
      <c r="J5" t="s">
        <v>332</v>
      </c>
    </row>
    <row r="6" spans="1:11" hidden="1" x14ac:dyDescent="0.25">
      <c r="A6" t="s">
        <v>18</v>
      </c>
      <c r="D6" t="s">
        <v>11</v>
      </c>
      <c r="E6">
        <v>1</v>
      </c>
      <c r="F6" t="s">
        <v>12</v>
      </c>
      <c r="G6" t="s">
        <v>13</v>
      </c>
      <c r="H6" t="s">
        <v>14</v>
      </c>
      <c r="I6" t="s">
        <v>14</v>
      </c>
      <c r="J6" t="s">
        <v>332</v>
      </c>
    </row>
    <row r="7" spans="1:11" hidden="1" x14ac:dyDescent="0.25">
      <c r="A7" t="s">
        <v>19</v>
      </c>
      <c r="D7" t="s">
        <v>11</v>
      </c>
      <c r="E7">
        <v>1</v>
      </c>
      <c r="F7" t="s">
        <v>12</v>
      </c>
      <c r="G7" t="s">
        <v>13</v>
      </c>
      <c r="H7" t="s">
        <v>14</v>
      </c>
      <c r="I7" t="s">
        <v>14</v>
      </c>
      <c r="J7" t="s">
        <v>332</v>
      </c>
    </row>
    <row r="8" spans="1:11" hidden="1" x14ac:dyDescent="0.25">
      <c r="A8" t="s">
        <v>20</v>
      </c>
      <c r="D8" t="s">
        <v>11</v>
      </c>
      <c r="E8">
        <v>1</v>
      </c>
      <c r="F8" t="s">
        <v>12</v>
      </c>
      <c r="G8" t="s">
        <v>13</v>
      </c>
      <c r="H8" t="s">
        <v>14</v>
      </c>
      <c r="I8" t="s">
        <v>14</v>
      </c>
      <c r="J8" t="s">
        <v>332</v>
      </c>
    </row>
    <row r="9" spans="1:11" hidden="1" x14ac:dyDescent="0.25">
      <c r="A9" t="s">
        <v>21</v>
      </c>
      <c r="D9" t="s">
        <v>11</v>
      </c>
      <c r="E9">
        <v>1</v>
      </c>
      <c r="F9" t="s">
        <v>12</v>
      </c>
      <c r="G9" t="s">
        <v>13</v>
      </c>
      <c r="H9" t="s">
        <v>14</v>
      </c>
      <c r="I9" t="s">
        <v>14</v>
      </c>
      <c r="J9" t="s">
        <v>332</v>
      </c>
    </row>
    <row r="10" spans="1:11" hidden="1" x14ac:dyDescent="0.25">
      <c r="A10" t="s">
        <v>22</v>
      </c>
      <c r="D10" t="s">
        <v>11</v>
      </c>
      <c r="E10">
        <v>1</v>
      </c>
      <c r="F10" t="s">
        <v>12</v>
      </c>
      <c r="G10" t="s">
        <v>13</v>
      </c>
      <c r="H10" t="s">
        <v>14</v>
      </c>
      <c r="I10" t="s">
        <v>14</v>
      </c>
      <c r="J10" t="s">
        <v>332</v>
      </c>
    </row>
    <row r="11" spans="1:11" hidden="1" x14ac:dyDescent="0.25">
      <c r="A11" t="s">
        <v>23</v>
      </c>
      <c r="D11" t="s">
        <v>11</v>
      </c>
      <c r="E11">
        <v>1</v>
      </c>
      <c r="F11" t="s">
        <v>12</v>
      </c>
      <c r="G11" t="s">
        <v>13</v>
      </c>
      <c r="H11" t="s">
        <v>14</v>
      </c>
      <c r="I11" t="s">
        <v>14</v>
      </c>
      <c r="J11" t="s">
        <v>332</v>
      </c>
    </row>
    <row r="12" spans="1:11" hidden="1" x14ac:dyDescent="0.25">
      <c r="A12" t="s">
        <v>24</v>
      </c>
      <c r="D12" t="s">
        <v>11</v>
      </c>
      <c r="E12">
        <v>1</v>
      </c>
      <c r="F12" t="s">
        <v>12</v>
      </c>
      <c r="G12" t="s">
        <v>13</v>
      </c>
      <c r="H12" t="s">
        <v>14</v>
      </c>
      <c r="I12" t="s">
        <v>14</v>
      </c>
      <c r="J12" t="s">
        <v>332</v>
      </c>
    </row>
    <row r="13" spans="1:11" hidden="1" x14ac:dyDescent="0.25">
      <c r="A13" s="4" t="s">
        <v>25</v>
      </c>
      <c r="B13" s="4"/>
      <c r="C13" s="4"/>
      <c r="D13" s="4" t="s">
        <v>11</v>
      </c>
      <c r="E13" s="4">
        <f>64000/(64000+136000)</f>
        <v>0.32</v>
      </c>
      <c r="F13" s="4" t="s">
        <v>357</v>
      </c>
      <c r="G13" s="4" t="s">
        <v>358</v>
      </c>
      <c r="H13" s="4" t="s">
        <v>14</v>
      </c>
      <c r="I13" s="4" t="s">
        <v>14</v>
      </c>
      <c r="J13" s="4" t="s">
        <v>332</v>
      </c>
      <c r="K13" s="4" t="s">
        <v>356</v>
      </c>
    </row>
    <row r="14" spans="1:11" hidden="1" x14ac:dyDescent="0.25">
      <c r="A14" t="s">
        <v>25</v>
      </c>
      <c r="D14" t="s">
        <v>11</v>
      </c>
      <c r="E14" s="4">
        <f>136000/(64000+136000)</f>
        <v>0.68</v>
      </c>
      <c r="F14" t="s">
        <v>12</v>
      </c>
      <c r="G14" t="s">
        <v>13</v>
      </c>
      <c r="H14" t="s">
        <v>14</v>
      </c>
      <c r="I14" t="s">
        <v>14</v>
      </c>
      <c r="J14" t="s">
        <v>332</v>
      </c>
    </row>
    <row r="15" spans="1:11" hidden="1" x14ac:dyDescent="0.25">
      <c r="A15" t="s">
        <v>26</v>
      </c>
      <c r="D15" t="s">
        <v>11</v>
      </c>
      <c r="E15">
        <v>1</v>
      </c>
      <c r="F15" t="s">
        <v>12</v>
      </c>
      <c r="G15" t="s">
        <v>13</v>
      </c>
      <c r="H15" t="s">
        <v>14</v>
      </c>
      <c r="I15" t="s">
        <v>14</v>
      </c>
      <c r="J15" t="s">
        <v>332</v>
      </c>
    </row>
    <row r="16" spans="1:11" hidden="1" x14ac:dyDescent="0.25">
      <c r="A16" t="s">
        <v>27</v>
      </c>
      <c r="D16" t="s">
        <v>11</v>
      </c>
      <c r="E16">
        <v>1</v>
      </c>
      <c r="F16" t="s">
        <v>12</v>
      </c>
      <c r="G16" t="s">
        <v>13</v>
      </c>
      <c r="H16" t="s">
        <v>14</v>
      </c>
      <c r="I16" t="s">
        <v>14</v>
      </c>
      <c r="J16" t="s">
        <v>332</v>
      </c>
    </row>
    <row r="17" spans="1:11" hidden="1" x14ac:dyDescent="0.25">
      <c r="A17" t="s">
        <v>28</v>
      </c>
      <c r="D17" t="s">
        <v>11</v>
      </c>
      <c r="E17">
        <v>1</v>
      </c>
      <c r="F17" t="s">
        <v>12</v>
      </c>
      <c r="G17" t="s">
        <v>13</v>
      </c>
      <c r="H17" t="s">
        <v>14</v>
      </c>
      <c r="I17" t="s">
        <v>14</v>
      </c>
      <c r="J17" t="s">
        <v>332</v>
      </c>
    </row>
    <row r="18" spans="1:11" hidden="1" x14ac:dyDescent="0.25">
      <c r="A18" t="s">
        <v>29</v>
      </c>
      <c r="D18" t="s">
        <v>11</v>
      </c>
      <c r="E18">
        <v>1</v>
      </c>
      <c r="F18" t="s">
        <v>12</v>
      </c>
      <c r="G18" t="s">
        <v>13</v>
      </c>
      <c r="H18" t="s">
        <v>14</v>
      </c>
      <c r="I18" t="s">
        <v>14</v>
      </c>
      <c r="J18" t="s">
        <v>332</v>
      </c>
    </row>
    <row r="19" spans="1:11" hidden="1" x14ac:dyDescent="0.25">
      <c r="A19" t="s">
        <v>30</v>
      </c>
      <c r="D19" t="s">
        <v>11</v>
      </c>
      <c r="E19">
        <v>1</v>
      </c>
      <c r="F19" t="s">
        <v>12</v>
      </c>
      <c r="G19" t="s">
        <v>13</v>
      </c>
      <c r="H19" t="s">
        <v>14</v>
      </c>
      <c r="I19" t="s">
        <v>14</v>
      </c>
      <c r="J19" t="s">
        <v>332</v>
      </c>
    </row>
    <row r="20" spans="1:11" hidden="1" x14ac:dyDescent="0.25">
      <c r="A20" t="s">
        <v>31</v>
      </c>
      <c r="D20" t="s">
        <v>11</v>
      </c>
      <c r="E20">
        <v>1</v>
      </c>
      <c r="F20" t="s">
        <v>12</v>
      </c>
      <c r="G20" t="s">
        <v>13</v>
      </c>
      <c r="H20" t="s">
        <v>14</v>
      </c>
      <c r="I20" t="s">
        <v>14</v>
      </c>
      <c r="J20" t="s">
        <v>332</v>
      </c>
    </row>
    <row r="21" spans="1:11" hidden="1" x14ac:dyDescent="0.25">
      <c r="A21" t="s">
        <v>32</v>
      </c>
      <c r="D21" t="s">
        <v>11</v>
      </c>
      <c r="E21">
        <v>1</v>
      </c>
      <c r="F21" t="s">
        <v>12</v>
      </c>
      <c r="G21" t="s">
        <v>13</v>
      </c>
      <c r="H21" t="s">
        <v>14</v>
      </c>
      <c r="I21" t="s">
        <v>14</v>
      </c>
      <c r="J21" t="s">
        <v>332</v>
      </c>
    </row>
    <row r="22" spans="1:11" hidden="1" x14ac:dyDescent="0.25">
      <c r="A22" t="s">
        <v>33</v>
      </c>
      <c r="D22" t="s">
        <v>11</v>
      </c>
      <c r="E22">
        <v>1</v>
      </c>
      <c r="F22" t="s">
        <v>12</v>
      </c>
      <c r="G22" t="s">
        <v>13</v>
      </c>
      <c r="H22" t="s">
        <v>14</v>
      </c>
      <c r="I22" t="s">
        <v>14</v>
      </c>
      <c r="J22" t="s">
        <v>332</v>
      </c>
    </row>
    <row r="23" spans="1:11" hidden="1" x14ac:dyDescent="0.25">
      <c r="A23" t="s">
        <v>34</v>
      </c>
      <c r="D23" t="s">
        <v>11</v>
      </c>
      <c r="E23">
        <v>1</v>
      </c>
      <c r="F23" t="s">
        <v>12</v>
      </c>
      <c r="G23" t="s">
        <v>13</v>
      </c>
      <c r="H23" t="s">
        <v>14</v>
      </c>
      <c r="I23" t="s">
        <v>14</v>
      </c>
      <c r="J23" t="s">
        <v>332</v>
      </c>
    </row>
    <row r="24" spans="1:11" hidden="1" x14ac:dyDescent="0.25">
      <c r="A24" t="s">
        <v>35</v>
      </c>
      <c r="D24" t="s">
        <v>11</v>
      </c>
      <c r="E24">
        <v>1</v>
      </c>
      <c r="F24" t="s">
        <v>12</v>
      </c>
      <c r="G24" t="s">
        <v>13</v>
      </c>
      <c r="H24" t="s">
        <v>14</v>
      </c>
      <c r="I24" t="s">
        <v>14</v>
      </c>
      <c r="J24" t="s">
        <v>332</v>
      </c>
    </row>
    <row r="25" spans="1:11" hidden="1" x14ac:dyDescent="0.25">
      <c r="A25" t="s">
        <v>36</v>
      </c>
      <c r="D25" t="s">
        <v>11</v>
      </c>
      <c r="E25">
        <v>1</v>
      </c>
      <c r="F25" t="s">
        <v>12</v>
      </c>
      <c r="G25" t="s">
        <v>13</v>
      </c>
      <c r="H25" t="s">
        <v>14</v>
      </c>
      <c r="I25" t="s">
        <v>14</v>
      </c>
      <c r="J25" t="s">
        <v>332</v>
      </c>
    </row>
    <row r="26" spans="1:11" hidden="1" x14ac:dyDescent="0.25">
      <c r="A26" t="s">
        <v>37</v>
      </c>
      <c r="D26" t="s">
        <v>11</v>
      </c>
      <c r="E26">
        <v>1</v>
      </c>
      <c r="F26" t="s">
        <v>12</v>
      </c>
      <c r="G26" t="s">
        <v>13</v>
      </c>
      <c r="H26" t="s">
        <v>14</v>
      </c>
      <c r="I26" t="s">
        <v>14</v>
      </c>
      <c r="J26" t="s">
        <v>332</v>
      </c>
    </row>
    <row r="27" spans="1:11" hidden="1" x14ac:dyDescent="0.25">
      <c r="A27" t="s">
        <v>10</v>
      </c>
      <c r="D27" t="s">
        <v>38</v>
      </c>
      <c r="E27">
        <v>1</v>
      </c>
      <c r="F27" t="s">
        <v>39</v>
      </c>
      <c r="G27" t="s">
        <v>40</v>
      </c>
      <c r="H27" t="s">
        <v>40</v>
      </c>
      <c r="I27" t="s">
        <v>40</v>
      </c>
      <c r="J27" t="s">
        <v>332</v>
      </c>
    </row>
    <row r="28" spans="1:11" hidden="1" x14ac:dyDescent="0.25">
      <c r="A28" t="s">
        <v>15</v>
      </c>
      <c r="D28" t="s">
        <v>38</v>
      </c>
      <c r="E28">
        <v>1</v>
      </c>
      <c r="F28" t="s">
        <v>39</v>
      </c>
      <c r="G28" t="s">
        <v>40</v>
      </c>
      <c r="H28" t="s">
        <v>40</v>
      </c>
      <c r="I28" t="s">
        <v>40</v>
      </c>
      <c r="J28" t="s">
        <v>332</v>
      </c>
    </row>
    <row r="29" spans="1:11" hidden="1" x14ac:dyDescent="0.25">
      <c r="A29" t="s">
        <v>10</v>
      </c>
      <c r="D29" t="s">
        <v>41</v>
      </c>
      <c r="E29">
        <v>1</v>
      </c>
      <c r="F29" t="s">
        <v>42</v>
      </c>
      <c r="G29" t="s">
        <v>43</v>
      </c>
      <c r="H29" t="s">
        <v>43</v>
      </c>
      <c r="I29" t="s">
        <v>43</v>
      </c>
      <c r="J29" t="s">
        <v>332</v>
      </c>
      <c r="K29" t="s">
        <v>44</v>
      </c>
    </row>
    <row r="30" spans="1:11" hidden="1" x14ac:dyDescent="0.25">
      <c r="A30" t="s">
        <v>15</v>
      </c>
      <c r="D30" t="s">
        <v>41</v>
      </c>
      <c r="E30">
        <v>1</v>
      </c>
      <c r="F30" t="s">
        <v>42</v>
      </c>
      <c r="G30" t="s">
        <v>43</v>
      </c>
      <c r="H30" t="s">
        <v>43</v>
      </c>
      <c r="I30" t="s">
        <v>43</v>
      </c>
      <c r="J30" t="s">
        <v>332</v>
      </c>
    </row>
    <row r="31" spans="1:11" hidden="1" x14ac:dyDescent="0.25">
      <c r="A31" t="s">
        <v>15</v>
      </c>
      <c r="B31" t="s">
        <v>45</v>
      </c>
      <c r="C31" t="s">
        <v>46</v>
      </c>
      <c r="D31" t="s">
        <v>47</v>
      </c>
      <c r="E31" s="2">
        <f>1/(2*10.811/(2*10.811+3*15.999))/0.0373584905660377</f>
        <v>86.187165335717822</v>
      </c>
      <c r="F31" t="s">
        <v>48</v>
      </c>
      <c r="G31" t="s">
        <v>49</v>
      </c>
      <c r="H31" t="s">
        <v>49</v>
      </c>
      <c r="I31" t="s">
        <v>50</v>
      </c>
      <c r="J31" t="s">
        <v>332</v>
      </c>
      <c r="K31" t="s">
        <v>51</v>
      </c>
    </row>
    <row r="32" spans="1:11" hidden="1" x14ac:dyDescent="0.25">
      <c r="A32" t="s">
        <v>16</v>
      </c>
      <c r="D32" t="s">
        <v>47</v>
      </c>
      <c r="E32" s="2">
        <f t="shared" ref="E32:E34" si="0">1/(2*10.811/(2*10.811+3*15.999))</f>
        <v>3.2198224031079454</v>
      </c>
      <c r="F32" t="s">
        <v>48</v>
      </c>
      <c r="G32" t="s">
        <v>49</v>
      </c>
      <c r="H32" t="s">
        <v>49</v>
      </c>
      <c r="I32" t="s">
        <v>50</v>
      </c>
      <c r="J32" t="s">
        <v>332</v>
      </c>
    </row>
    <row r="33" spans="1:11" hidden="1" x14ac:dyDescent="0.25">
      <c r="A33" t="s">
        <v>17</v>
      </c>
      <c r="D33" t="s">
        <v>47</v>
      </c>
      <c r="E33" s="2">
        <f t="shared" si="0"/>
        <v>3.2198224031079454</v>
      </c>
      <c r="F33" t="s">
        <v>48</v>
      </c>
      <c r="G33" t="s">
        <v>49</v>
      </c>
      <c r="H33" t="s">
        <v>49</v>
      </c>
      <c r="I33" t="s">
        <v>50</v>
      </c>
      <c r="J33" t="s">
        <v>332</v>
      </c>
    </row>
    <row r="34" spans="1:11" hidden="1" x14ac:dyDescent="0.25">
      <c r="A34" t="s">
        <v>18</v>
      </c>
      <c r="D34" t="s">
        <v>47</v>
      </c>
      <c r="E34" s="2">
        <f t="shared" si="0"/>
        <v>3.2198224031079454</v>
      </c>
      <c r="F34" t="s">
        <v>48</v>
      </c>
      <c r="G34" t="s">
        <v>49</v>
      </c>
      <c r="H34" t="s">
        <v>49</v>
      </c>
      <c r="I34" t="s">
        <v>50</v>
      </c>
      <c r="J34" t="s">
        <v>332</v>
      </c>
    </row>
    <row r="35" spans="1:11" hidden="1" x14ac:dyDescent="0.25">
      <c r="A35" t="s">
        <v>22</v>
      </c>
      <c r="D35" t="s">
        <v>47</v>
      </c>
      <c r="E35" s="2">
        <f>1/(2*10.811/(2*10.811+6*1.008))</f>
        <v>1.2797151049856628</v>
      </c>
      <c r="F35" t="s">
        <v>372</v>
      </c>
      <c r="G35" t="s">
        <v>52</v>
      </c>
      <c r="H35" t="s">
        <v>52</v>
      </c>
      <c r="I35" t="s">
        <v>50</v>
      </c>
      <c r="J35" t="s">
        <v>332</v>
      </c>
      <c r="K35" t="s">
        <v>53</v>
      </c>
    </row>
    <row r="36" spans="1:11" hidden="1" x14ac:dyDescent="0.25">
      <c r="A36" t="s">
        <v>25</v>
      </c>
      <c r="D36" t="s">
        <v>47</v>
      </c>
      <c r="E36" s="2">
        <f>1/(4*10.811/(4*10.811+1*12.011))</f>
        <v>1.2777495143834983</v>
      </c>
      <c r="F36" t="s">
        <v>54</v>
      </c>
      <c r="G36" t="s">
        <v>55</v>
      </c>
      <c r="H36" t="s">
        <v>55</v>
      </c>
      <c r="I36" t="s">
        <v>50</v>
      </c>
      <c r="J36" t="s">
        <v>332</v>
      </c>
      <c r="K36" t="s">
        <v>56</v>
      </c>
    </row>
    <row r="37" spans="1:11" hidden="1" x14ac:dyDescent="0.25">
      <c r="A37" t="s">
        <v>25</v>
      </c>
      <c r="D37" t="s">
        <v>57</v>
      </c>
      <c r="E37">
        <v>1</v>
      </c>
      <c r="F37" t="s">
        <v>58</v>
      </c>
      <c r="G37" t="s">
        <v>59</v>
      </c>
      <c r="H37" t="s">
        <v>59</v>
      </c>
      <c r="I37" t="s">
        <v>59</v>
      </c>
      <c r="J37" t="s">
        <v>332</v>
      </c>
      <c r="K37" t="s">
        <v>60</v>
      </c>
    </row>
    <row r="38" spans="1:11" hidden="1" x14ac:dyDescent="0.25">
      <c r="A38" t="s">
        <v>25</v>
      </c>
      <c r="D38" t="s">
        <v>61</v>
      </c>
      <c r="E38">
        <v>1</v>
      </c>
      <c r="F38" t="s">
        <v>62</v>
      </c>
      <c r="G38" t="s">
        <v>63</v>
      </c>
      <c r="H38" t="s">
        <v>63</v>
      </c>
      <c r="I38" t="s">
        <v>63</v>
      </c>
      <c r="J38" t="s">
        <v>332</v>
      </c>
    </row>
    <row r="39" spans="1:11" hidden="1" x14ac:dyDescent="0.25">
      <c r="A39" t="s">
        <v>20</v>
      </c>
      <c r="D39" t="s">
        <v>61</v>
      </c>
      <c r="E39" s="2">
        <f>1/(1*112.411/(1*112.411+1*127.6))</f>
        <v>2.135120228447394</v>
      </c>
      <c r="F39" t="s">
        <v>64</v>
      </c>
      <c r="G39" t="s">
        <v>65</v>
      </c>
      <c r="H39" t="s">
        <v>65</v>
      </c>
      <c r="I39" t="s">
        <v>63</v>
      </c>
      <c r="J39" t="s">
        <v>332</v>
      </c>
      <c r="K39" t="s">
        <v>66</v>
      </c>
    </row>
    <row r="40" spans="1:11" hidden="1" x14ac:dyDescent="0.25">
      <c r="A40" t="s">
        <v>21</v>
      </c>
      <c r="D40" t="s">
        <v>61</v>
      </c>
      <c r="E40" s="2">
        <f>1/(1*112.411/(1*112.411+1*32.065))</f>
        <v>1.2852478849934614</v>
      </c>
      <c r="F40" t="s">
        <v>67</v>
      </c>
      <c r="G40" t="s">
        <v>68</v>
      </c>
      <c r="H40" t="s">
        <v>68</v>
      </c>
      <c r="I40" t="s">
        <v>63</v>
      </c>
      <c r="J40" t="s">
        <v>332</v>
      </c>
      <c r="K40" t="s">
        <v>69</v>
      </c>
    </row>
    <row r="41" spans="1:11" hidden="1" x14ac:dyDescent="0.25">
      <c r="A41" t="s">
        <v>22</v>
      </c>
      <c r="D41" t="s">
        <v>61</v>
      </c>
      <c r="E41" s="2">
        <f>1/(1*112.411/(1*112.411+1*127.6))</f>
        <v>2.135120228447394</v>
      </c>
      <c r="F41" t="s">
        <v>64</v>
      </c>
      <c r="G41" t="s">
        <v>65</v>
      </c>
      <c r="H41" t="s">
        <v>65</v>
      </c>
      <c r="I41" t="s">
        <v>63</v>
      </c>
      <c r="J41" t="s">
        <v>332</v>
      </c>
      <c r="K41" t="s">
        <v>66</v>
      </c>
    </row>
    <row r="42" spans="1:11" hidden="1" x14ac:dyDescent="0.25">
      <c r="A42" t="s">
        <v>10</v>
      </c>
      <c r="D42" t="s">
        <v>70</v>
      </c>
      <c r="E42" s="2">
        <f>1/(1*140.116/(1*140.116+2*15.999))</f>
        <v>1.228367923720346</v>
      </c>
      <c r="F42" t="s">
        <v>71</v>
      </c>
      <c r="G42" t="s">
        <v>72</v>
      </c>
      <c r="H42" t="s">
        <v>72</v>
      </c>
      <c r="I42" t="s">
        <v>73</v>
      </c>
      <c r="J42" t="s">
        <v>332</v>
      </c>
      <c r="K42" t="s">
        <v>74</v>
      </c>
    </row>
    <row r="43" spans="1:11" hidden="1" x14ac:dyDescent="0.25">
      <c r="A43" t="s">
        <v>15</v>
      </c>
      <c r="D43" t="s">
        <v>70</v>
      </c>
      <c r="E43" s="2">
        <f t="shared" ref="E43:E46" si="1">1/(1*140.116/(1*140.116+2*15.999))</f>
        <v>1.228367923720346</v>
      </c>
      <c r="F43" t="s">
        <v>71</v>
      </c>
      <c r="G43" t="s">
        <v>72</v>
      </c>
      <c r="H43" t="s">
        <v>72</v>
      </c>
      <c r="I43" t="s">
        <v>73</v>
      </c>
      <c r="J43" t="s">
        <v>332</v>
      </c>
      <c r="K43" t="s">
        <v>74</v>
      </c>
    </row>
    <row r="44" spans="1:11" hidden="1" x14ac:dyDescent="0.25">
      <c r="A44" t="s">
        <v>34</v>
      </c>
      <c r="D44" t="s">
        <v>70</v>
      </c>
      <c r="E44" s="2">
        <f t="shared" si="1"/>
        <v>1.228367923720346</v>
      </c>
      <c r="F44" t="s">
        <v>71</v>
      </c>
      <c r="G44" t="s">
        <v>72</v>
      </c>
      <c r="H44" t="s">
        <v>72</v>
      </c>
      <c r="I44" t="s">
        <v>73</v>
      </c>
      <c r="J44" t="s">
        <v>332</v>
      </c>
      <c r="K44" t="s">
        <v>74</v>
      </c>
    </row>
    <row r="45" spans="1:11" hidden="1" x14ac:dyDescent="0.25">
      <c r="A45" t="s">
        <v>35</v>
      </c>
      <c r="D45" t="s">
        <v>70</v>
      </c>
      <c r="E45" s="2">
        <f t="shared" si="1"/>
        <v>1.228367923720346</v>
      </c>
      <c r="F45" t="s">
        <v>71</v>
      </c>
      <c r="G45" t="s">
        <v>72</v>
      </c>
      <c r="H45" t="s">
        <v>72</v>
      </c>
      <c r="I45" t="s">
        <v>73</v>
      </c>
      <c r="J45" t="s">
        <v>332</v>
      </c>
      <c r="K45" t="s">
        <v>74</v>
      </c>
    </row>
    <row r="46" spans="1:11" hidden="1" x14ac:dyDescent="0.25">
      <c r="A46" s="8" t="s">
        <v>351</v>
      </c>
      <c r="D46" t="s">
        <v>70</v>
      </c>
      <c r="E46" s="2">
        <f t="shared" si="1"/>
        <v>1.228367923720346</v>
      </c>
      <c r="F46" t="s">
        <v>71</v>
      </c>
      <c r="G46" t="s">
        <v>72</v>
      </c>
      <c r="H46" t="s">
        <v>72</v>
      </c>
      <c r="I46" t="s">
        <v>73</v>
      </c>
      <c r="J46" t="s">
        <v>332</v>
      </c>
      <c r="K46" t="s">
        <v>75</v>
      </c>
    </row>
    <row r="47" spans="1:11" hidden="1" x14ac:dyDescent="0.25">
      <c r="A47" t="s">
        <v>16</v>
      </c>
      <c r="D47" t="s">
        <v>76</v>
      </c>
      <c r="E47" s="2">
        <f>1/0.18</f>
        <v>5.5555555555555554</v>
      </c>
      <c r="F47" t="s">
        <v>77</v>
      </c>
      <c r="G47" t="s">
        <v>78</v>
      </c>
      <c r="H47" t="s">
        <v>79</v>
      </c>
      <c r="I47" t="s">
        <v>80</v>
      </c>
      <c r="J47" t="s">
        <v>332</v>
      </c>
      <c r="K47" t="s">
        <v>81</v>
      </c>
    </row>
    <row r="48" spans="1:11" hidden="1" x14ac:dyDescent="0.25">
      <c r="A48" t="s">
        <v>17</v>
      </c>
      <c r="D48" t="s">
        <v>76</v>
      </c>
      <c r="E48" s="2">
        <f>1/0.18</f>
        <v>5.5555555555555554</v>
      </c>
      <c r="F48" t="s">
        <v>77</v>
      </c>
      <c r="G48" t="s">
        <v>78</v>
      </c>
      <c r="H48" t="s">
        <v>79</v>
      </c>
      <c r="I48" t="s">
        <v>80</v>
      </c>
      <c r="J48" t="s">
        <v>332</v>
      </c>
      <c r="K48" t="s">
        <v>81</v>
      </c>
    </row>
    <row r="49" spans="1:11" hidden="1" x14ac:dyDescent="0.25">
      <c r="A49" t="s">
        <v>18</v>
      </c>
      <c r="D49" t="s">
        <v>76</v>
      </c>
      <c r="E49" s="2">
        <f>1/0.18</f>
        <v>5.5555555555555554</v>
      </c>
      <c r="F49" t="s">
        <v>77</v>
      </c>
      <c r="G49" t="s">
        <v>78</v>
      </c>
      <c r="H49" t="s">
        <v>79</v>
      </c>
      <c r="I49" t="s">
        <v>80</v>
      </c>
      <c r="J49" t="s">
        <v>332</v>
      </c>
      <c r="K49" t="s">
        <v>81</v>
      </c>
    </row>
    <row r="50" spans="1:11" hidden="1" x14ac:dyDescent="0.25">
      <c r="A50" t="s">
        <v>20</v>
      </c>
      <c r="D50" t="s">
        <v>76</v>
      </c>
      <c r="E50">
        <v>1</v>
      </c>
      <c r="F50" t="s">
        <v>82</v>
      </c>
      <c r="G50" t="s">
        <v>80</v>
      </c>
      <c r="H50" t="s">
        <v>80</v>
      </c>
      <c r="I50" t="s">
        <v>80</v>
      </c>
      <c r="J50" t="s">
        <v>332</v>
      </c>
      <c r="K50" t="s">
        <v>81</v>
      </c>
    </row>
    <row r="51" spans="1:11" hidden="1" x14ac:dyDescent="0.25">
      <c r="A51" t="s">
        <v>22</v>
      </c>
      <c r="D51" t="s">
        <v>76</v>
      </c>
      <c r="E51">
        <v>2</v>
      </c>
      <c r="F51" t="s">
        <v>82</v>
      </c>
      <c r="G51" t="s">
        <v>80</v>
      </c>
      <c r="H51" t="s">
        <v>80</v>
      </c>
      <c r="I51" t="s">
        <v>80</v>
      </c>
      <c r="J51" t="s">
        <v>332</v>
      </c>
    </row>
    <row r="52" spans="1:11" hidden="1" x14ac:dyDescent="0.25">
      <c r="A52" t="s">
        <v>23</v>
      </c>
      <c r="D52" t="s">
        <v>76</v>
      </c>
      <c r="E52" s="2">
        <f t="shared" ref="E52:E57" si="2">1/0.18</f>
        <v>5.5555555555555554</v>
      </c>
      <c r="F52" t="s">
        <v>83</v>
      </c>
      <c r="G52" t="s">
        <v>84</v>
      </c>
      <c r="H52" t="s">
        <v>79</v>
      </c>
      <c r="I52" t="s">
        <v>80</v>
      </c>
      <c r="J52" t="s">
        <v>332</v>
      </c>
      <c r="K52" t="s">
        <v>81</v>
      </c>
    </row>
    <row r="53" spans="1:11" hidden="1" x14ac:dyDescent="0.25">
      <c r="A53" t="s">
        <v>24</v>
      </c>
      <c r="D53" t="s">
        <v>76</v>
      </c>
      <c r="E53" s="2">
        <f t="shared" si="2"/>
        <v>5.5555555555555554</v>
      </c>
      <c r="F53" t="s">
        <v>83</v>
      </c>
      <c r="G53" t="s">
        <v>84</v>
      </c>
      <c r="H53" t="s">
        <v>79</v>
      </c>
      <c r="I53" t="s">
        <v>80</v>
      </c>
      <c r="J53" t="s">
        <v>332</v>
      </c>
      <c r="K53" t="s">
        <v>81</v>
      </c>
    </row>
    <row r="54" spans="1:11" hidden="1" x14ac:dyDescent="0.25">
      <c r="A54" t="s">
        <v>25</v>
      </c>
      <c r="D54" t="s">
        <v>76</v>
      </c>
      <c r="E54" s="2">
        <f t="shared" si="2"/>
        <v>5.5555555555555554</v>
      </c>
      <c r="F54" t="s">
        <v>83</v>
      </c>
      <c r="G54" t="s">
        <v>84</v>
      </c>
      <c r="H54" t="s">
        <v>79</v>
      </c>
      <c r="J54" t="s">
        <v>332</v>
      </c>
    </row>
    <row r="55" spans="1:11" hidden="1" x14ac:dyDescent="0.25">
      <c r="A55" t="s">
        <v>85</v>
      </c>
      <c r="D55" t="s">
        <v>76</v>
      </c>
      <c r="E55" s="2">
        <f t="shared" si="2"/>
        <v>5.5555555555555554</v>
      </c>
      <c r="F55" t="s">
        <v>83</v>
      </c>
      <c r="G55" t="s">
        <v>84</v>
      </c>
      <c r="H55" t="s">
        <v>79</v>
      </c>
      <c r="J55" t="s">
        <v>332</v>
      </c>
    </row>
    <row r="56" spans="1:11" hidden="1" x14ac:dyDescent="0.25">
      <c r="A56" t="s">
        <v>34</v>
      </c>
      <c r="D56" t="s">
        <v>76</v>
      </c>
      <c r="E56" s="2">
        <f t="shared" si="2"/>
        <v>5.5555555555555554</v>
      </c>
      <c r="F56" t="s">
        <v>83</v>
      </c>
      <c r="G56" t="s">
        <v>84</v>
      </c>
      <c r="H56" t="s">
        <v>79</v>
      </c>
      <c r="J56" t="s">
        <v>332</v>
      </c>
    </row>
    <row r="57" spans="1:11" hidden="1" x14ac:dyDescent="0.25">
      <c r="A57" t="s">
        <v>35</v>
      </c>
      <c r="D57" t="s">
        <v>76</v>
      </c>
      <c r="E57" s="2">
        <f t="shared" si="2"/>
        <v>5.5555555555555554</v>
      </c>
      <c r="F57" t="s">
        <v>83</v>
      </c>
      <c r="G57" t="s">
        <v>84</v>
      </c>
      <c r="H57" t="s">
        <v>79</v>
      </c>
      <c r="J57" t="s">
        <v>332</v>
      </c>
    </row>
    <row r="58" spans="1:11" hidden="1" x14ac:dyDescent="0.25">
      <c r="A58" t="s">
        <v>36</v>
      </c>
      <c r="D58" t="s">
        <v>76</v>
      </c>
      <c r="J58" t="s">
        <v>333</v>
      </c>
    </row>
    <row r="59" spans="1:11" hidden="1" x14ac:dyDescent="0.25">
      <c r="A59" t="s">
        <v>10</v>
      </c>
      <c r="D59" t="s">
        <v>86</v>
      </c>
      <c r="E59">
        <v>1</v>
      </c>
      <c r="F59" t="s">
        <v>87</v>
      </c>
      <c r="G59" t="s">
        <v>88</v>
      </c>
      <c r="H59" t="s">
        <v>88</v>
      </c>
      <c r="I59" t="s">
        <v>88</v>
      </c>
      <c r="J59" t="s">
        <v>332</v>
      </c>
      <c r="K59" t="s">
        <v>89</v>
      </c>
    </row>
    <row r="60" spans="1:11" hidden="1" x14ac:dyDescent="0.25">
      <c r="A60" t="s">
        <v>15</v>
      </c>
      <c r="D60" t="s">
        <v>86</v>
      </c>
      <c r="E60">
        <v>1</v>
      </c>
      <c r="F60" t="s">
        <v>87</v>
      </c>
      <c r="G60" t="s">
        <v>88</v>
      </c>
      <c r="H60" t="s">
        <v>88</v>
      </c>
      <c r="I60" t="s">
        <v>88</v>
      </c>
      <c r="J60" t="s">
        <v>332</v>
      </c>
      <c r="K60" t="s">
        <v>90</v>
      </c>
    </row>
    <row r="61" spans="1:11" hidden="1" x14ac:dyDescent="0.25">
      <c r="A61" t="s">
        <v>91</v>
      </c>
      <c r="D61" t="s">
        <v>86</v>
      </c>
      <c r="E61" s="2">
        <f>1/(1*58.933/(1*58.933+1*32.065+4*15.999))</f>
        <v>2.6300035633685712</v>
      </c>
      <c r="F61" t="s">
        <v>92</v>
      </c>
      <c r="G61" t="s">
        <v>93</v>
      </c>
      <c r="H61" t="s">
        <v>93</v>
      </c>
      <c r="I61" t="s">
        <v>88</v>
      </c>
      <c r="J61" t="s">
        <v>332</v>
      </c>
      <c r="K61" t="s">
        <v>94</v>
      </c>
    </row>
    <row r="62" spans="1:11" hidden="1" x14ac:dyDescent="0.25">
      <c r="A62" t="s">
        <v>26</v>
      </c>
      <c r="D62" t="s">
        <v>86</v>
      </c>
      <c r="E62" s="2">
        <f t="shared" ref="E62:E67" si="3">1/(1*58.933/(1*58.933+1*32.065+4*15.999))</f>
        <v>2.6300035633685712</v>
      </c>
      <c r="F62" t="s">
        <v>92</v>
      </c>
      <c r="G62" t="s">
        <v>93</v>
      </c>
      <c r="H62" t="s">
        <v>93</v>
      </c>
      <c r="I62" t="s">
        <v>88</v>
      </c>
      <c r="J62" t="s">
        <v>332</v>
      </c>
      <c r="K62" t="s">
        <v>94</v>
      </c>
    </row>
    <row r="63" spans="1:11" hidden="1" x14ac:dyDescent="0.25">
      <c r="A63" t="s">
        <v>27</v>
      </c>
      <c r="B63" t="s">
        <v>366</v>
      </c>
      <c r="C63" t="s">
        <v>366</v>
      </c>
      <c r="D63" t="s">
        <v>86</v>
      </c>
      <c r="E63" s="2">
        <f>1/(1*58.933/(1*58.933+1*32.065+4*15.999))/0.41/1/0.95/1/0.949/1</f>
        <v>7.1151271005316641</v>
      </c>
      <c r="F63" t="s">
        <v>92</v>
      </c>
      <c r="G63" t="s">
        <v>93</v>
      </c>
      <c r="H63" t="s">
        <v>93</v>
      </c>
      <c r="I63" t="s">
        <v>88</v>
      </c>
      <c r="J63" t="s">
        <v>332</v>
      </c>
      <c r="K63" t="s">
        <v>95</v>
      </c>
    </row>
    <row r="64" spans="1:11" hidden="1" x14ac:dyDescent="0.25">
      <c r="A64" t="s">
        <v>28</v>
      </c>
      <c r="B64" t="s">
        <v>367</v>
      </c>
      <c r="C64" t="s">
        <v>367</v>
      </c>
      <c r="D64" t="s">
        <v>86</v>
      </c>
      <c r="E64" s="2">
        <f>1/(1*58.933/(1*58.933+1*32.065+4*15.999))/0.41/0.95/0.949</f>
        <v>7.1151271005316641</v>
      </c>
      <c r="F64" t="s">
        <v>92</v>
      </c>
      <c r="G64" t="s">
        <v>93</v>
      </c>
      <c r="H64" t="s">
        <v>93</v>
      </c>
      <c r="I64" t="s">
        <v>88</v>
      </c>
      <c r="J64" t="s">
        <v>332</v>
      </c>
      <c r="K64" t="s">
        <v>96</v>
      </c>
    </row>
    <row r="65" spans="1:11" hidden="1" x14ac:dyDescent="0.25">
      <c r="A65" t="s">
        <v>337</v>
      </c>
      <c r="B65" t="s">
        <v>336</v>
      </c>
      <c r="C65" t="s">
        <v>336</v>
      </c>
      <c r="D65" t="s">
        <v>86</v>
      </c>
      <c r="E65" s="2">
        <f>1/(1*58.933/(1*58.933+1*32.065+4*15.999))/0.3773/1/0.95/1/0.949/1</f>
        <v>7.7317840212509461</v>
      </c>
      <c r="F65" t="s">
        <v>92</v>
      </c>
      <c r="G65" t="s">
        <v>93</v>
      </c>
      <c r="H65" t="s">
        <v>93</v>
      </c>
      <c r="I65" t="s">
        <v>88</v>
      </c>
      <c r="J65" t="s">
        <v>332</v>
      </c>
      <c r="K65" t="s">
        <v>96</v>
      </c>
    </row>
    <row r="66" spans="1:11" hidden="1" x14ac:dyDescent="0.25">
      <c r="A66" t="s">
        <v>29</v>
      </c>
      <c r="B66" t="s">
        <v>97</v>
      </c>
      <c r="C66" t="s">
        <v>98</v>
      </c>
      <c r="D66" t="s">
        <v>86</v>
      </c>
      <c r="E66" s="2">
        <f>1/(1*58.933/(1*58.933+1*32.065+4*15.999))/0.3738/0.95/0.95</f>
        <v>7.7959640774573087</v>
      </c>
      <c r="F66" t="s">
        <v>92</v>
      </c>
      <c r="G66" t="s">
        <v>93</v>
      </c>
      <c r="H66" t="s">
        <v>93</v>
      </c>
      <c r="I66" t="s">
        <v>88</v>
      </c>
      <c r="J66" t="s">
        <v>332</v>
      </c>
      <c r="K66" t="s">
        <v>96</v>
      </c>
    </row>
    <row r="67" spans="1:11" hidden="1" x14ac:dyDescent="0.25">
      <c r="A67" t="s">
        <v>30</v>
      </c>
      <c r="D67" t="s">
        <v>86</v>
      </c>
      <c r="E67" s="2">
        <f t="shared" si="3"/>
        <v>2.6300035633685712</v>
      </c>
      <c r="F67" t="s">
        <v>92</v>
      </c>
      <c r="G67" t="s">
        <v>93</v>
      </c>
      <c r="H67" t="s">
        <v>93</v>
      </c>
      <c r="I67" t="s">
        <v>88</v>
      </c>
      <c r="J67" t="s">
        <v>332</v>
      </c>
      <c r="K67" t="s">
        <v>94</v>
      </c>
    </row>
    <row r="68" spans="1:11" hidden="1" x14ac:dyDescent="0.25">
      <c r="A68" t="s">
        <v>99</v>
      </c>
      <c r="B68" t="s">
        <v>100</v>
      </c>
      <c r="C68" t="s">
        <v>101</v>
      </c>
      <c r="D68" t="s">
        <v>86</v>
      </c>
      <c r="E68" s="2">
        <f>1/0.35895/1</f>
        <v>2.7859033291544786</v>
      </c>
      <c r="F68" t="s">
        <v>87</v>
      </c>
      <c r="G68" t="s">
        <v>88</v>
      </c>
      <c r="H68" t="s">
        <v>88</v>
      </c>
      <c r="I68" t="s">
        <v>88</v>
      </c>
      <c r="J68" t="s">
        <v>332</v>
      </c>
      <c r="K68" t="s">
        <v>96</v>
      </c>
    </row>
    <row r="69" spans="1:11" hidden="1" x14ac:dyDescent="0.25">
      <c r="A69" t="s">
        <v>34</v>
      </c>
      <c r="D69" t="s">
        <v>86</v>
      </c>
      <c r="E69">
        <v>1</v>
      </c>
      <c r="F69" t="s">
        <v>87</v>
      </c>
      <c r="G69" t="s">
        <v>88</v>
      </c>
      <c r="H69" t="s">
        <v>88</v>
      </c>
      <c r="I69" t="s">
        <v>88</v>
      </c>
      <c r="J69" t="s">
        <v>332</v>
      </c>
    </row>
    <row r="70" spans="1:11" hidden="1" x14ac:dyDescent="0.25">
      <c r="A70" t="s">
        <v>37</v>
      </c>
      <c r="D70" t="s">
        <v>86</v>
      </c>
      <c r="E70">
        <v>1</v>
      </c>
      <c r="F70" t="s">
        <v>87</v>
      </c>
      <c r="G70" t="s">
        <v>88</v>
      </c>
      <c r="H70" t="s">
        <v>88</v>
      </c>
      <c r="I70" t="s">
        <v>88</v>
      </c>
      <c r="J70" t="s">
        <v>332</v>
      </c>
    </row>
    <row r="71" spans="1:11" hidden="1" x14ac:dyDescent="0.25">
      <c r="A71" s="8" t="s">
        <v>351</v>
      </c>
      <c r="D71" t="s">
        <v>86</v>
      </c>
      <c r="E71">
        <v>1</v>
      </c>
      <c r="F71" t="s">
        <v>87</v>
      </c>
      <c r="G71" t="s">
        <v>88</v>
      </c>
      <c r="H71" t="s">
        <v>88</v>
      </c>
      <c r="I71" t="s">
        <v>88</v>
      </c>
      <c r="J71" t="s">
        <v>332</v>
      </c>
    </row>
    <row r="72" spans="1:11" hidden="1" x14ac:dyDescent="0.25">
      <c r="D72" s="3" t="s">
        <v>102</v>
      </c>
      <c r="J72" t="s">
        <v>333</v>
      </c>
      <c r="K72" t="s">
        <v>103</v>
      </c>
    </row>
    <row r="73" spans="1:11" hidden="1" x14ac:dyDescent="0.25">
      <c r="A73" t="s">
        <v>10</v>
      </c>
      <c r="D73" t="s">
        <v>104</v>
      </c>
      <c r="E73" s="2">
        <f>1/(2*162.5/(2*162.5+3*15.999))</f>
        <v>1.147683076923077</v>
      </c>
      <c r="F73" t="s">
        <v>105</v>
      </c>
      <c r="G73" t="s">
        <v>106</v>
      </c>
      <c r="H73" t="s">
        <v>106</v>
      </c>
      <c r="I73" t="s">
        <v>107</v>
      </c>
      <c r="J73" t="s">
        <v>332</v>
      </c>
      <c r="K73" t="s">
        <v>108</v>
      </c>
    </row>
    <row r="74" spans="1:11" hidden="1" x14ac:dyDescent="0.25">
      <c r="A74" t="s">
        <v>15</v>
      </c>
      <c r="D74" t="s">
        <v>104</v>
      </c>
      <c r="E74" s="2">
        <f t="shared" ref="E74:E77" si="4">1/(2*162.5/(2*162.5+3*15.999))</f>
        <v>1.147683076923077</v>
      </c>
      <c r="F74" t="s">
        <v>105</v>
      </c>
      <c r="G74" t="s">
        <v>106</v>
      </c>
      <c r="H74" t="s">
        <v>106</v>
      </c>
      <c r="I74" t="s">
        <v>107</v>
      </c>
      <c r="J74" t="s">
        <v>332</v>
      </c>
      <c r="K74" t="s">
        <v>108</v>
      </c>
    </row>
    <row r="75" spans="1:11" hidden="1" x14ac:dyDescent="0.25">
      <c r="A75" t="s">
        <v>16</v>
      </c>
      <c r="D75" t="s">
        <v>104</v>
      </c>
      <c r="E75" s="2">
        <f t="shared" si="4"/>
        <v>1.147683076923077</v>
      </c>
      <c r="F75" t="s">
        <v>105</v>
      </c>
      <c r="G75" t="s">
        <v>106</v>
      </c>
      <c r="H75" t="s">
        <v>106</v>
      </c>
      <c r="I75" t="s">
        <v>107</v>
      </c>
      <c r="J75" t="s">
        <v>332</v>
      </c>
      <c r="K75" t="s">
        <v>108</v>
      </c>
    </row>
    <row r="76" spans="1:11" hidden="1" x14ac:dyDescent="0.25">
      <c r="A76" t="s">
        <v>17</v>
      </c>
      <c r="D76" t="s">
        <v>104</v>
      </c>
      <c r="E76" s="2">
        <f t="shared" si="4"/>
        <v>1.147683076923077</v>
      </c>
      <c r="F76" t="s">
        <v>105</v>
      </c>
      <c r="G76" t="s">
        <v>106</v>
      </c>
      <c r="H76" t="s">
        <v>106</v>
      </c>
      <c r="I76" t="s">
        <v>107</v>
      </c>
      <c r="J76" t="s">
        <v>332</v>
      </c>
      <c r="K76" t="s">
        <v>108</v>
      </c>
    </row>
    <row r="77" spans="1:11" hidden="1" x14ac:dyDescent="0.25">
      <c r="A77" t="s">
        <v>18</v>
      </c>
      <c r="D77" t="s">
        <v>104</v>
      </c>
      <c r="E77" s="2">
        <f t="shared" si="4"/>
        <v>1.147683076923077</v>
      </c>
      <c r="F77" t="s">
        <v>105</v>
      </c>
      <c r="G77" t="s">
        <v>106</v>
      </c>
      <c r="H77" t="s">
        <v>106</v>
      </c>
      <c r="I77" t="s">
        <v>107</v>
      </c>
      <c r="J77" t="s">
        <v>332</v>
      </c>
      <c r="K77" t="s">
        <v>108</v>
      </c>
    </row>
    <row r="78" spans="1:11" hidden="1" x14ac:dyDescent="0.25">
      <c r="A78" t="s">
        <v>10</v>
      </c>
      <c r="D78" t="s">
        <v>109</v>
      </c>
      <c r="E78" s="2">
        <f>1/(2*167.259/(2*167.259+3*15.999))</f>
        <v>1.1434810682833212</v>
      </c>
      <c r="F78" t="s">
        <v>110</v>
      </c>
      <c r="G78" t="s">
        <v>111</v>
      </c>
      <c r="H78" t="s">
        <v>111</v>
      </c>
      <c r="I78" t="s">
        <v>112</v>
      </c>
      <c r="J78" t="s">
        <v>332</v>
      </c>
      <c r="K78" t="s">
        <v>113</v>
      </c>
    </row>
    <row r="79" spans="1:11" hidden="1" x14ac:dyDescent="0.25">
      <c r="A79" t="s">
        <v>15</v>
      </c>
      <c r="D79" t="s">
        <v>109</v>
      </c>
      <c r="E79" s="2">
        <f>1/(2*167.259/(2*167.259+3*15.999))</f>
        <v>1.1434810682833212</v>
      </c>
      <c r="F79" t="s">
        <v>110</v>
      </c>
      <c r="G79" t="s">
        <v>111</v>
      </c>
      <c r="H79" t="s">
        <v>111</v>
      </c>
      <c r="I79" t="s">
        <v>112</v>
      </c>
      <c r="J79" t="s">
        <v>332</v>
      </c>
      <c r="K79" t="s">
        <v>113</v>
      </c>
    </row>
    <row r="80" spans="1:11" hidden="1" x14ac:dyDescent="0.25">
      <c r="A80" t="s">
        <v>10</v>
      </c>
      <c r="D80" t="s">
        <v>114</v>
      </c>
      <c r="E80" s="2">
        <f>1/(2*151.964/(2*151.964+3*15.999))</f>
        <v>1.1579222710641994</v>
      </c>
      <c r="F80" t="s">
        <v>115</v>
      </c>
      <c r="G80" t="s">
        <v>116</v>
      </c>
      <c r="H80" t="s">
        <v>116</v>
      </c>
      <c r="I80" t="s">
        <v>117</v>
      </c>
      <c r="J80" t="s">
        <v>332</v>
      </c>
      <c r="K80" t="s">
        <v>118</v>
      </c>
    </row>
    <row r="81" spans="1:11" hidden="1" x14ac:dyDescent="0.25">
      <c r="A81" t="s">
        <v>15</v>
      </c>
      <c r="D81" t="s">
        <v>114</v>
      </c>
      <c r="E81" s="2">
        <f>1/(2*151.964/(2*151.964+3*15.999))</f>
        <v>1.1579222710641994</v>
      </c>
      <c r="F81" t="s">
        <v>115</v>
      </c>
      <c r="G81" t="s">
        <v>116</v>
      </c>
      <c r="H81" t="s">
        <v>116</v>
      </c>
      <c r="I81" t="s">
        <v>117</v>
      </c>
      <c r="J81" t="s">
        <v>332</v>
      </c>
      <c r="K81" t="s">
        <v>118</v>
      </c>
    </row>
    <row r="82" spans="1:11" hidden="1" x14ac:dyDescent="0.25">
      <c r="A82" t="s">
        <v>10</v>
      </c>
      <c r="D82" t="s">
        <v>119</v>
      </c>
      <c r="E82" s="2">
        <f>1/(2*157.25/(2*157.25+3*15.999))</f>
        <v>1.1526136724960254</v>
      </c>
      <c r="F82" t="s">
        <v>120</v>
      </c>
      <c r="G82" t="s">
        <v>121</v>
      </c>
      <c r="H82" t="s">
        <v>121</v>
      </c>
      <c r="I82" t="s">
        <v>122</v>
      </c>
      <c r="J82" t="s">
        <v>332</v>
      </c>
      <c r="K82" t="s">
        <v>123</v>
      </c>
    </row>
    <row r="83" spans="1:11" hidden="1" x14ac:dyDescent="0.25">
      <c r="A83" t="s">
        <v>15</v>
      </c>
      <c r="D83" t="s">
        <v>119</v>
      </c>
      <c r="E83" s="2">
        <f t="shared" ref="E83:E85" si="5">1/(2*157.25/(2*157.25+3*15.999))</f>
        <v>1.1526136724960254</v>
      </c>
      <c r="F83" t="s">
        <v>120</v>
      </c>
      <c r="G83" t="s">
        <v>121</v>
      </c>
      <c r="H83" t="s">
        <v>121</v>
      </c>
      <c r="I83" t="s">
        <v>122</v>
      </c>
      <c r="J83" t="s">
        <v>332</v>
      </c>
    </row>
    <row r="84" spans="1:11" hidden="1" x14ac:dyDescent="0.25">
      <c r="A84" t="s">
        <v>34</v>
      </c>
      <c r="D84" t="s">
        <v>119</v>
      </c>
      <c r="E84" s="2">
        <f t="shared" si="5"/>
        <v>1.1526136724960254</v>
      </c>
      <c r="F84" t="s">
        <v>120</v>
      </c>
      <c r="G84" t="s">
        <v>121</v>
      </c>
      <c r="H84" t="s">
        <v>121</v>
      </c>
      <c r="I84" t="s">
        <v>122</v>
      </c>
      <c r="J84" t="s">
        <v>332</v>
      </c>
    </row>
    <row r="85" spans="1:11" hidden="1" x14ac:dyDescent="0.25">
      <c r="A85" t="s">
        <v>35</v>
      </c>
      <c r="D85" t="s">
        <v>119</v>
      </c>
      <c r="E85" s="2">
        <f t="shared" si="5"/>
        <v>1.1526136724960254</v>
      </c>
      <c r="F85" t="s">
        <v>120</v>
      </c>
      <c r="G85" t="s">
        <v>121</v>
      </c>
      <c r="H85" t="s">
        <v>121</v>
      </c>
      <c r="I85" t="s">
        <v>122</v>
      </c>
      <c r="J85" t="s">
        <v>332</v>
      </c>
    </row>
    <row r="86" spans="1:11" hidden="1" x14ac:dyDescent="0.25">
      <c r="A86" t="s">
        <v>10</v>
      </c>
      <c r="D86" t="s">
        <v>124</v>
      </c>
      <c r="E86">
        <v>1</v>
      </c>
      <c r="F86" t="s">
        <v>125</v>
      </c>
      <c r="G86" t="s">
        <v>126</v>
      </c>
      <c r="H86" t="s">
        <v>127</v>
      </c>
      <c r="I86" t="s">
        <v>127</v>
      </c>
      <c r="J86" t="s">
        <v>332</v>
      </c>
    </row>
    <row r="87" spans="1:11" hidden="1" x14ac:dyDescent="0.25">
      <c r="A87" t="s">
        <v>19</v>
      </c>
      <c r="D87" t="s">
        <v>124</v>
      </c>
      <c r="E87">
        <v>2</v>
      </c>
      <c r="F87" t="s">
        <v>125</v>
      </c>
      <c r="G87" t="s">
        <v>126</v>
      </c>
      <c r="H87" t="s">
        <v>127</v>
      </c>
      <c r="I87" t="s">
        <v>127</v>
      </c>
      <c r="J87" t="s">
        <v>332</v>
      </c>
    </row>
    <row r="88" spans="1:11" hidden="1" x14ac:dyDescent="0.25">
      <c r="A88" t="s">
        <v>21</v>
      </c>
      <c r="D88" t="s">
        <v>124</v>
      </c>
      <c r="E88">
        <v>3</v>
      </c>
      <c r="F88" t="s">
        <v>125</v>
      </c>
      <c r="G88" t="s">
        <v>126</v>
      </c>
      <c r="H88" t="s">
        <v>127</v>
      </c>
      <c r="I88" t="s">
        <v>127</v>
      </c>
      <c r="J88" t="s">
        <v>332</v>
      </c>
      <c r="K88" t="s">
        <v>81</v>
      </c>
    </row>
    <row r="89" spans="1:11" x14ac:dyDescent="0.25">
      <c r="A89" t="s">
        <v>10</v>
      </c>
      <c r="D89" t="s">
        <v>128</v>
      </c>
      <c r="E89">
        <v>1</v>
      </c>
      <c r="F89" t="s">
        <v>129</v>
      </c>
      <c r="G89" t="s">
        <v>130</v>
      </c>
      <c r="H89" t="s">
        <v>131</v>
      </c>
      <c r="I89" t="s">
        <v>131</v>
      </c>
      <c r="J89" t="s">
        <v>332</v>
      </c>
      <c r="K89" s="4" t="s">
        <v>132</v>
      </c>
    </row>
    <row r="90" spans="1:11" x14ac:dyDescent="0.25">
      <c r="A90" t="s">
        <v>22</v>
      </c>
      <c r="D90" t="s">
        <v>128</v>
      </c>
      <c r="E90">
        <v>1</v>
      </c>
      <c r="F90" t="s">
        <v>129</v>
      </c>
      <c r="G90" t="s">
        <v>130</v>
      </c>
      <c r="H90" t="s">
        <v>131</v>
      </c>
      <c r="I90" t="s">
        <v>131</v>
      </c>
      <c r="J90" t="s">
        <v>332</v>
      </c>
    </row>
    <row r="91" spans="1:11" hidden="1" x14ac:dyDescent="0.25">
      <c r="A91" t="s">
        <v>10</v>
      </c>
      <c r="D91" t="s">
        <v>133</v>
      </c>
      <c r="E91">
        <v>1</v>
      </c>
      <c r="F91" t="s">
        <v>134</v>
      </c>
      <c r="G91" t="s">
        <v>135</v>
      </c>
      <c r="H91" t="s">
        <v>135</v>
      </c>
      <c r="I91" t="s">
        <v>135</v>
      </c>
      <c r="J91" t="s">
        <v>332</v>
      </c>
    </row>
    <row r="92" spans="1:11" hidden="1" x14ac:dyDescent="0.25">
      <c r="A92" t="s">
        <v>15</v>
      </c>
      <c r="D92" t="s">
        <v>133</v>
      </c>
      <c r="E92">
        <v>1</v>
      </c>
      <c r="F92" t="s">
        <v>134</v>
      </c>
      <c r="G92" t="s">
        <v>135</v>
      </c>
      <c r="H92" t="s">
        <v>135</v>
      </c>
      <c r="I92" t="s">
        <v>135</v>
      </c>
      <c r="J92" t="s">
        <v>332</v>
      </c>
    </row>
    <row r="93" spans="1:11" hidden="1" x14ac:dyDescent="0.25">
      <c r="A93" t="s">
        <v>27</v>
      </c>
      <c r="B93" t="s">
        <v>361</v>
      </c>
      <c r="C93" t="s">
        <v>136</v>
      </c>
      <c r="D93" t="s">
        <v>137</v>
      </c>
      <c r="E93">
        <f>1/0.2</f>
        <v>5</v>
      </c>
      <c r="F93" t="s">
        <v>359</v>
      </c>
      <c r="G93" t="s">
        <v>360</v>
      </c>
      <c r="H93" t="s">
        <v>138</v>
      </c>
      <c r="I93" t="s">
        <v>138</v>
      </c>
      <c r="J93" t="s">
        <v>332</v>
      </c>
      <c r="K93" s="3" t="s">
        <v>139</v>
      </c>
    </row>
    <row r="94" spans="1:11" hidden="1" x14ac:dyDescent="0.25">
      <c r="A94" t="s">
        <v>28</v>
      </c>
      <c r="B94" t="s">
        <v>361</v>
      </c>
      <c r="C94" t="s">
        <v>136</v>
      </c>
      <c r="D94" t="s">
        <v>137</v>
      </c>
      <c r="E94">
        <f>1/0.2</f>
        <v>5</v>
      </c>
      <c r="F94" t="s">
        <v>359</v>
      </c>
      <c r="G94" t="s">
        <v>360</v>
      </c>
      <c r="H94" t="s">
        <v>138</v>
      </c>
      <c r="I94" t="s">
        <v>138</v>
      </c>
      <c r="J94" t="s">
        <v>332</v>
      </c>
    </row>
    <row r="95" spans="1:11" hidden="1" x14ac:dyDescent="0.25">
      <c r="A95" t="s">
        <v>29</v>
      </c>
      <c r="B95" t="s">
        <v>361</v>
      </c>
      <c r="C95" t="s">
        <v>136</v>
      </c>
      <c r="D95" t="s">
        <v>137</v>
      </c>
      <c r="E95" s="2">
        <f>1/0.2306</f>
        <v>4.3365134431916736</v>
      </c>
      <c r="F95" t="s">
        <v>359</v>
      </c>
      <c r="G95" t="s">
        <v>360</v>
      </c>
      <c r="H95" t="s">
        <v>138</v>
      </c>
      <c r="I95" t="s">
        <v>138</v>
      </c>
      <c r="J95" t="s">
        <v>332</v>
      </c>
    </row>
    <row r="96" spans="1:11" hidden="1" x14ac:dyDescent="0.25">
      <c r="A96" t="s">
        <v>30</v>
      </c>
      <c r="B96" t="s">
        <v>361</v>
      </c>
      <c r="C96" t="s">
        <v>136</v>
      </c>
      <c r="D96" t="s">
        <v>137</v>
      </c>
      <c r="E96" s="2">
        <f>1/0.9</f>
        <v>1.1111111111111112</v>
      </c>
      <c r="F96" t="s">
        <v>359</v>
      </c>
      <c r="G96" t="s">
        <v>360</v>
      </c>
      <c r="H96" t="s">
        <v>138</v>
      </c>
      <c r="I96" t="s">
        <v>138</v>
      </c>
      <c r="J96" t="s">
        <v>332</v>
      </c>
    </row>
    <row r="97" spans="1:11" hidden="1" x14ac:dyDescent="0.25">
      <c r="A97" t="s">
        <v>37</v>
      </c>
      <c r="D97" t="s">
        <v>137</v>
      </c>
      <c r="E97">
        <v>1</v>
      </c>
      <c r="F97" t="s">
        <v>140</v>
      </c>
      <c r="G97" t="s">
        <v>138</v>
      </c>
      <c r="H97" t="s">
        <v>138</v>
      </c>
      <c r="I97" t="s">
        <v>138</v>
      </c>
      <c r="J97" t="s">
        <v>332</v>
      </c>
    </row>
    <row r="98" spans="1:11" hidden="1" x14ac:dyDescent="0.25">
      <c r="A98" t="s">
        <v>25</v>
      </c>
      <c r="D98" t="s">
        <v>141</v>
      </c>
      <c r="E98">
        <v>1</v>
      </c>
      <c r="F98" s="5" t="s">
        <v>142</v>
      </c>
      <c r="G98" t="s">
        <v>143</v>
      </c>
      <c r="H98" t="s">
        <v>143</v>
      </c>
      <c r="I98" t="s">
        <v>144</v>
      </c>
      <c r="J98" t="s">
        <v>332</v>
      </c>
    </row>
    <row r="99" spans="1:11" hidden="1" x14ac:dyDescent="0.25">
      <c r="A99" t="s">
        <v>10</v>
      </c>
      <c r="D99" t="s">
        <v>145</v>
      </c>
      <c r="E99">
        <v>1</v>
      </c>
      <c r="F99" t="s">
        <v>335</v>
      </c>
      <c r="G99" t="s">
        <v>146</v>
      </c>
      <c r="H99" t="s">
        <v>146</v>
      </c>
      <c r="I99" t="s">
        <v>146</v>
      </c>
      <c r="J99" t="s">
        <v>332</v>
      </c>
    </row>
    <row r="100" spans="1:11" hidden="1" x14ac:dyDescent="0.25">
      <c r="A100" t="s">
        <v>15</v>
      </c>
      <c r="D100" t="s">
        <v>145</v>
      </c>
      <c r="E100">
        <v>1</v>
      </c>
      <c r="F100" t="s">
        <v>335</v>
      </c>
      <c r="G100" t="s">
        <v>146</v>
      </c>
      <c r="H100" t="s">
        <v>146</v>
      </c>
      <c r="I100" t="s">
        <v>146</v>
      </c>
      <c r="J100" t="s">
        <v>332</v>
      </c>
    </row>
    <row r="101" spans="1:11" hidden="1" x14ac:dyDescent="0.25">
      <c r="A101" t="s">
        <v>20</v>
      </c>
      <c r="D101" t="s">
        <v>145</v>
      </c>
      <c r="E101">
        <v>1</v>
      </c>
      <c r="F101" t="s">
        <v>335</v>
      </c>
      <c r="G101" t="s">
        <v>146</v>
      </c>
      <c r="H101" t="s">
        <v>146</v>
      </c>
      <c r="I101" t="s">
        <v>146</v>
      </c>
      <c r="J101" t="s">
        <v>332</v>
      </c>
    </row>
    <row r="102" spans="1:11" hidden="1" x14ac:dyDescent="0.25">
      <c r="A102" t="s">
        <v>21</v>
      </c>
      <c r="D102" t="s">
        <v>145</v>
      </c>
      <c r="E102">
        <v>1</v>
      </c>
      <c r="F102" t="s">
        <v>335</v>
      </c>
      <c r="G102" t="s">
        <v>146</v>
      </c>
      <c r="H102" t="s">
        <v>146</v>
      </c>
      <c r="I102" t="s">
        <v>146</v>
      </c>
      <c r="J102" t="s">
        <v>332</v>
      </c>
    </row>
    <row r="103" spans="1:11" hidden="1" x14ac:dyDescent="0.25">
      <c r="A103" t="s">
        <v>22</v>
      </c>
      <c r="D103" t="s">
        <v>145</v>
      </c>
      <c r="E103">
        <v>1</v>
      </c>
      <c r="F103" t="s">
        <v>335</v>
      </c>
      <c r="G103" t="s">
        <v>146</v>
      </c>
      <c r="H103" t="s">
        <v>146</v>
      </c>
      <c r="I103" t="s">
        <v>146</v>
      </c>
      <c r="J103" t="s">
        <v>332</v>
      </c>
    </row>
    <row r="104" spans="1:11" hidden="1" x14ac:dyDescent="0.25">
      <c r="A104" t="s">
        <v>368</v>
      </c>
      <c r="D104" t="s">
        <v>145</v>
      </c>
      <c r="E104">
        <v>1</v>
      </c>
      <c r="F104" t="s">
        <v>369</v>
      </c>
      <c r="G104" t="s">
        <v>370</v>
      </c>
      <c r="H104" t="s">
        <v>146</v>
      </c>
      <c r="I104" t="s">
        <v>146</v>
      </c>
      <c r="J104" t="s">
        <v>332</v>
      </c>
      <c r="K104" t="s">
        <v>371</v>
      </c>
    </row>
    <row r="105" spans="1:11" hidden="1" x14ac:dyDescent="0.25">
      <c r="A105" t="s">
        <v>25</v>
      </c>
      <c r="D105" t="s">
        <v>145</v>
      </c>
      <c r="E105">
        <v>1</v>
      </c>
      <c r="F105" t="s">
        <v>335</v>
      </c>
      <c r="G105" t="s">
        <v>146</v>
      </c>
      <c r="H105" t="s">
        <v>146</v>
      </c>
      <c r="I105" t="s">
        <v>146</v>
      </c>
      <c r="J105" t="s">
        <v>332</v>
      </c>
    </row>
    <row r="106" spans="1:11" hidden="1" x14ac:dyDescent="0.25">
      <c r="A106" t="s">
        <v>147</v>
      </c>
      <c r="D106" t="s">
        <v>148</v>
      </c>
      <c r="E106">
        <v>1</v>
      </c>
      <c r="F106" t="s">
        <v>149</v>
      </c>
      <c r="G106" t="s">
        <v>150</v>
      </c>
      <c r="H106" t="s">
        <v>150</v>
      </c>
      <c r="I106" t="s">
        <v>150</v>
      </c>
      <c r="J106" t="s">
        <v>332</v>
      </c>
    </row>
    <row r="107" spans="1:11" hidden="1" x14ac:dyDescent="0.25">
      <c r="A107" t="s">
        <v>10</v>
      </c>
      <c r="D107" t="s">
        <v>151</v>
      </c>
      <c r="E107" s="2">
        <f>1/(2*138.905/(2*138.905+3*15.999))</f>
        <v>1.1727691587775819</v>
      </c>
      <c r="F107" t="s">
        <v>152</v>
      </c>
      <c r="G107" t="s">
        <v>153</v>
      </c>
      <c r="H107" t="s">
        <v>153</v>
      </c>
      <c r="I107" t="s">
        <v>154</v>
      </c>
      <c r="J107" t="s">
        <v>332</v>
      </c>
      <c r="K107" t="s">
        <v>155</v>
      </c>
    </row>
    <row r="108" spans="1:11" hidden="1" x14ac:dyDescent="0.25">
      <c r="A108" t="s">
        <v>15</v>
      </c>
      <c r="D108" t="s">
        <v>151</v>
      </c>
      <c r="E108" s="2">
        <f t="shared" ref="E108:E112" si="6">1/(2*138.905/(2*138.905+3*15.999))</f>
        <v>1.1727691587775819</v>
      </c>
      <c r="F108" t="s">
        <v>152</v>
      </c>
      <c r="G108" t="s">
        <v>153</v>
      </c>
      <c r="H108" t="s">
        <v>153</v>
      </c>
      <c r="I108" t="s">
        <v>154</v>
      </c>
      <c r="J108" t="s">
        <v>332</v>
      </c>
      <c r="K108" t="s">
        <v>155</v>
      </c>
    </row>
    <row r="109" spans="1:11" hidden="1" x14ac:dyDescent="0.25">
      <c r="A109" t="s">
        <v>34</v>
      </c>
      <c r="D109" t="s">
        <v>151</v>
      </c>
      <c r="E109" s="2">
        <f t="shared" si="6"/>
        <v>1.1727691587775819</v>
      </c>
      <c r="F109" t="s">
        <v>152</v>
      </c>
      <c r="G109" t="s">
        <v>153</v>
      </c>
      <c r="H109" t="s">
        <v>153</v>
      </c>
      <c r="I109" t="s">
        <v>154</v>
      </c>
      <c r="J109" t="s">
        <v>332</v>
      </c>
      <c r="K109" t="s">
        <v>155</v>
      </c>
    </row>
    <row r="110" spans="1:11" hidden="1" x14ac:dyDescent="0.25">
      <c r="A110" t="s">
        <v>35</v>
      </c>
      <c r="D110" t="s">
        <v>151</v>
      </c>
      <c r="E110" s="2">
        <f t="shared" si="6"/>
        <v>1.1727691587775819</v>
      </c>
      <c r="F110" t="s">
        <v>152</v>
      </c>
      <c r="G110" t="s">
        <v>153</v>
      </c>
      <c r="H110" t="s">
        <v>153</v>
      </c>
      <c r="I110" t="s">
        <v>154</v>
      </c>
      <c r="J110" t="s">
        <v>332</v>
      </c>
      <c r="K110" t="s">
        <v>155</v>
      </c>
    </row>
    <row r="111" spans="1:11" hidden="1" x14ac:dyDescent="0.25">
      <c r="A111" t="s">
        <v>36</v>
      </c>
      <c r="D111" t="s">
        <v>151</v>
      </c>
      <c r="E111" s="2">
        <f t="shared" si="6"/>
        <v>1.1727691587775819</v>
      </c>
      <c r="F111" t="s">
        <v>152</v>
      </c>
      <c r="G111" t="s">
        <v>153</v>
      </c>
      <c r="H111" t="s">
        <v>153</v>
      </c>
      <c r="I111" t="s">
        <v>154</v>
      </c>
      <c r="J111" t="s">
        <v>332</v>
      </c>
      <c r="K111" t="s">
        <v>155</v>
      </c>
    </row>
    <row r="112" spans="1:11" hidden="1" x14ac:dyDescent="0.25">
      <c r="A112" s="8" t="s">
        <v>351</v>
      </c>
      <c r="D112" t="s">
        <v>151</v>
      </c>
      <c r="E112" s="2">
        <f t="shared" si="6"/>
        <v>1.1727691587775819</v>
      </c>
      <c r="F112" t="s">
        <v>152</v>
      </c>
      <c r="G112" t="s">
        <v>153</v>
      </c>
      <c r="H112" t="s">
        <v>153</v>
      </c>
      <c r="I112" t="s">
        <v>154</v>
      </c>
      <c r="J112" t="s">
        <v>332</v>
      </c>
      <c r="K112" t="s">
        <v>155</v>
      </c>
    </row>
    <row r="113" spans="1:11" hidden="1" x14ac:dyDescent="0.25">
      <c r="A113" t="s">
        <v>16</v>
      </c>
      <c r="D113" t="s">
        <v>156</v>
      </c>
      <c r="E113">
        <v>1</v>
      </c>
      <c r="F113" t="s">
        <v>157</v>
      </c>
      <c r="G113" t="s">
        <v>158</v>
      </c>
      <c r="H113" t="s">
        <v>158</v>
      </c>
      <c r="I113" t="s">
        <v>158</v>
      </c>
      <c r="J113" t="s">
        <v>332</v>
      </c>
    </row>
    <row r="114" spans="1:11" hidden="1" x14ac:dyDescent="0.25">
      <c r="A114" t="s">
        <v>19</v>
      </c>
      <c r="D114" t="s">
        <v>156</v>
      </c>
      <c r="E114">
        <v>1</v>
      </c>
      <c r="F114" t="s">
        <v>157</v>
      </c>
      <c r="G114" t="s">
        <v>158</v>
      </c>
      <c r="H114" t="s">
        <v>158</v>
      </c>
      <c r="I114" t="s">
        <v>158</v>
      </c>
      <c r="J114" t="s">
        <v>332</v>
      </c>
    </row>
    <row r="115" spans="1:11" hidden="1" x14ac:dyDescent="0.25">
      <c r="A115" t="s">
        <v>20</v>
      </c>
      <c r="D115" t="s">
        <v>156</v>
      </c>
      <c r="E115">
        <v>1</v>
      </c>
      <c r="F115" t="s">
        <v>157</v>
      </c>
      <c r="G115" t="s">
        <v>158</v>
      </c>
      <c r="H115" t="s">
        <v>158</v>
      </c>
      <c r="I115" t="s">
        <v>158</v>
      </c>
      <c r="J115" t="s">
        <v>332</v>
      </c>
    </row>
    <row r="116" spans="1:11" hidden="1" x14ac:dyDescent="0.25">
      <c r="A116" t="s">
        <v>334</v>
      </c>
      <c r="D116" t="s">
        <v>156</v>
      </c>
      <c r="E116">
        <v>1</v>
      </c>
      <c r="F116" t="s">
        <v>157</v>
      </c>
      <c r="G116" t="s">
        <v>158</v>
      </c>
      <c r="H116" t="s">
        <v>158</v>
      </c>
      <c r="I116" t="s">
        <v>158</v>
      </c>
      <c r="J116" t="s">
        <v>332</v>
      </c>
    </row>
    <row r="117" spans="1:11" hidden="1" x14ac:dyDescent="0.25">
      <c r="A117" t="s">
        <v>25</v>
      </c>
      <c r="D117" t="s">
        <v>156</v>
      </c>
      <c r="E117">
        <v>1</v>
      </c>
      <c r="F117" t="s">
        <v>157</v>
      </c>
      <c r="G117" t="s">
        <v>158</v>
      </c>
      <c r="H117" t="s">
        <v>158</v>
      </c>
      <c r="I117" t="s">
        <v>158</v>
      </c>
      <c r="J117" t="s">
        <v>332</v>
      </c>
    </row>
    <row r="118" spans="1:11" hidden="1" x14ac:dyDescent="0.25">
      <c r="A118" t="s">
        <v>10</v>
      </c>
      <c r="D118" t="s">
        <v>159</v>
      </c>
      <c r="E118" s="2">
        <f>1/(2*6.941/(2*6.941+12.012+3*15.999))</f>
        <v>5.3227921048840221</v>
      </c>
      <c r="F118" t="s">
        <v>160</v>
      </c>
      <c r="G118" t="s">
        <v>161</v>
      </c>
      <c r="H118" t="s">
        <v>161</v>
      </c>
      <c r="I118" t="s">
        <v>162</v>
      </c>
      <c r="J118" t="s">
        <v>332</v>
      </c>
      <c r="K118" t="s">
        <v>163</v>
      </c>
    </row>
    <row r="119" spans="1:11" hidden="1" x14ac:dyDescent="0.25">
      <c r="A119" t="s">
        <v>15</v>
      </c>
      <c r="D119" t="s">
        <v>159</v>
      </c>
      <c r="E119" s="2">
        <f>1/(2*6.941/(2*6.941+12.012+3*15.999))</f>
        <v>5.3227921048840221</v>
      </c>
      <c r="F119" t="s">
        <v>160</v>
      </c>
      <c r="G119" t="s">
        <v>161</v>
      </c>
      <c r="H119" t="s">
        <v>161</v>
      </c>
      <c r="I119" t="s">
        <v>162</v>
      </c>
      <c r="J119" t="s">
        <v>332</v>
      </c>
      <c r="K119" t="s">
        <v>163</v>
      </c>
    </row>
    <row r="120" spans="1:11" hidden="1" x14ac:dyDescent="0.25">
      <c r="A120" t="s">
        <v>91</v>
      </c>
      <c r="D120" t="s">
        <v>159</v>
      </c>
      <c r="E120" s="2"/>
      <c r="J120" t="s">
        <v>333</v>
      </c>
      <c r="K120" t="s">
        <v>164</v>
      </c>
    </row>
    <row r="121" spans="1:11" hidden="1" x14ac:dyDescent="0.25">
      <c r="A121" t="s">
        <v>26</v>
      </c>
      <c r="D121" t="s">
        <v>159</v>
      </c>
      <c r="E121" s="2">
        <f>1/(1*6.941/(1*6.941+54.938*2+15.999*4))</f>
        <v>26.049992796427031</v>
      </c>
      <c r="F121" t="s">
        <v>165</v>
      </c>
      <c r="G121" t="s">
        <v>166</v>
      </c>
      <c r="H121" t="s">
        <v>166</v>
      </c>
      <c r="I121" t="s">
        <v>162</v>
      </c>
      <c r="J121" t="s">
        <v>332</v>
      </c>
      <c r="K121" t="s">
        <v>167</v>
      </c>
    </row>
    <row r="122" spans="1:11" hidden="1" x14ac:dyDescent="0.25">
      <c r="A122" t="s">
        <v>27</v>
      </c>
      <c r="B122" t="s">
        <v>362</v>
      </c>
      <c r="C122" t="s">
        <v>362</v>
      </c>
      <c r="D122" t="s">
        <v>159</v>
      </c>
      <c r="E122" s="2">
        <f>1/(2*6.941/(2*6.941+12.012+3*15.999))/0.41/0.95</f>
        <v>13.665705018957697</v>
      </c>
      <c r="F122" t="s">
        <v>160</v>
      </c>
      <c r="G122" t="s">
        <v>161</v>
      </c>
      <c r="H122" t="s">
        <v>161</v>
      </c>
      <c r="I122" t="s">
        <v>162</v>
      </c>
      <c r="J122" t="s">
        <v>332</v>
      </c>
      <c r="K122" t="s">
        <v>163</v>
      </c>
    </row>
    <row r="123" spans="1:11" hidden="1" x14ac:dyDescent="0.25">
      <c r="A123" t="s">
        <v>28</v>
      </c>
      <c r="B123" t="s">
        <v>363</v>
      </c>
      <c r="C123" t="s">
        <v>363</v>
      </c>
      <c r="D123" t="s">
        <v>159</v>
      </c>
      <c r="E123" s="2">
        <f>1/(2*6.941/(2*6.941+12.012+3*15.999))/0.41/0.95</f>
        <v>13.665705018957697</v>
      </c>
      <c r="F123" t="s">
        <v>160</v>
      </c>
      <c r="G123" t="s">
        <v>161</v>
      </c>
      <c r="H123" t="s">
        <v>161</v>
      </c>
      <c r="I123" t="s">
        <v>162</v>
      </c>
      <c r="J123" t="s">
        <v>332</v>
      </c>
      <c r="K123" t="s">
        <v>163</v>
      </c>
    </row>
    <row r="124" spans="1:11" hidden="1" x14ac:dyDescent="0.25">
      <c r="A124" t="s">
        <v>337</v>
      </c>
      <c r="B124" t="s">
        <v>364</v>
      </c>
      <c r="C124" t="s">
        <v>364</v>
      </c>
      <c r="D124" t="s">
        <v>159</v>
      </c>
      <c r="E124" s="2">
        <f>1/(1*6.941/(1*6.941+1*1.008+1*15.999))/0.3773/0.95</f>
        <v>9.6257991288856779</v>
      </c>
      <c r="F124" t="s">
        <v>168</v>
      </c>
      <c r="G124" t="s">
        <v>169</v>
      </c>
      <c r="H124" t="s">
        <v>169</v>
      </c>
      <c r="I124" t="s">
        <v>162</v>
      </c>
      <c r="J124" t="s">
        <v>332</v>
      </c>
      <c r="K124" t="s">
        <v>170</v>
      </c>
    </row>
    <row r="125" spans="1:11" hidden="1" x14ac:dyDescent="0.25">
      <c r="A125" t="s">
        <v>29</v>
      </c>
      <c r="B125" t="s">
        <v>365</v>
      </c>
      <c r="C125" t="s">
        <v>365</v>
      </c>
      <c r="D125" t="s">
        <v>159</v>
      </c>
      <c r="E125" s="2">
        <f>1/(1*6.941/(1*6.941+1*1.008+1*15.999))/0.3738/0.95</f>
        <v>9.7159283342123235</v>
      </c>
      <c r="F125" t="s">
        <v>168</v>
      </c>
      <c r="G125" t="s">
        <v>169</v>
      </c>
      <c r="H125" t="s">
        <v>169</v>
      </c>
      <c r="I125" t="s">
        <v>162</v>
      </c>
      <c r="J125" t="s">
        <v>332</v>
      </c>
    </row>
    <row r="126" spans="1:11" hidden="1" x14ac:dyDescent="0.25">
      <c r="A126" t="s">
        <v>30</v>
      </c>
      <c r="B126" t="s">
        <v>171</v>
      </c>
      <c r="C126" t="s">
        <v>171</v>
      </c>
      <c r="D126" t="s">
        <v>159</v>
      </c>
      <c r="E126" s="2">
        <f>1/(1*6.941/(1*6.941+1*55.847+1*30.974+4*15.999))</f>
        <v>22.728425298948281</v>
      </c>
      <c r="F126" t="s">
        <v>354</v>
      </c>
      <c r="G126" t="s">
        <v>355</v>
      </c>
      <c r="H126" t="s">
        <v>355</v>
      </c>
      <c r="I126" t="s">
        <v>162</v>
      </c>
      <c r="J126" t="s">
        <v>332</v>
      </c>
      <c r="K126" t="s">
        <v>172</v>
      </c>
    </row>
    <row r="127" spans="1:11" hidden="1" x14ac:dyDescent="0.25">
      <c r="A127" t="s">
        <v>31</v>
      </c>
      <c r="D127" t="s">
        <v>159</v>
      </c>
      <c r="E127" s="2"/>
      <c r="J127" t="s">
        <v>333</v>
      </c>
      <c r="K127" t="s">
        <v>173</v>
      </c>
    </row>
    <row r="128" spans="1:11" hidden="1" x14ac:dyDescent="0.25">
      <c r="A128" t="s">
        <v>32</v>
      </c>
      <c r="D128" t="s">
        <v>159</v>
      </c>
      <c r="E128" s="2"/>
      <c r="J128" t="s">
        <v>333</v>
      </c>
      <c r="K128" t="s">
        <v>174</v>
      </c>
    </row>
    <row r="129" spans="1:11" hidden="1" x14ac:dyDescent="0.25">
      <c r="A129" t="s">
        <v>33</v>
      </c>
      <c r="D129" t="s">
        <v>159</v>
      </c>
      <c r="E129" s="2"/>
      <c r="J129" t="s">
        <v>333</v>
      </c>
      <c r="K129" t="s">
        <v>174</v>
      </c>
    </row>
    <row r="130" spans="1:11" hidden="1" x14ac:dyDescent="0.25">
      <c r="A130" t="s">
        <v>23</v>
      </c>
      <c r="D130" t="s">
        <v>175</v>
      </c>
      <c r="E130">
        <v>1</v>
      </c>
      <c r="F130" t="s">
        <v>176</v>
      </c>
      <c r="G130" t="s">
        <v>177</v>
      </c>
      <c r="H130" t="s">
        <v>177</v>
      </c>
      <c r="I130" t="s">
        <v>177</v>
      </c>
      <c r="J130" t="s">
        <v>332</v>
      </c>
      <c r="K130" t="s">
        <v>178</v>
      </c>
    </row>
    <row r="131" spans="1:11" hidden="1" x14ac:dyDescent="0.25">
      <c r="A131" t="s">
        <v>24</v>
      </c>
      <c r="D131" t="s">
        <v>175</v>
      </c>
      <c r="E131">
        <v>1</v>
      </c>
      <c r="F131" t="s">
        <v>176</v>
      </c>
      <c r="G131" t="s">
        <v>177</v>
      </c>
      <c r="H131" t="s">
        <v>177</v>
      </c>
      <c r="I131" t="s">
        <v>177</v>
      </c>
      <c r="J131" t="s">
        <v>332</v>
      </c>
    </row>
    <row r="132" spans="1:11" hidden="1" x14ac:dyDescent="0.25">
      <c r="A132" t="s">
        <v>10</v>
      </c>
      <c r="D132" t="s">
        <v>179</v>
      </c>
      <c r="E132">
        <v>1</v>
      </c>
      <c r="F132" t="s">
        <v>180</v>
      </c>
      <c r="G132" t="s">
        <v>181</v>
      </c>
      <c r="H132" t="s">
        <v>181</v>
      </c>
      <c r="I132" t="s">
        <v>181</v>
      </c>
      <c r="J132" t="s">
        <v>332</v>
      </c>
    </row>
    <row r="133" spans="1:11" hidden="1" x14ac:dyDescent="0.25">
      <c r="A133" t="s">
        <v>16</v>
      </c>
      <c r="D133" t="s">
        <v>179</v>
      </c>
      <c r="E133">
        <v>1</v>
      </c>
      <c r="F133" t="s">
        <v>180</v>
      </c>
      <c r="G133" t="s">
        <v>181</v>
      </c>
      <c r="H133" t="s">
        <v>181</v>
      </c>
      <c r="I133" t="s">
        <v>181</v>
      </c>
      <c r="J133" t="s">
        <v>332</v>
      </c>
    </row>
    <row r="134" spans="1:11" hidden="1" x14ac:dyDescent="0.25">
      <c r="A134" t="s">
        <v>17</v>
      </c>
      <c r="D134" t="s">
        <v>179</v>
      </c>
      <c r="E134">
        <v>1</v>
      </c>
      <c r="F134" t="s">
        <v>180</v>
      </c>
      <c r="G134" t="s">
        <v>181</v>
      </c>
      <c r="H134" t="s">
        <v>181</v>
      </c>
      <c r="I134" t="s">
        <v>181</v>
      </c>
      <c r="J134" t="s">
        <v>332</v>
      </c>
    </row>
    <row r="135" spans="1:11" hidden="1" x14ac:dyDescent="0.25">
      <c r="A135" t="s">
        <v>18</v>
      </c>
      <c r="D135" t="s">
        <v>179</v>
      </c>
      <c r="E135">
        <v>1</v>
      </c>
      <c r="F135" t="s">
        <v>180</v>
      </c>
      <c r="G135" t="s">
        <v>181</v>
      </c>
      <c r="H135" t="s">
        <v>181</v>
      </c>
      <c r="I135" t="s">
        <v>181</v>
      </c>
      <c r="J135" t="s">
        <v>332</v>
      </c>
    </row>
    <row r="136" spans="1:11" hidden="1" x14ac:dyDescent="0.25">
      <c r="A136" t="s">
        <v>23</v>
      </c>
      <c r="B136" t="s">
        <v>183</v>
      </c>
      <c r="C136" t="s">
        <v>182</v>
      </c>
      <c r="D136" t="s">
        <v>179</v>
      </c>
      <c r="E136">
        <v>1</v>
      </c>
      <c r="F136" t="s">
        <v>180</v>
      </c>
      <c r="G136" t="s">
        <v>181</v>
      </c>
      <c r="H136" t="s">
        <v>181</v>
      </c>
      <c r="I136" t="s">
        <v>181</v>
      </c>
      <c r="J136" t="s">
        <v>332</v>
      </c>
      <c r="K136" t="s">
        <v>184</v>
      </c>
    </row>
    <row r="137" spans="1:11" hidden="1" x14ac:dyDescent="0.25">
      <c r="A137" t="s">
        <v>24</v>
      </c>
      <c r="B137" t="s">
        <v>352</v>
      </c>
      <c r="C137" t="s">
        <v>353</v>
      </c>
      <c r="D137" t="s">
        <v>179</v>
      </c>
      <c r="E137">
        <v>1</v>
      </c>
      <c r="F137" t="s">
        <v>180</v>
      </c>
      <c r="G137" t="s">
        <v>181</v>
      </c>
      <c r="H137" t="s">
        <v>181</v>
      </c>
      <c r="I137" t="s">
        <v>181</v>
      </c>
      <c r="J137" t="s">
        <v>332</v>
      </c>
      <c r="K137" t="s">
        <v>184</v>
      </c>
    </row>
    <row r="138" spans="1:11" hidden="1" x14ac:dyDescent="0.25">
      <c r="A138" t="s">
        <v>26</v>
      </c>
      <c r="D138" t="s">
        <v>179</v>
      </c>
      <c r="J138" t="s">
        <v>333</v>
      </c>
      <c r="K138" t="s">
        <v>185</v>
      </c>
    </row>
    <row r="139" spans="1:11" hidden="1" x14ac:dyDescent="0.25">
      <c r="A139" t="s">
        <v>27</v>
      </c>
      <c r="B139" t="s">
        <v>366</v>
      </c>
      <c r="C139" t="s">
        <v>366</v>
      </c>
      <c r="D139" t="s">
        <v>179</v>
      </c>
      <c r="E139" s="2">
        <f>1/(1*54.938/(1*54.938+32.065*1+4*15.999))/0.41/0.95/0.949</f>
        <v>7.4357974595432594</v>
      </c>
      <c r="F139" t="s">
        <v>186</v>
      </c>
      <c r="G139" t="s">
        <v>187</v>
      </c>
      <c r="H139" t="s">
        <v>187</v>
      </c>
      <c r="I139" t="s">
        <v>181</v>
      </c>
      <c r="J139" t="s">
        <v>332</v>
      </c>
      <c r="K139" t="s">
        <v>81</v>
      </c>
    </row>
    <row r="140" spans="1:11" hidden="1" x14ac:dyDescent="0.25">
      <c r="A140" t="s">
        <v>28</v>
      </c>
      <c r="B140" t="s">
        <v>367</v>
      </c>
      <c r="C140" t="s">
        <v>367</v>
      </c>
      <c r="D140" t="s">
        <v>179</v>
      </c>
      <c r="E140" s="2">
        <f>1/(1*54.938/(1*54.938+32.065*1+4*15.999))/0.41/0.95/0.949</f>
        <v>7.4357974595432594</v>
      </c>
      <c r="F140" t="s">
        <v>186</v>
      </c>
      <c r="G140" t="s">
        <v>187</v>
      </c>
      <c r="H140" t="s">
        <v>187</v>
      </c>
      <c r="I140" t="s">
        <v>181</v>
      </c>
      <c r="J140" t="s">
        <v>332</v>
      </c>
      <c r="K140" t="s">
        <v>81</v>
      </c>
    </row>
    <row r="141" spans="1:11" hidden="1" x14ac:dyDescent="0.25">
      <c r="A141" t="s">
        <v>337</v>
      </c>
      <c r="B141" t="s">
        <v>336</v>
      </c>
      <c r="C141" t="s">
        <v>336</v>
      </c>
      <c r="D141" t="s">
        <v>179</v>
      </c>
      <c r="E141" s="2">
        <f>1/(1*54.938/(1*54.938+32.065*1+4*15.999))/0.3773/0.95/0.949</f>
        <v>8.0802463779823377</v>
      </c>
      <c r="F141" t="s">
        <v>186</v>
      </c>
      <c r="G141" t="s">
        <v>187</v>
      </c>
      <c r="H141" t="s">
        <v>187</v>
      </c>
      <c r="I141" t="s">
        <v>181</v>
      </c>
      <c r="J141" t="s">
        <v>332</v>
      </c>
      <c r="K141" t="s">
        <v>81</v>
      </c>
    </row>
    <row r="142" spans="1:11" hidden="1" x14ac:dyDescent="0.25">
      <c r="A142" t="s">
        <v>29</v>
      </c>
      <c r="D142" t="s">
        <v>179</v>
      </c>
      <c r="E142">
        <v>1</v>
      </c>
      <c r="F142" t="s">
        <v>180</v>
      </c>
      <c r="G142" t="s">
        <v>181</v>
      </c>
      <c r="H142" t="s">
        <v>181</v>
      </c>
      <c r="I142" t="s">
        <v>181</v>
      </c>
      <c r="J142" t="s">
        <v>332</v>
      </c>
    </row>
    <row r="143" spans="1:11" hidden="1" x14ac:dyDescent="0.25">
      <c r="A143" t="s">
        <v>30</v>
      </c>
      <c r="D143" t="s">
        <v>179</v>
      </c>
      <c r="E143">
        <v>1</v>
      </c>
      <c r="F143" t="s">
        <v>180</v>
      </c>
      <c r="G143" t="s">
        <v>181</v>
      </c>
      <c r="H143" t="s">
        <v>181</v>
      </c>
      <c r="I143" t="s">
        <v>181</v>
      </c>
      <c r="J143" t="s">
        <v>332</v>
      </c>
    </row>
    <row r="144" spans="1:11" hidden="1" x14ac:dyDescent="0.25">
      <c r="A144" t="s">
        <v>34</v>
      </c>
      <c r="D144" t="s">
        <v>179</v>
      </c>
      <c r="E144">
        <v>1</v>
      </c>
      <c r="F144" t="s">
        <v>180</v>
      </c>
      <c r="G144" t="s">
        <v>181</v>
      </c>
      <c r="H144" t="s">
        <v>181</v>
      </c>
      <c r="I144" t="s">
        <v>181</v>
      </c>
      <c r="J144" t="s">
        <v>332</v>
      </c>
      <c r="K144" t="s">
        <v>81</v>
      </c>
    </row>
    <row r="145" spans="1:10" hidden="1" x14ac:dyDescent="0.25">
      <c r="A145" t="s">
        <v>36</v>
      </c>
      <c r="D145" t="s">
        <v>179</v>
      </c>
      <c r="E145">
        <v>1</v>
      </c>
      <c r="F145" t="s">
        <v>180</v>
      </c>
      <c r="G145" t="s">
        <v>181</v>
      </c>
      <c r="H145" t="s">
        <v>181</v>
      </c>
      <c r="I145" t="s">
        <v>181</v>
      </c>
      <c r="J145" t="s">
        <v>332</v>
      </c>
    </row>
    <row r="146" spans="1:10" hidden="1" x14ac:dyDescent="0.25">
      <c r="A146" s="8" t="s">
        <v>351</v>
      </c>
      <c r="D146" t="s">
        <v>179</v>
      </c>
      <c r="E146">
        <v>1</v>
      </c>
      <c r="F146" t="s">
        <v>180</v>
      </c>
      <c r="G146" t="s">
        <v>181</v>
      </c>
      <c r="H146" t="s">
        <v>181</v>
      </c>
      <c r="I146" t="s">
        <v>181</v>
      </c>
      <c r="J146" t="s">
        <v>332</v>
      </c>
    </row>
    <row r="147" spans="1:10" hidden="1" x14ac:dyDescent="0.25">
      <c r="A147" t="s">
        <v>25</v>
      </c>
      <c r="D147" t="s">
        <v>179</v>
      </c>
      <c r="E147">
        <v>1</v>
      </c>
      <c r="F147" t="s">
        <v>180</v>
      </c>
      <c r="G147" t="s">
        <v>181</v>
      </c>
      <c r="H147" t="s">
        <v>181</v>
      </c>
      <c r="I147" t="s">
        <v>181</v>
      </c>
      <c r="J147" t="s">
        <v>332</v>
      </c>
    </row>
    <row r="148" spans="1:10" hidden="1" x14ac:dyDescent="0.25">
      <c r="A148" t="s">
        <v>10</v>
      </c>
      <c r="D148" t="s">
        <v>188</v>
      </c>
      <c r="E148">
        <v>1</v>
      </c>
      <c r="F148" t="s">
        <v>189</v>
      </c>
      <c r="G148" t="s">
        <v>190</v>
      </c>
      <c r="H148" t="s">
        <v>190</v>
      </c>
      <c r="I148" t="s">
        <v>190</v>
      </c>
      <c r="J148" t="s">
        <v>332</v>
      </c>
    </row>
    <row r="149" spans="1:10" hidden="1" x14ac:dyDescent="0.25">
      <c r="A149" t="s">
        <v>15</v>
      </c>
      <c r="D149" t="s">
        <v>188</v>
      </c>
      <c r="E149">
        <v>1</v>
      </c>
      <c r="F149" t="s">
        <v>189</v>
      </c>
      <c r="G149" t="s">
        <v>190</v>
      </c>
      <c r="H149" t="s">
        <v>190</v>
      </c>
      <c r="I149" t="s">
        <v>190</v>
      </c>
      <c r="J149" t="s">
        <v>332</v>
      </c>
    </row>
    <row r="150" spans="1:10" hidden="1" x14ac:dyDescent="0.25">
      <c r="A150" t="s">
        <v>16</v>
      </c>
      <c r="D150" t="s">
        <v>188</v>
      </c>
      <c r="E150">
        <v>1</v>
      </c>
      <c r="F150" t="s">
        <v>189</v>
      </c>
      <c r="G150" t="s">
        <v>190</v>
      </c>
      <c r="H150" t="s">
        <v>190</v>
      </c>
      <c r="I150" t="s">
        <v>190</v>
      </c>
      <c r="J150" t="s">
        <v>332</v>
      </c>
    </row>
    <row r="151" spans="1:10" hidden="1" x14ac:dyDescent="0.25">
      <c r="A151" t="s">
        <v>17</v>
      </c>
      <c r="D151" t="s">
        <v>188</v>
      </c>
      <c r="E151">
        <v>1</v>
      </c>
      <c r="F151" t="s">
        <v>189</v>
      </c>
      <c r="G151" t="s">
        <v>190</v>
      </c>
      <c r="H151" t="s">
        <v>190</v>
      </c>
      <c r="I151" t="s">
        <v>190</v>
      </c>
      <c r="J151" t="s">
        <v>332</v>
      </c>
    </row>
    <row r="152" spans="1:10" hidden="1" x14ac:dyDescent="0.25">
      <c r="A152" t="s">
        <v>18</v>
      </c>
      <c r="D152" t="s">
        <v>188</v>
      </c>
      <c r="E152">
        <v>1</v>
      </c>
      <c r="F152" t="s">
        <v>189</v>
      </c>
      <c r="G152" t="s">
        <v>190</v>
      </c>
      <c r="H152" t="s">
        <v>190</v>
      </c>
      <c r="I152" t="s">
        <v>190</v>
      </c>
      <c r="J152" t="s">
        <v>332</v>
      </c>
    </row>
    <row r="153" spans="1:10" hidden="1" x14ac:dyDescent="0.25">
      <c r="A153" t="s">
        <v>20</v>
      </c>
      <c r="D153" t="s">
        <v>188</v>
      </c>
      <c r="E153">
        <v>1</v>
      </c>
      <c r="F153" t="s">
        <v>189</v>
      </c>
      <c r="G153" t="s">
        <v>190</v>
      </c>
      <c r="H153" t="s">
        <v>190</v>
      </c>
      <c r="I153" t="s">
        <v>190</v>
      </c>
      <c r="J153" t="s">
        <v>332</v>
      </c>
    </row>
    <row r="154" spans="1:10" hidden="1" x14ac:dyDescent="0.25">
      <c r="A154" t="s">
        <v>21</v>
      </c>
      <c r="D154" t="s">
        <v>188</v>
      </c>
      <c r="E154">
        <v>1</v>
      </c>
      <c r="F154" t="s">
        <v>189</v>
      </c>
      <c r="G154" t="s">
        <v>190</v>
      </c>
      <c r="H154" t="s">
        <v>190</v>
      </c>
      <c r="I154" t="s">
        <v>190</v>
      </c>
      <c r="J154" t="s">
        <v>332</v>
      </c>
    </row>
    <row r="155" spans="1:10" hidden="1" x14ac:dyDescent="0.25">
      <c r="A155" t="s">
        <v>22</v>
      </c>
      <c r="D155" t="s">
        <v>188</v>
      </c>
      <c r="E155">
        <v>1</v>
      </c>
      <c r="F155" t="s">
        <v>189</v>
      </c>
      <c r="G155" t="s">
        <v>190</v>
      </c>
      <c r="H155" t="s">
        <v>190</v>
      </c>
      <c r="I155" t="s">
        <v>190</v>
      </c>
      <c r="J155" t="s">
        <v>332</v>
      </c>
    </row>
    <row r="156" spans="1:10" hidden="1" x14ac:dyDescent="0.25">
      <c r="A156" t="s">
        <v>23</v>
      </c>
      <c r="D156" t="s">
        <v>188</v>
      </c>
      <c r="E156">
        <v>1</v>
      </c>
      <c r="F156" t="s">
        <v>189</v>
      </c>
      <c r="G156" t="s">
        <v>190</v>
      </c>
      <c r="H156" t="s">
        <v>190</v>
      </c>
      <c r="I156" t="s">
        <v>190</v>
      </c>
      <c r="J156" t="s">
        <v>332</v>
      </c>
    </row>
    <row r="157" spans="1:10" hidden="1" x14ac:dyDescent="0.25">
      <c r="A157" t="s">
        <v>24</v>
      </c>
      <c r="D157" t="s">
        <v>188</v>
      </c>
      <c r="E157">
        <v>1</v>
      </c>
      <c r="F157" t="s">
        <v>189</v>
      </c>
      <c r="G157" t="s">
        <v>190</v>
      </c>
      <c r="H157" t="s">
        <v>190</v>
      </c>
      <c r="I157" t="s">
        <v>190</v>
      </c>
      <c r="J157" t="s">
        <v>332</v>
      </c>
    </row>
    <row r="158" spans="1:10" hidden="1" x14ac:dyDescent="0.25">
      <c r="A158" t="s">
        <v>34</v>
      </c>
      <c r="D158" t="s">
        <v>188</v>
      </c>
      <c r="E158">
        <v>1</v>
      </c>
      <c r="F158" t="s">
        <v>189</v>
      </c>
      <c r="G158" t="s">
        <v>190</v>
      </c>
      <c r="H158" t="s">
        <v>190</v>
      </c>
      <c r="I158" t="s">
        <v>190</v>
      </c>
      <c r="J158" t="s">
        <v>332</v>
      </c>
    </row>
    <row r="159" spans="1:10" hidden="1" x14ac:dyDescent="0.25">
      <c r="A159" t="s">
        <v>36</v>
      </c>
      <c r="D159" t="s">
        <v>188</v>
      </c>
      <c r="E159">
        <v>1</v>
      </c>
      <c r="F159" t="s">
        <v>189</v>
      </c>
      <c r="G159" t="s">
        <v>190</v>
      </c>
      <c r="H159" t="s">
        <v>190</v>
      </c>
      <c r="I159" t="s">
        <v>190</v>
      </c>
      <c r="J159" t="s">
        <v>332</v>
      </c>
    </row>
    <row r="160" spans="1:10" hidden="1" x14ac:dyDescent="0.25">
      <c r="A160" t="s">
        <v>25</v>
      </c>
      <c r="D160" t="s">
        <v>188</v>
      </c>
      <c r="E160">
        <v>1</v>
      </c>
      <c r="F160" t="s">
        <v>189</v>
      </c>
      <c r="G160" t="s">
        <v>190</v>
      </c>
      <c r="H160" t="s">
        <v>190</v>
      </c>
      <c r="I160" t="s">
        <v>190</v>
      </c>
      <c r="J160" t="s">
        <v>332</v>
      </c>
    </row>
    <row r="161" spans="1:11" hidden="1" x14ac:dyDescent="0.25">
      <c r="A161" t="s">
        <v>10</v>
      </c>
      <c r="D161" t="s">
        <v>191</v>
      </c>
      <c r="E161" s="2">
        <f>1/(2*144.242/(2*144.242+3*15.999))</f>
        <v>1.1663766448052579</v>
      </c>
      <c r="F161" t="s">
        <v>192</v>
      </c>
      <c r="G161" t="s">
        <v>193</v>
      </c>
      <c r="H161" t="s">
        <v>193</v>
      </c>
      <c r="I161" t="s">
        <v>194</v>
      </c>
      <c r="J161" t="s">
        <v>332</v>
      </c>
      <c r="K161" t="s">
        <v>195</v>
      </c>
    </row>
    <row r="162" spans="1:11" hidden="1" x14ac:dyDescent="0.25">
      <c r="A162" t="s">
        <v>15</v>
      </c>
      <c r="B162" t="s">
        <v>45</v>
      </c>
      <c r="C162" t="s">
        <v>46</v>
      </c>
      <c r="D162" t="s">
        <v>191</v>
      </c>
      <c r="E162" s="2">
        <f>1/(2*144.242/(2*144.242+3*15.999))/0.0373584905660377</f>
        <v>31.221193017514512</v>
      </c>
      <c r="F162" t="s">
        <v>192</v>
      </c>
      <c r="G162" t="s">
        <v>193</v>
      </c>
      <c r="H162" t="s">
        <v>193</v>
      </c>
      <c r="I162" t="s">
        <v>194</v>
      </c>
      <c r="J162" t="s">
        <v>332</v>
      </c>
      <c r="K162" t="s">
        <v>195</v>
      </c>
    </row>
    <row r="163" spans="1:11" hidden="1" x14ac:dyDescent="0.25">
      <c r="A163" t="s">
        <v>16</v>
      </c>
      <c r="D163" t="s">
        <v>191</v>
      </c>
      <c r="E163" s="2">
        <f t="shared" ref="E163:E165" si="7">1/(2*144.242/(2*144.242+3*15.999))</f>
        <v>1.1663766448052579</v>
      </c>
      <c r="F163" t="s">
        <v>192</v>
      </c>
      <c r="G163" t="s">
        <v>193</v>
      </c>
      <c r="H163" t="s">
        <v>193</v>
      </c>
      <c r="I163" t="s">
        <v>194</v>
      </c>
      <c r="J163" t="s">
        <v>332</v>
      </c>
      <c r="K163" t="s">
        <v>195</v>
      </c>
    </row>
    <row r="164" spans="1:11" hidden="1" x14ac:dyDescent="0.25">
      <c r="A164" t="s">
        <v>17</v>
      </c>
      <c r="D164" t="s">
        <v>191</v>
      </c>
      <c r="E164" s="2">
        <f t="shared" si="7"/>
        <v>1.1663766448052579</v>
      </c>
      <c r="F164" t="s">
        <v>192</v>
      </c>
      <c r="G164" t="s">
        <v>193</v>
      </c>
      <c r="H164" t="s">
        <v>193</v>
      </c>
      <c r="I164" t="s">
        <v>194</v>
      </c>
      <c r="J164" t="s">
        <v>332</v>
      </c>
      <c r="K164" t="s">
        <v>195</v>
      </c>
    </row>
    <row r="165" spans="1:11" hidden="1" x14ac:dyDescent="0.25">
      <c r="A165" t="s">
        <v>18</v>
      </c>
      <c r="D165" t="s">
        <v>191</v>
      </c>
      <c r="E165" s="2">
        <f t="shared" si="7"/>
        <v>1.1663766448052579</v>
      </c>
      <c r="F165" t="s">
        <v>192</v>
      </c>
      <c r="G165" t="s">
        <v>193</v>
      </c>
      <c r="H165" t="s">
        <v>193</v>
      </c>
      <c r="I165" t="s">
        <v>194</v>
      </c>
      <c r="J165" t="s">
        <v>332</v>
      </c>
      <c r="K165" t="s">
        <v>195</v>
      </c>
    </row>
    <row r="166" spans="1:11" hidden="1" x14ac:dyDescent="0.25">
      <c r="A166" t="s">
        <v>16</v>
      </c>
      <c r="D166" t="s">
        <v>196</v>
      </c>
      <c r="J166" t="s">
        <v>333</v>
      </c>
      <c r="K166" t="s">
        <v>197</v>
      </c>
    </row>
    <row r="167" spans="1:11" hidden="1" x14ac:dyDescent="0.25">
      <c r="A167" t="s">
        <v>17</v>
      </c>
      <c r="D167" t="s">
        <v>196</v>
      </c>
      <c r="J167" t="s">
        <v>333</v>
      </c>
      <c r="K167" t="s">
        <v>197</v>
      </c>
    </row>
    <row r="168" spans="1:11" hidden="1" x14ac:dyDescent="0.25">
      <c r="A168" t="s">
        <v>18</v>
      </c>
      <c r="D168" t="s">
        <v>196</v>
      </c>
      <c r="J168" t="s">
        <v>333</v>
      </c>
      <c r="K168" t="s">
        <v>197</v>
      </c>
    </row>
    <row r="169" spans="1:11" hidden="1" x14ac:dyDescent="0.25">
      <c r="A169" t="s">
        <v>19</v>
      </c>
      <c r="D169" t="s">
        <v>196</v>
      </c>
      <c r="E169">
        <v>1</v>
      </c>
      <c r="F169" t="s">
        <v>198</v>
      </c>
      <c r="G169" t="s">
        <v>199</v>
      </c>
      <c r="H169" t="s">
        <v>199</v>
      </c>
      <c r="I169" t="s">
        <v>200</v>
      </c>
      <c r="J169" t="s">
        <v>332</v>
      </c>
      <c r="K169" t="s">
        <v>81</v>
      </c>
    </row>
    <row r="170" spans="1:11" hidden="1" x14ac:dyDescent="0.25">
      <c r="A170" t="s">
        <v>20</v>
      </c>
      <c r="D170" t="s">
        <v>196</v>
      </c>
      <c r="E170">
        <v>1</v>
      </c>
      <c r="F170" t="s">
        <v>198</v>
      </c>
      <c r="G170" t="s">
        <v>199</v>
      </c>
      <c r="H170" t="s">
        <v>199</v>
      </c>
      <c r="I170" t="s">
        <v>200</v>
      </c>
      <c r="J170" t="s">
        <v>332</v>
      </c>
      <c r="K170" t="s">
        <v>197</v>
      </c>
    </row>
    <row r="171" spans="1:11" hidden="1" x14ac:dyDescent="0.25">
      <c r="A171" t="s">
        <v>22</v>
      </c>
      <c r="D171" t="s">
        <v>196</v>
      </c>
      <c r="E171">
        <v>1</v>
      </c>
      <c r="F171" t="s">
        <v>198</v>
      </c>
      <c r="G171" t="s">
        <v>199</v>
      </c>
      <c r="H171" t="s">
        <v>199</v>
      </c>
      <c r="I171" t="s">
        <v>200</v>
      </c>
      <c r="J171" t="s">
        <v>332</v>
      </c>
      <c r="K171" t="s">
        <v>201</v>
      </c>
    </row>
    <row r="172" spans="1:11" hidden="1" x14ac:dyDescent="0.25">
      <c r="A172" t="s">
        <v>23</v>
      </c>
      <c r="B172" t="s">
        <v>183</v>
      </c>
      <c r="C172" t="s">
        <v>182</v>
      </c>
      <c r="D172" t="s">
        <v>196</v>
      </c>
      <c r="E172">
        <v>1</v>
      </c>
      <c r="F172" t="s">
        <v>198</v>
      </c>
      <c r="G172" t="s">
        <v>199</v>
      </c>
      <c r="H172" t="s">
        <v>199</v>
      </c>
      <c r="I172" t="s">
        <v>200</v>
      </c>
      <c r="J172" t="s">
        <v>332</v>
      </c>
      <c r="K172" t="s">
        <v>81</v>
      </c>
    </row>
    <row r="173" spans="1:11" hidden="1" x14ac:dyDescent="0.25">
      <c r="A173" t="s">
        <v>24</v>
      </c>
      <c r="B173" t="s">
        <v>352</v>
      </c>
      <c r="C173" t="s">
        <v>353</v>
      </c>
      <c r="D173" t="s">
        <v>196</v>
      </c>
      <c r="E173">
        <v>1</v>
      </c>
      <c r="F173" t="s">
        <v>198</v>
      </c>
      <c r="G173" t="s">
        <v>199</v>
      </c>
      <c r="H173" t="s">
        <v>199</v>
      </c>
      <c r="I173" t="s">
        <v>200</v>
      </c>
      <c r="J173" t="s">
        <v>332</v>
      </c>
      <c r="K173" t="s">
        <v>81</v>
      </c>
    </row>
    <row r="174" spans="1:11" hidden="1" x14ac:dyDescent="0.25">
      <c r="A174" t="s">
        <v>91</v>
      </c>
      <c r="D174" t="s">
        <v>196</v>
      </c>
      <c r="E174">
        <v>1</v>
      </c>
      <c r="F174" t="s">
        <v>198</v>
      </c>
      <c r="G174" t="s">
        <v>199</v>
      </c>
      <c r="H174" t="s">
        <v>199</v>
      </c>
      <c r="I174" t="s">
        <v>200</v>
      </c>
      <c r="J174" t="s">
        <v>332</v>
      </c>
    </row>
    <row r="175" spans="1:11" hidden="1" x14ac:dyDescent="0.25">
      <c r="A175" t="s">
        <v>26</v>
      </c>
      <c r="D175" t="s">
        <v>196</v>
      </c>
      <c r="E175">
        <v>1</v>
      </c>
      <c r="F175" t="s">
        <v>198</v>
      </c>
      <c r="G175" t="s">
        <v>199</v>
      </c>
      <c r="H175" t="s">
        <v>199</v>
      </c>
      <c r="I175" t="s">
        <v>200</v>
      </c>
      <c r="J175" t="s">
        <v>332</v>
      </c>
    </row>
    <row r="176" spans="1:11" hidden="1" x14ac:dyDescent="0.25">
      <c r="A176" t="s">
        <v>27</v>
      </c>
      <c r="B176" t="s">
        <v>366</v>
      </c>
      <c r="C176" t="s">
        <v>366</v>
      </c>
      <c r="D176" t="s">
        <v>196</v>
      </c>
      <c r="E176" s="2">
        <f>1/(1*58.693/(1*58.693+1*32.065+4*15.999))/0.41/0.95</f>
        <v>6.7693678254074037</v>
      </c>
      <c r="F176" t="s">
        <v>202</v>
      </c>
      <c r="G176" t="s">
        <v>203</v>
      </c>
      <c r="H176" t="s">
        <v>203</v>
      </c>
      <c r="I176" t="s">
        <v>200</v>
      </c>
      <c r="J176" t="s">
        <v>332</v>
      </c>
      <c r="K176" t="s">
        <v>204</v>
      </c>
    </row>
    <row r="177" spans="1:11" hidden="1" x14ac:dyDescent="0.25">
      <c r="A177" t="s">
        <v>28</v>
      </c>
      <c r="B177" t="s">
        <v>367</v>
      </c>
      <c r="C177" t="s">
        <v>367</v>
      </c>
      <c r="D177" t="s">
        <v>196</v>
      </c>
      <c r="E177" s="2">
        <f>1/(1*58.693/(1*58.693+1*32.065+4*15.999))/0.41/0.95</f>
        <v>6.7693678254074037</v>
      </c>
      <c r="F177" t="s">
        <v>202</v>
      </c>
      <c r="G177" t="s">
        <v>203</v>
      </c>
      <c r="H177" t="s">
        <v>203</v>
      </c>
      <c r="I177" t="s">
        <v>200</v>
      </c>
      <c r="J177" t="s">
        <v>332</v>
      </c>
    </row>
    <row r="178" spans="1:11" hidden="1" x14ac:dyDescent="0.25">
      <c r="A178" t="s">
        <v>337</v>
      </c>
      <c r="B178" t="s">
        <v>336</v>
      </c>
      <c r="C178" t="s">
        <v>336</v>
      </c>
      <c r="D178" t="s">
        <v>196</v>
      </c>
      <c r="E178" s="2">
        <f>1/(1*58.693/(1*58.693+1*32.065+4*15.999))/0.3773/0.95</f>
        <v>7.3560583313465013</v>
      </c>
      <c r="F178" t="s">
        <v>202</v>
      </c>
      <c r="G178" t="s">
        <v>203</v>
      </c>
      <c r="H178" t="s">
        <v>203</v>
      </c>
      <c r="I178" t="s">
        <v>200</v>
      </c>
      <c r="J178" t="s">
        <v>332</v>
      </c>
    </row>
    <row r="179" spans="1:11" hidden="1" x14ac:dyDescent="0.25">
      <c r="A179" t="s">
        <v>29</v>
      </c>
      <c r="B179" t="s">
        <v>98</v>
      </c>
      <c r="C179" t="s">
        <v>98</v>
      </c>
      <c r="D179" t="s">
        <v>196</v>
      </c>
      <c r="E179" s="2">
        <f>1/(1*58.693/(1*58.693+1*32.065+4*15.999))/0.3738/0.95/0.95</f>
        <v>7.8157213494889888</v>
      </c>
      <c r="F179" t="s">
        <v>202</v>
      </c>
      <c r="G179" t="s">
        <v>203</v>
      </c>
      <c r="H179" t="s">
        <v>203</v>
      </c>
      <c r="I179" t="s">
        <v>200</v>
      </c>
      <c r="J179" t="s">
        <v>332</v>
      </c>
    </row>
    <row r="180" spans="1:11" hidden="1" x14ac:dyDescent="0.25">
      <c r="A180" t="s">
        <v>30</v>
      </c>
      <c r="D180" t="s">
        <v>196</v>
      </c>
      <c r="E180">
        <v>1</v>
      </c>
      <c r="F180" t="s">
        <v>198</v>
      </c>
      <c r="G180" t="s">
        <v>199</v>
      </c>
      <c r="H180" t="s">
        <v>199</v>
      </c>
      <c r="I180" t="s">
        <v>200</v>
      </c>
      <c r="J180" t="s">
        <v>332</v>
      </c>
    </row>
    <row r="181" spans="1:11" hidden="1" x14ac:dyDescent="0.25">
      <c r="A181" t="s">
        <v>31</v>
      </c>
      <c r="D181" t="s">
        <v>196</v>
      </c>
      <c r="E181">
        <v>1</v>
      </c>
      <c r="F181" t="s">
        <v>198</v>
      </c>
      <c r="G181" t="s">
        <v>199</v>
      </c>
      <c r="H181" t="s">
        <v>199</v>
      </c>
      <c r="I181" t="s">
        <v>200</v>
      </c>
      <c r="J181" t="s">
        <v>332</v>
      </c>
    </row>
    <row r="182" spans="1:11" hidden="1" x14ac:dyDescent="0.25">
      <c r="A182" t="s">
        <v>99</v>
      </c>
      <c r="D182" t="s">
        <v>196</v>
      </c>
      <c r="E182">
        <v>1</v>
      </c>
      <c r="F182" t="s">
        <v>198</v>
      </c>
      <c r="G182" t="s">
        <v>199</v>
      </c>
      <c r="H182" t="s">
        <v>199</v>
      </c>
      <c r="I182" t="s">
        <v>200</v>
      </c>
      <c r="J182" t="s">
        <v>332</v>
      </c>
    </row>
    <row r="183" spans="1:11" hidden="1" x14ac:dyDescent="0.25">
      <c r="A183" t="s">
        <v>32</v>
      </c>
      <c r="D183" t="s">
        <v>196</v>
      </c>
      <c r="J183" t="s">
        <v>333</v>
      </c>
      <c r="K183" t="s">
        <v>164</v>
      </c>
    </row>
    <row r="184" spans="1:11" hidden="1" x14ac:dyDescent="0.25">
      <c r="A184" t="s">
        <v>33</v>
      </c>
      <c r="D184" t="s">
        <v>196</v>
      </c>
      <c r="J184" t="s">
        <v>333</v>
      </c>
      <c r="K184" t="s">
        <v>164</v>
      </c>
    </row>
    <row r="185" spans="1:11" hidden="1" x14ac:dyDescent="0.25">
      <c r="A185" t="s">
        <v>34</v>
      </c>
      <c r="D185" t="s">
        <v>196</v>
      </c>
      <c r="E185">
        <v>1</v>
      </c>
      <c r="F185" t="s">
        <v>198</v>
      </c>
      <c r="G185" t="s">
        <v>199</v>
      </c>
      <c r="H185" t="s">
        <v>199</v>
      </c>
      <c r="I185" t="s">
        <v>200</v>
      </c>
      <c r="J185" t="s">
        <v>332</v>
      </c>
      <c r="K185" t="s">
        <v>81</v>
      </c>
    </row>
    <row r="186" spans="1:11" hidden="1" x14ac:dyDescent="0.25">
      <c r="A186" t="s">
        <v>36</v>
      </c>
      <c r="D186" t="s">
        <v>196</v>
      </c>
      <c r="J186" t="s">
        <v>333</v>
      </c>
      <c r="K186" t="s">
        <v>164</v>
      </c>
    </row>
    <row r="187" spans="1:11" hidden="1" x14ac:dyDescent="0.25">
      <c r="A187" t="s">
        <v>37</v>
      </c>
      <c r="D187" t="s">
        <v>196</v>
      </c>
      <c r="E187">
        <v>1</v>
      </c>
      <c r="F187" t="s">
        <v>198</v>
      </c>
      <c r="G187" t="s">
        <v>199</v>
      </c>
      <c r="H187" t="s">
        <v>199</v>
      </c>
      <c r="I187" t="s">
        <v>200</v>
      </c>
      <c r="J187" t="s">
        <v>332</v>
      </c>
      <c r="K187" t="s">
        <v>81</v>
      </c>
    </row>
    <row r="188" spans="1:11" hidden="1" x14ac:dyDescent="0.25">
      <c r="A188" s="8" t="s">
        <v>351</v>
      </c>
      <c r="D188" t="s">
        <v>196</v>
      </c>
      <c r="E188">
        <v>1</v>
      </c>
      <c r="F188" t="s">
        <v>198</v>
      </c>
      <c r="G188" t="s">
        <v>199</v>
      </c>
      <c r="H188" t="s">
        <v>199</v>
      </c>
      <c r="I188" t="s">
        <v>200</v>
      </c>
      <c r="J188" t="s">
        <v>332</v>
      </c>
      <c r="K188" t="s">
        <v>81</v>
      </c>
    </row>
    <row r="189" spans="1:11" hidden="1" x14ac:dyDescent="0.25">
      <c r="A189" t="s">
        <v>25</v>
      </c>
      <c r="D189" t="s">
        <v>196</v>
      </c>
      <c r="E189">
        <v>1</v>
      </c>
      <c r="F189" t="s">
        <v>198</v>
      </c>
      <c r="G189" t="s">
        <v>199</v>
      </c>
      <c r="H189" t="s">
        <v>199</v>
      </c>
      <c r="I189" t="s">
        <v>200</v>
      </c>
      <c r="J189" t="s">
        <v>332</v>
      </c>
    </row>
    <row r="190" spans="1:11" hidden="1" x14ac:dyDescent="0.25">
      <c r="A190" t="s">
        <v>10</v>
      </c>
      <c r="D190" t="s">
        <v>205</v>
      </c>
      <c r="E190" s="2">
        <f>1/0.66</f>
        <v>1.5151515151515151</v>
      </c>
      <c r="F190" t="s">
        <v>206</v>
      </c>
      <c r="G190" t="s">
        <v>207</v>
      </c>
      <c r="H190" t="s">
        <v>207</v>
      </c>
      <c r="I190" t="s">
        <v>208</v>
      </c>
      <c r="J190" t="s">
        <v>332</v>
      </c>
    </row>
    <row r="191" spans="1:11" hidden="1" x14ac:dyDescent="0.25">
      <c r="A191" t="s">
        <v>15</v>
      </c>
      <c r="D191" t="s">
        <v>205</v>
      </c>
      <c r="E191" s="2">
        <f t="shared" ref="E191:E197" si="8">1/0.66</f>
        <v>1.5151515151515151</v>
      </c>
      <c r="F191" t="s">
        <v>206</v>
      </c>
      <c r="G191" t="s">
        <v>207</v>
      </c>
      <c r="H191" t="s">
        <v>207</v>
      </c>
      <c r="I191" t="s">
        <v>208</v>
      </c>
      <c r="J191" t="s">
        <v>332</v>
      </c>
    </row>
    <row r="192" spans="1:11" hidden="1" x14ac:dyDescent="0.25">
      <c r="A192" t="s">
        <v>16</v>
      </c>
      <c r="D192" t="s">
        <v>205</v>
      </c>
      <c r="E192" s="2">
        <f t="shared" si="8"/>
        <v>1.5151515151515151</v>
      </c>
      <c r="F192" t="s">
        <v>206</v>
      </c>
      <c r="G192" t="s">
        <v>207</v>
      </c>
      <c r="H192" t="s">
        <v>207</v>
      </c>
      <c r="I192" t="s">
        <v>208</v>
      </c>
      <c r="J192" t="s">
        <v>332</v>
      </c>
    </row>
    <row r="193" spans="1:13" hidden="1" x14ac:dyDescent="0.25">
      <c r="A193" t="s">
        <v>17</v>
      </c>
      <c r="D193" t="s">
        <v>205</v>
      </c>
      <c r="E193" s="2">
        <f t="shared" si="8"/>
        <v>1.5151515151515151</v>
      </c>
      <c r="F193" t="s">
        <v>206</v>
      </c>
      <c r="G193" t="s">
        <v>207</v>
      </c>
      <c r="H193" t="s">
        <v>207</v>
      </c>
      <c r="I193" t="s">
        <v>208</v>
      </c>
      <c r="J193" t="s">
        <v>332</v>
      </c>
    </row>
    <row r="194" spans="1:13" hidden="1" x14ac:dyDescent="0.25">
      <c r="A194" t="s">
        <v>18</v>
      </c>
      <c r="D194" t="s">
        <v>205</v>
      </c>
      <c r="E194" s="2">
        <f t="shared" si="8"/>
        <v>1.5151515151515151</v>
      </c>
      <c r="F194" t="s">
        <v>206</v>
      </c>
      <c r="G194" t="s">
        <v>207</v>
      </c>
      <c r="H194" t="s">
        <v>207</v>
      </c>
      <c r="I194" t="s">
        <v>208</v>
      </c>
      <c r="J194" t="s">
        <v>332</v>
      </c>
    </row>
    <row r="195" spans="1:13" hidden="1" x14ac:dyDescent="0.25">
      <c r="A195" t="s">
        <v>23</v>
      </c>
      <c r="D195" t="s">
        <v>205</v>
      </c>
      <c r="E195" s="2">
        <f t="shared" si="8"/>
        <v>1.5151515151515151</v>
      </c>
      <c r="F195" t="s">
        <v>206</v>
      </c>
      <c r="G195" t="s">
        <v>207</v>
      </c>
      <c r="H195" t="s">
        <v>207</v>
      </c>
      <c r="I195" t="s">
        <v>208</v>
      </c>
      <c r="J195" t="s">
        <v>332</v>
      </c>
    </row>
    <row r="196" spans="1:13" hidden="1" x14ac:dyDescent="0.25">
      <c r="A196" t="s">
        <v>24</v>
      </c>
      <c r="D196" t="s">
        <v>205</v>
      </c>
      <c r="E196" s="2">
        <f t="shared" si="8"/>
        <v>1.5151515151515151</v>
      </c>
      <c r="F196" t="s">
        <v>206</v>
      </c>
      <c r="G196" t="s">
        <v>207</v>
      </c>
      <c r="H196" t="s">
        <v>207</v>
      </c>
      <c r="I196" t="s">
        <v>208</v>
      </c>
      <c r="J196" t="s">
        <v>332</v>
      </c>
    </row>
    <row r="197" spans="1:13" hidden="1" x14ac:dyDescent="0.25">
      <c r="A197" t="s">
        <v>25</v>
      </c>
      <c r="D197" t="s">
        <v>205</v>
      </c>
      <c r="E197" s="2">
        <f t="shared" si="8"/>
        <v>1.5151515151515151</v>
      </c>
      <c r="F197" t="s">
        <v>206</v>
      </c>
      <c r="G197" t="s">
        <v>207</v>
      </c>
      <c r="H197" t="s">
        <v>207</v>
      </c>
      <c r="I197" t="s">
        <v>208</v>
      </c>
      <c r="J197" t="s">
        <v>332</v>
      </c>
    </row>
    <row r="198" spans="1:13" hidden="1" x14ac:dyDescent="0.25">
      <c r="A198" s="6" t="s">
        <v>10</v>
      </c>
      <c r="B198" t="s">
        <v>209</v>
      </c>
      <c r="C198" t="s">
        <v>210</v>
      </c>
      <c r="D198" t="s">
        <v>211</v>
      </c>
      <c r="E198" s="2">
        <f>1/0.26013</f>
        <v>3.8442317302887021</v>
      </c>
      <c r="F198" t="s">
        <v>212</v>
      </c>
      <c r="G198" t="s">
        <v>213</v>
      </c>
      <c r="H198" t="s">
        <v>213</v>
      </c>
      <c r="I198" t="s">
        <v>213</v>
      </c>
      <c r="J198" t="s">
        <v>332</v>
      </c>
      <c r="K198" t="s">
        <v>214</v>
      </c>
    </row>
    <row r="199" spans="1:13" hidden="1" x14ac:dyDescent="0.25">
      <c r="A199" s="6" t="s">
        <v>10</v>
      </c>
      <c r="B199" t="s">
        <v>209</v>
      </c>
      <c r="C199" t="s">
        <v>210</v>
      </c>
      <c r="D199" t="s">
        <v>211</v>
      </c>
      <c r="E199" s="2">
        <f>1/0.30518</f>
        <v>3.2767547021429975</v>
      </c>
      <c r="F199" t="s">
        <v>212</v>
      </c>
      <c r="G199" t="s">
        <v>213</v>
      </c>
      <c r="H199" t="s">
        <v>213</v>
      </c>
      <c r="I199" t="s">
        <v>213</v>
      </c>
      <c r="J199" t="s">
        <v>332</v>
      </c>
      <c r="K199" t="s">
        <v>215</v>
      </c>
    </row>
    <row r="200" spans="1:13" hidden="1" x14ac:dyDescent="0.25">
      <c r="A200" t="s">
        <v>15</v>
      </c>
      <c r="D200" t="s">
        <v>211</v>
      </c>
      <c r="E200">
        <v>1</v>
      </c>
      <c r="F200" t="s">
        <v>212</v>
      </c>
      <c r="G200" t="s">
        <v>213</v>
      </c>
      <c r="H200" t="s">
        <v>213</v>
      </c>
      <c r="I200" t="s">
        <v>213</v>
      </c>
      <c r="J200" t="s">
        <v>332</v>
      </c>
    </row>
    <row r="201" spans="1:13" hidden="1" x14ac:dyDescent="0.25">
      <c r="A201" t="s">
        <v>34</v>
      </c>
      <c r="D201" t="s">
        <v>211</v>
      </c>
      <c r="E201">
        <v>1</v>
      </c>
      <c r="F201" t="s">
        <v>212</v>
      </c>
      <c r="G201" t="s">
        <v>213</v>
      </c>
      <c r="H201" t="s">
        <v>213</v>
      </c>
      <c r="I201" t="s">
        <v>213</v>
      </c>
      <c r="J201" t="s">
        <v>332</v>
      </c>
    </row>
    <row r="202" spans="1:13" hidden="1" x14ac:dyDescent="0.25">
      <c r="A202" t="s">
        <v>36</v>
      </c>
      <c r="D202" t="s">
        <v>211</v>
      </c>
      <c r="E202">
        <v>1</v>
      </c>
      <c r="F202" t="s">
        <v>212</v>
      </c>
      <c r="G202" t="s">
        <v>213</v>
      </c>
      <c r="H202" t="s">
        <v>213</v>
      </c>
      <c r="I202" t="s">
        <v>213</v>
      </c>
      <c r="J202" t="s">
        <v>332</v>
      </c>
    </row>
    <row r="203" spans="1:13" hidden="1" x14ac:dyDescent="0.25">
      <c r="A203" s="3" t="s">
        <v>27</v>
      </c>
      <c r="B203" t="s">
        <v>216</v>
      </c>
      <c r="C203" t="s">
        <v>216</v>
      </c>
      <c r="D203" s="3" t="s">
        <v>217</v>
      </c>
      <c r="E203" s="2">
        <f>1/(1*6.941/(1*6.941+1*30.974+6*18.998))/0.146</f>
        <v>149.89648564318037</v>
      </c>
      <c r="F203" t="s">
        <v>218</v>
      </c>
      <c r="G203" t="s">
        <v>219</v>
      </c>
      <c r="H203" t="s">
        <v>219</v>
      </c>
      <c r="I203" t="s">
        <v>162</v>
      </c>
      <c r="J203" t="s">
        <v>333</v>
      </c>
      <c r="K203" t="s">
        <v>220</v>
      </c>
      <c r="M203" t="s">
        <v>221</v>
      </c>
    </row>
    <row r="204" spans="1:13" hidden="1" x14ac:dyDescent="0.25">
      <c r="A204" s="3" t="s">
        <v>28</v>
      </c>
      <c r="B204" t="s">
        <v>216</v>
      </c>
      <c r="C204" t="s">
        <v>216</v>
      </c>
      <c r="D204" s="3" t="s">
        <v>217</v>
      </c>
      <c r="E204" s="2">
        <f>1/(1*6.941/(1*6.941+1*30.974+6*18.998))/0.146</f>
        <v>149.89648564318037</v>
      </c>
      <c r="F204" t="s">
        <v>218</v>
      </c>
      <c r="G204" t="s">
        <v>219</v>
      </c>
      <c r="H204" t="s">
        <v>219</v>
      </c>
      <c r="I204" t="s">
        <v>162</v>
      </c>
      <c r="J204" t="s">
        <v>333</v>
      </c>
      <c r="M204" t="s">
        <v>222</v>
      </c>
    </row>
    <row r="205" spans="1:13" hidden="1" x14ac:dyDescent="0.25">
      <c r="A205" s="3" t="s">
        <v>29</v>
      </c>
      <c r="B205" t="s">
        <v>216</v>
      </c>
      <c r="C205" t="s">
        <v>216</v>
      </c>
      <c r="D205" s="3" t="s">
        <v>217</v>
      </c>
      <c r="E205" s="2">
        <f>1/(1*6.941/(1*6.941+1*30.974+6*18.998))/0.1484</f>
        <v>147.47228371903191</v>
      </c>
      <c r="F205" t="s">
        <v>218</v>
      </c>
      <c r="G205" t="s">
        <v>219</v>
      </c>
      <c r="H205" t="s">
        <v>219</v>
      </c>
      <c r="I205" t="s">
        <v>162</v>
      </c>
      <c r="J205" t="s">
        <v>333</v>
      </c>
    </row>
    <row r="206" spans="1:13" hidden="1" x14ac:dyDescent="0.25">
      <c r="A206" s="3" t="s">
        <v>30</v>
      </c>
      <c r="B206" t="s">
        <v>223</v>
      </c>
      <c r="C206" t="s">
        <v>223</v>
      </c>
      <c r="D206" s="3" t="s">
        <v>217</v>
      </c>
      <c r="E206" s="2">
        <f t="shared" ref="E206" si="9">1/(1*6.941/(1*6.941+1*30.974+6*18.998))</f>
        <v>21.884886903904334</v>
      </c>
      <c r="F206" t="s">
        <v>218</v>
      </c>
      <c r="G206" t="s">
        <v>219</v>
      </c>
      <c r="H206" t="s">
        <v>219</v>
      </c>
      <c r="I206" t="s">
        <v>162</v>
      </c>
      <c r="J206" t="s">
        <v>333</v>
      </c>
      <c r="M206" t="s">
        <v>224</v>
      </c>
    </row>
    <row r="207" spans="1:13" hidden="1" x14ac:dyDescent="0.25">
      <c r="A207" s="3" t="s">
        <v>31</v>
      </c>
      <c r="B207" t="s">
        <v>225</v>
      </c>
      <c r="C207" t="s">
        <v>225</v>
      </c>
      <c r="D207" s="3" t="s">
        <v>217</v>
      </c>
      <c r="E207" s="2">
        <f>1/(1*6.941/(1*6.941+1*30.974+6*18.998))/0.085714</f>
        <v>255.32453162732267</v>
      </c>
      <c r="F207" t="s">
        <v>218</v>
      </c>
      <c r="G207" t="s">
        <v>219</v>
      </c>
      <c r="H207" t="s">
        <v>219</v>
      </c>
      <c r="I207" t="s">
        <v>162</v>
      </c>
      <c r="J207" t="s">
        <v>333</v>
      </c>
    </row>
    <row r="208" spans="1:13" hidden="1" x14ac:dyDescent="0.25">
      <c r="A208" s="6" t="s">
        <v>10</v>
      </c>
      <c r="B208" t="s">
        <v>209</v>
      </c>
      <c r="C208" t="s">
        <v>210</v>
      </c>
      <c r="D208" t="s">
        <v>226</v>
      </c>
      <c r="E208" s="2">
        <f>1/0.26013</f>
        <v>3.8442317302887021</v>
      </c>
      <c r="F208" t="s">
        <v>227</v>
      </c>
      <c r="G208" t="s">
        <v>228</v>
      </c>
      <c r="H208" t="s">
        <v>228</v>
      </c>
      <c r="I208" t="s">
        <v>228</v>
      </c>
      <c r="J208" t="s">
        <v>332</v>
      </c>
      <c r="K208" t="s">
        <v>81</v>
      </c>
    </row>
    <row r="209" spans="1:11" hidden="1" x14ac:dyDescent="0.25">
      <c r="A209" s="6" t="s">
        <v>10</v>
      </c>
      <c r="B209" t="s">
        <v>209</v>
      </c>
      <c r="C209" t="s">
        <v>210</v>
      </c>
      <c r="D209" t="s">
        <v>226</v>
      </c>
      <c r="E209" s="2">
        <f>1/0.30518</f>
        <v>3.2767547021429975</v>
      </c>
      <c r="F209" t="s">
        <v>227</v>
      </c>
      <c r="G209" t="s">
        <v>228</v>
      </c>
      <c r="H209" t="s">
        <v>228</v>
      </c>
      <c r="I209" t="s">
        <v>228</v>
      </c>
      <c r="J209" t="s">
        <v>332</v>
      </c>
      <c r="K209" t="s">
        <v>81</v>
      </c>
    </row>
    <row r="210" spans="1:11" hidden="1" x14ac:dyDescent="0.25">
      <c r="A210" t="s">
        <v>15</v>
      </c>
      <c r="D210" t="s">
        <v>226</v>
      </c>
      <c r="E210">
        <v>1</v>
      </c>
      <c r="F210" t="s">
        <v>227</v>
      </c>
      <c r="G210" t="s">
        <v>228</v>
      </c>
      <c r="H210" t="s">
        <v>228</v>
      </c>
      <c r="I210" t="s">
        <v>228</v>
      </c>
      <c r="J210" t="s">
        <v>332</v>
      </c>
    </row>
    <row r="211" spans="1:11" hidden="1" x14ac:dyDescent="0.25">
      <c r="A211" t="s">
        <v>85</v>
      </c>
      <c r="D211" t="s">
        <v>226</v>
      </c>
      <c r="E211">
        <v>1</v>
      </c>
      <c r="F211" t="s">
        <v>227</v>
      </c>
      <c r="G211" t="s">
        <v>228</v>
      </c>
      <c r="H211" t="s">
        <v>228</v>
      </c>
      <c r="I211" t="s">
        <v>228</v>
      </c>
      <c r="J211" t="s">
        <v>332</v>
      </c>
      <c r="K211" t="s">
        <v>81</v>
      </c>
    </row>
    <row r="212" spans="1:11" hidden="1" x14ac:dyDescent="0.25">
      <c r="A212" t="s">
        <v>34</v>
      </c>
      <c r="D212" t="s">
        <v>226</v>
      </c>
      <c r="E212">
        <v>1</v>
      </c>
      <c r="F212" t="s">
        <v>227</v>
      </c>
      <c r="G212" t="s">
        <v>228</v>
      </c>
      <c r="H212" t="s">
        <v>228</v>
      </c>
      <c r="I212" t="s">
        <v>228</v>
      </c>
      <c r="J212" t="s">
        <v>332</v>
      </c>
      <c r="K212" t="s">
        <v>81</v>
      </c>
    </row>
    <row r="213" spans="1:11" hidden="1" x14ac:dyDescent="0.25">
      <c r="A213" t="s">
        <v>36</v>
      </c>
      <c r="D213" t="s">
        <v>226</v>
      </c>
      <c r="E213">
        <v>1</v>
      </c>
      <c r="F213" t="s">
        <v>227</v>
      </c>
      <c r="G213" t="s">
        <v>228</v>
      </c>
      <c r="H213" t="s">
        <v>228</v>
      </c>
      <c r="I213" t="s">
        <v>228</v>
      </c>
      <c r="J213" t="s">
        <v>332</v>
      </c>
      <c r="K213" t="s">
        <v>81</v>
      </c>
    </row>
    <row r="214" spans="1:11" hidden="1" x14ac:dyDescent="0.25">
      <c r="A214" t="s">
        <v>147</v>
      </c>
      <c r="D214" t="s">
        <v>226</v>
      </c>
      <c r="E214">
        <v>1</v>
      </c>
      <c r="F214" t="s">
        <v>227</v>
      </c>
      <c r="G214" t="s">
        <v>228</v>
      </c>
      <c r="H214" t="s">
        <v>228</v>
      </c>
      <c r="I214" t="s">
        <v>228</v>
      </c>
      <c r="J214" t="s">
        <v>332</v>
      </c>
      <c r="K214" t="s">
        <v>81</v>
      </c>
    </row>
    <row r="215" spans="1:11" hidden="1" x14ac:dyDescent="0.25">
      <c r="A215" t="s">
        <v>37</v>
      </c>
      <c r="D215" t="s">
        <v>226</v>
      </c>
      <c r="E215">
        <v>1</v>
      </c>
      <c r="F215" t="s">
        <v>227</v>
      </c>
      <c r="G215" t="s">
        <v>228</v>
      </c>
      <c r="H215" t="s">
        <v>228</v>
      </c>
      <c r="I215" t="s">
        <v>228</v>
      </c>
      <c r="J215" t="s">
        <v>332</v>
      </c>
      <c r="K215" t="s">
        <v>81</v>
      </c>
    </row>
    <row r="216" spans="1:11" hidden="1" x14ac:dyDescent="0.25">
      <c r="A216" t="s">
        <v>147</v>
      </c>
      <c r="D216" t="s">
        <v>229</v>
      </c>
      <c r="E216" s="2">
        <f>1/(1*39.098/(1*39.098+1*15.999+1*1.008))</f>
        <v>1.434983886643818</v>
      </c>
      <c r="F216" t="s">
        <v>230</v>
      </c>
      <c r="G216" t="s">
        <v>231</v>
      </c>
      <c r="H216" t="s">
        <v>231</v>
      </c>
      <c r="I216" t="s">
        <v>232</v>
      </c>
      <c r="J216" t="s">
        <v>332</v>
      </c>
      <c r="K216" t="s">
        <v>233</v>
      </c>
    </row>
    <row r="217" spans="1:11" hidden="1" x14ac:dyDescent="0.25">
      <c r="A217" t="s">
        <v>37</v>
      </c>
      <c r="D217" t="s">
        <v>229</v>
      </c>
      <c r="E217" s="2">
        <f>1/(1*39.098/(1*39.098+1*15.999+1*1.008))</f>
        <v>1.434983886643818</v>
      </c>
      <c r="F217" t="s">
        <v>230</v>
      </c>
      <c r="G217" t="s">
        <v>231</v>
      </c>
      <c r="H217" t="s">
        <v>231</v>
      </c>
      <c r="I217" t="s">
        <v>232</v>
      </c>
      <c r="J217" t="s">
        <v>332</v>
      </c>
      <c r="K217" s="3" t="s">
        <v>234</v>
      </c>
    </row>
    <row r="218" spans="1:11" hidden="1" x14ac:dyDescent="0.25">
      <c r="A218" t="s">
        <v>10</v>
      </c>
      <c r="D218" t="s">
        <v>235</v>
      </c>
      <c r="E218" s="2">
        <f>1/(2*140.908/(2*140.908+3*15.999))</f>
        <v>1.1703132540380958</v>
      </c>
      <c r="F218" t="s">
        <v>236</v>
      </c>
      <c r="G218" t="s">
        <v>237</v>
      </c>
      <c r="H218" t="s">
        <v>237</v>
      </c>
      <c r="I218" t="s">
        <v>238</v>
      </c>
      <c r="J218" t="s">
        <v>332</v>
      </c>
      <c r="K218" t="s">
        <v>239</v>
      </c>
    </row>
    <row r="219" spans="1:11" hidden="1" x14ac:dyDescent="0.25">
      <c r="A219" t="s">
        <v>15</v>
      </c>
      <c r="D219" t="s">
        <v>235</v>
      </c>
      <c r="E219" s="2">
        <f t="shared" ref="E219:E222" si="10">1/(2*140.908/(2*140.908+3*15.999))</f>
        <v>1.1703132540380958</v>
      </c>
      <c r="F219" t="s">
        <v>236</v>
      </c>
      <c r="G219" t="s">
        <v>237</v>
      </c>
      <c r="H219" t="s">
        <v>237</v>
      </c>
      <c r="I219" t="s">
        <v>238</v>
      </c>
      <c r="J219" t="s">
        <v>332</v>
      </c>
      <c r="K219" t="s">
        <v>240</v>
      </c>
    </row>
    <row r="220" spans="1:11" hidden="1" x14ac:dyDescent="0.25">
      <c r="A220" t="s">
        <v>16</v>
      </c>
      <c r="D220" t="s">
        <v>235</v>
      </c>
      <c r="E220" s="2">
        <f t="shared" si="10"/>
        <v>1.1703132540380958</v>
      </c>
      <c r="F220" t="s">
        <v>236</v>
      </c>
      <c r="G220" t="s">
        <v>237</v>
      </c>
      <c r="H220" t="s">
        <v>237</v>
      </c>
      <c r="I220" t="s">
        <v>238</v>
      </c>
      <c r="J220" t="s">
        <v>332</v>
      </c>
      <c r="K220" t="s">
        <v>241</v>
      </c>
    </row>
    <row r="221" spans="1:11" hidden="1" x14ac:dyDescent="0.25">
      <c r="A221" t="s">
        <v>18</v>
      </c>
      <c r="D221" t="s">
        <v>235</v>
      </c>
      <c r="E221" s="2">
        <f t="shared" si="10"/>
        <v>1.1703132540380958</v>
      </c>
      <c r="F221" t="s">
        <v>236</v>
      </c>
      <c r="G221" t="s">
        <v>237</v>
      </c>
      <c r="H221" t="s">
        <v>237</v>
      </c>
      <c r="I221" t="s">
        <v>238</v>
      </c>
      <c r="J221" t="s">
        <v>332</v>
      </c>
      <c r="K221" t="s">
        <v>242</v>
      </c>
    </row>
    <row r="222" spans="1:11" hidden="1" x14ac:dyDescent="0.25">
      <c r="A222" s="8" t="s">
        <v>351</v>
      </c>
      <c r="D222" t="s">
        <v>235</v>
      </c>
      <c r="E222" s="2">
        <f t="shared" si="10"/>
        <v>1.1703132540380958</v>
      </c>
      <c r="F222" t="s">
        <v>236</v>
      </c>
      <c r="G222" t="s">
        <v>237</v>
      </c>
      <c r="H222" t="s">
        <v>237</v>
      </c>
      <c r="I222" t="s">
        <v>238</v>
      </c>
      <c r="J222" t="s">
        <v>332</v>
      </c>
      <c r="K222" t="s">
        <v>243</v>
      </c>
    </row>
    <row r="223" spans="1:11" hidden="1" x14ac:dyDescent="0.25">
      <c r="A223" t="s">
        <v>10</v>
      </c>
      <c r="B223" s="7"/>
      <c r="D223" t="s">
        <v>244</v>
      </c>
      <c r="E223">
        <v>1</v>
      </c>
      <c r="F223" t="s">
        <v>245</v>
      </c>
      <c r="G223" t="s">
        <v>246</v>
      </c>
      <c r="H223" t="s">
        <v>246</v>
      </c>
      <c r="I223" t="s">
        <v>246</v>
      </c>
      <c r="J223" t="s">
        <v>332</v>
      </c>
    </row>
    <row r="224" spans="1:11" hidden="1" x14ac:dyDescent="0.25">
      <c r="A224" t="s">
        <v>10</v>
      </c>
      <c r="D224" t="s">
        <v>247</v>
      </c>
      <c r="E224">
        <v>1</v>
      </c>
      <c r="F224" t="s">
        <v>248</v>
      </c>
      <c r="G224" t="s">
        <v>249</v>
      </c>
      <c r="H224" t="s">
        <v>249</v>
      </c>
      <c r="I224" t="s">
        <v>249</v>
      </c>
      <c r="J224" t="s">
        <v>332</v>
      </c>
    </row>
    <row r="225" spans="1:11" hidden="1" x14ac:dyDescent="0.25">
      <c r="A225" t="s">
        <v>15</v>
      </c>
      <c r="D225" t="s">
        <v>247</v>
      </c>
      <c r="E225">
        <v>1</v>
      </c>
      <c r="F225" t="s">
        <v>248</v>
      </c>
      <c r="G225" t="s">
        <v>249</v>
      </c>
      <c r="H225" t="s">
        <v>249</v>
      </c>
      <c r="I225" t="s">
        <v>249</v>
      </c>
      <c r="J225" t="s">
        <v>332</v>
      </c>
    </row>
    <row r="226" spans="1:11" hidden="1" x14ac:dyDescent="0.25">
      <c r="A226" t="s">
        <v>10</v>
      </c>
      <c r="D226" t="s">
        <v>250</v>
      </c>
      <c r="E226">
        <v>1</v>
      </c>
      <c r="F226" t="s">
        <v>251</v>
      </c>
      <c r="G226" t="s">
        <v>252</v>
      </c>
      <c r="H226" t="s">
        <v>252</v>
      </c>
      <c r="I226" t="s">
        <v>252</v>
      </c>
      <c r="J226" t="s">
        <v>332</v>
      </c>
    </row>
    <row r="227" spans="1:11" hidden="1" x14ac:dyDescent="0.25">
      <c r="A227" t="s">
        <v>147</v>
      </c>
      <c r="D227" t="s">
        <v>250</v>
      </c>
      <c r="E227">
        <v>1</v>
      </c>
      <c r="F227" t="s">
        <v>251</v>
      </c>
      <c r="G227" t="s">
        <v>252</v>
      </c>
      <c r="H227" t="s">
        <v>252</v>
      </c>
      <c r="I227" t="s">
        <v>252</v>
      </c>
      <c r="J227" t="s">
        <v>332</v>
      </c>
    </row>
    <row r="228" spans="1:11" hidden="1" x14ac:dyDescent="0.25">
      <c r="A228" t="s">
        <v>10</v>
      </c>
      <c r="D228" t="s">
        <v>253</v>
      </c>
      <c r="E228" s="2">
        <f>1/(2*150.36/(2*150.36+3*15.999))</f>
        <v>1.1596069433359937</v>
      </c>
      <c r="F228" t="s">
        <v>254</v>
      </c>
      <c r="G228" t="s">
        <v>255</v>
      </c>
      <c r="H228" t="s">
        <v>255</v>
      </c>
      <c r="I228" t="s">
        <v>256</v>
      </c>
      <c r="J228" t="s">
        <v>332</v>
      </c>
      <c r="K228" t="s">
        <v>257</v>
      </c>
    </row>
    <row r="229" spans="1:11" hidden="1" x14ac:dyDescent="0.25">
      <c r="A229" t="s">
        <v>15</v>
      </c>
      <c r="D229" t="s">
        <v>253</v>
      </c>
      <c r="E229" s="2">
        <f>1/(2*150.36/(2*150.36+3*15.999))</f>
        <v>1.1596069433359937</v>
      </c>
      <c r="F229" t="s">
        <v>254</v>
      </c>
      <c r="G229" t="s">
        <v>255</v>
      </c>
      <c r="H229" t="s">
        <v>255</v>
      </c>
      <c r="I229" t="s">
        <v>256</v>
      </c>
      <c r="J229" t="s">
        <v>332</v>
      </c>
    </row>
    <row r="230" spans="1:11" hidden="1" x14ac:dyDescent="0.25">
      <c r="A230" t="s">
        <v>10</v>
      </c>
      <c r="D230" t="s">
        <v>258</v>
      </c>
      <c r="E230" s="2">
        <f>1/(2*44.956/(2*44.956+3*15.999))</f>
        <v>1.5338219592490434</v>
      </c>
      <c r="F230" t="s">
        <v>259</v>
      </c>
      <c r="G230" t="s">
        <v>260</v>
      </c>
      <c r="H230" t="s">
        <v>260</v>
      </c>
      <c r="I230" t="s">
        <v>261</v>
      </c>
      <c r="J230" t="s">
        <v>332</v>
      </c>
      <c r="K230" t="s">
        <v>262</v>
      </c>
    </row>
    <row r="231" spans="1:11" hidden="1" x14ac:dyDescent="0.25">
      <c r="A231" t="s">
        <v>15</v>
      </c>
      <c r="D231" t="s">
        <v>258</v>
      </c>
      <c r="E231" s="2">
        <f>1/(2*44.956/(2*44.956+3*15.999))</f>
        <v>1.5338219592490434</v>
      </c>
      <c r="F231" t="s">
        <v>259</v>
      </c>
      <c r="G231" t="s">
        <v>260</v>
      </c>
      <c r="H231" t="s">
        <v>260</v>
      </c>
      <c r="I231" t="s">
        <v>261</v>
      </c>
      <c r="J231" t="s">
        <v>332</v>
      </c>
    </row>
    <row r="232" spans="1:11" hidden="1" x14ac:dyDescent="0.25">
      <c r="A232" t="s">
        <v>35</v>
      </c>
      <c r="D232" t="s">
        <v>258</v>
      </c>
      <c r="E232" s="2">
        <f>1/(2*44.956/(2*44.956+3*15.999))</f>
        <v>1.5338219592490434</v>
      </c>
      <c r="F232" t="s">
        <v>259</v>
      </c>
      <c r="G232" t="s">
        <v>260</v>
      </c>
      <c r="H232" t="s">
        <v>260</v>
      </c>
      <c r="I232" t="s">
        <v>261</v>
      </c>
      <c r="J232" t="s">
        <v>332</v>
      </c>
    </row>
    <row r="233" spans="1:11" hidden="1" x14ac:dyDescent="0.25">
      <c r="A233" t="s">
        <v>263</v>
      </c>
      <c r="D233" t="s">
        <v>258</v>
      </c>
      <c r="E233" s="2">
        <f>1/(2*44.956/(2*44.956+3*15.999))</f>
        <v>1.5338219592490434</v>
      </c>
      <c r="F233" t="s">
        <v>259</v>
      </c>
      <c r="G233" t="s">
        <v>260</v>
      </c>
      <c r="H233" t="s">
        <v>260</v>
      </c>
      <c r="I233" t="s">
        <v>261</v>
      </c>
      <c r="J233" t="s">
        <v>332</v>
      </c>
    </row>
    <row r="234" spans="1:11" hidden="1" x14ac:dyDescent="0.25">
      <c r="A234" t="s">
        <v>21</v>
      </c>
      <c r="D234" t="s">
        <v>264</v>
      </c>
      <c r="E234">
        <v>1</v>
      </c>
      <c r="F234" t="s">
        <v>265</v>
      </c>
      <c r="G234" t="s">
        <v>266</v>
      </c>
      <c r="H234" t="s">
        <v>266</v>
      </c>
      <c r="I234" t="s">
        <v>266</v>
      </c>
      <c r="J234" t="s">
        <v>332</v>
      </c>
    </row>
    <row r="235" spans="1:11" hidden="1" x14ac:dyDescent="0.25">
      <c r="A235" t="s">
        <v>19</v>
      </c>
      <c r="D235" s="3" t="s">
        <v>267</v>
      </c>
      <c r="J235" t="s">
        <v>333</v>
      </c>
      <c r="K235" t="s">
        <v>268</v>
      </c>
    </row>
    <row r="236" spans="1:11" hidden="1" x14ac:dyDescent="0.25">
      <c r="A236" t="s">
        <v>22</v>
      </c>
      <c r="D236" s="3" t="s">
        <v>267</v>
      </c>
      <c r="J236" t="s">
        <v>333</v>
      </c>
      <c r="K236" t="s">
        <v>269</v>
      </c>
    </row>
    <row r="237" spans="1:11" hidden="1" x14ac:dyDescent="0.25">
      <c r="A237" t="s">
        <v>23</v>
      </c>
      <c r="D237" s="3" t="s">
        <v>267</v>
      </c>
      <c r="J237" t="s">
        <v>333</v>
      </c>
    </row>
    <row r="238" spans="1:11" hidden="1" x14ac:dyDescent="0.25">
      <c r="A238" t="s">
        <v>24</v>
      </c>
      <c r="D238" s="3" t="s">
        <v>267</v>
      </c>
      <c r="J238" t="s">
        <v>333</v>
      </c>
    </row>
    <row r="239" spans="1:11" hidden="1" x14ac:dyDescent="0.25">
      <c r="A239" t="s">
        <v>10</v>
      </c>
      <c r="D239" t="s">
        <v>270</v>
      </c>
      <c r="E239">
        <v>1</v>
      </c>
      <c r="F239" t="s">
        <v>271</v>
      </c>
      <c r="G239" t="s">
        <v>272</v>
      </c>
      <c r="H239" t="s">
        <v>272</v>
      </c>
      <c r="I239" t="s">
        <v>272</v>
      </c>
      <c r="J239" t="s">
        <v>332</v>
      </c>
    </row>
    <row r="240" spans="1:11" hidden="1" x14ac:dyDescent="0.25">
      <c r="A240" t="s">
        <v>19</v>
      </c>
      <c r="D240" t="s">
        <v>270</v>
      </c>
      <c r="E240">
        <v>1</v>
      </c>
      <c r="F240" t="s">
        <v>271</v>
      </c>
      <c r="G240" t="s">
        <v>272</v>
      </c>
      <c r="H240" t="s">
        <v>272</v>
      </c>
      <c r="I240" t="s">
        <v>272</v>
      </c>
      <c r="J240" t="s">
        <v>332</v>
      </c>
    </row>
    <row r="241" spans="1:11" hidden="1" x14ac:dyDescent="0.25">
      <c r="A241" t="s">
        <v>20</v>
      </c>
      <c r="D241" t="s">
        <v>270</v>
      </c>
      <c r="E241">
        <v>1</v>
      </c>
      <c r="F241" t="s">
        <v>271</v>
      </c>
      <c r="G241" t="s">
        <v>272</v>
      </c>
      <c r="H241" t="s">
        <v>272</v>
      </c>
      <c r="I241" t="s">
        <v>272</v>
      </c>
      <c r="J241" t="s">
        <v>332</v>
      </c>
    </row>
    <row r="242" spans="1:11" hidden="1" x14ac:dyDescent="0.25">
      <c r="A242" t="s">
        <v>21</v>
      </c>
      <c r="D242" t="s">
        <v>270</v>
      </c>
      <c r="E242">
        <v>1</v>
      </c>
      <c r="F242" t="s">
        <v>271</v>
      </c>
      <c r="G242" t="s">
        <v>272</v>
      </c>
      <c r="H242" t="s">
        <v>272</v>
      </c>
      <c r="I242" t="s">
        <v>272</v>
      </c>
      <c r="J242" t="s">
        <v>332</v>
      </c>
    </row>
    <row r="243" spans="1:11" hidden="1" x14ac:dyDescent="0.25">
      <c r="A243" t="s">
        <v>23</v>
      </c>
      <c r="D243" t="s">
        <v>270</v>
      </c>
      <c r="E243">
        <v>1</v>
      </c>
      <c r="F243" t="s">
        <v>271</v>
      </c>
      <c r="G243" t="s">
        <v>272</v>
      </c>
      <c r="H243" t="s">
        <v>272</v>
      </c>
      <c r="I243" t="s">
        <v>272</v>
      </c>
      <c r="J243" t="s">
        <v>332</v>
      </c>
    </row>
    <row r="244" spans="1:11" hidden="1" x14ac:dyDescent="0.25">
      <c r="A244" t="s">
        <v>24</v>
      </c>
      <c r="D244" t="s">
        <v>270</v>
      </c>
      <c r="E244">
        <v>1</v>
      </c>
      <c r="F244" t="s">
        <v>271</v>
      </c>
      <c r="G244" t="s">
        <v>272</v>
      </c>
      <c r="H244" t="s">
        <v>272</v>
      </c>
      <c r="I244" t="s">
        <v>272</v>
      </c>
      <c r="J244" t="s">
        <v>332</v>
      </c>
    </row>
    <row r="245" spans="1:11" hidden="1" x14ac:dyDescent="0.25">
      <c r="A245" t="s">
        <v>37</v>
      </c>
      <c r="D245" t="s">
        <v>270</v>
      </c>
      <c r="E245">
        <v>1</v>
      </c>
      <c r="F245" t="s">
        <v>271</v>
      </c>
      <c r="G245" t="s">
        <v>272</v>
      </c>
      <c r="H245" t="s">
        <v>272</v>
      </c>
      <c r="I245" t="s">
        <v>272</v>
      </c>
      <c r="J245" t="s">
        <v>332</v>
      </c>
    </row>
    <row r="246" spans="1:11" hidden="1" x14ac:dyDescent="0.25">
      <c r="A246" t="s">
        <v>25</v>
      </c>
      <c r="D246" t="s">
        <v>270</v>
      </c>
      <c r="E246">
        <v>1</v>
      </c>
      <c r="F246" t="s">
        <v>271</v>
      </c>
      <c r="G246" t="s">
        <v>272</v>
      </c>
      <c r="H246" t="s">
        <v>272</v>
      </c>
      <c r="I246" t="s">
        <v>272</v>
      </c>
      <c r="J246" t="s">
        <v>332</v>
      </c>
    </row>
    <row r="247" spans="1:11" hidden="1" x14ac:dyDescent="0.25">
      <c r="A247" s="3" t="s">
        <v>27</v>
      </c>
      <c r="D247" t="s">
        <v>273</v>
      </c>
      <c r="J247" t="s">
        <v>333</v>
      </c>
      <c r="K247" t="s">
        <v>274</v>
      </c>
    </row>
    <row r="248" spans="1:11" hidden="1" x14ac:dyDescent="0.25">
      <c r="A248" t="s">
        <v>10</v>
      </c>
      <c r="D248" t="s">
        <v>275</v>
      </c>
      <c r="E248" s="2">
        <f>1/(1*87.62/(1*87.62+1*12.011+15.999*3))</f>
        <v>1.6848664688427297</v>
      </c>
      <c r="F248" t="s">
        <v>276</v>
      </c>
      <c r="G248" t="s">
        <v>277</v>
      </c>
      <c r="H248" t="s">
        <v>277</v>
      </c>
      <c r="I248" t="s">
        <v>278</v>
      </c>
      <c r="J248" t="s">
        <v>332</v>
      </c>
      <c r="K248" t="s">
        <v>279</v>
      </c>
    </row>
    <row r="249" spans="1:11" hidden="1" x14ac:dyDescent="0.25">
      <c r="A249" s="8" t="s">
        <v>351</v>
      </c>
      <c r="D249" t="s">
        <v>275</v>
      </c>
      <c r="E249" s="2">
        <f>1/(1*87.62/(1*87.62+1*12.011+15.999*3))</f>
        <v>1.6848664688427297</v>
      </c>
      <c r="F249" t="s">
        <v>276</v>
      </c>
      <c r="G249" t="s">
        <v>277</v>
      </c>
      <c r="H249" t="s">
        <v>277</v>
      </c>
      <c r="I249" t="s">
        <v>278</v>
      </c>
      <c r="J249" t="s">
        <v>332</v>
      </c>
      <c r="K249" t="s">
        <v>81</v>
      </c>
    </row>
    <row r="250" spans="1:11" hidden="1" x14ac:dyDescent="0.25">
      <c r="A250" t="s">
        <v>10</v>
      </c>
      <c r="D250" t="s">
        <v>280</v>
      </c>
      <c r="E250">
        <v>1</v>
      </c>
      <c r="F250" t="s">
        <v>281</v>
      </c>
      <c r="G250" t="s">
        <v>282</v>
      </c>
      <c r="H250" t="s">
        <v>282</v>
      </c>
      <c r="I250" t="s">
        <v>283</v>
      </c>
      <c r="J250" t="s">
        <v>332</v>
      </c>
    </row>
    <row r="251" spans="1:11" hidden="1" x14ac:dyDescent="0.25">
      <c r="A251" t="s">
        <v>15</v>
      </c>
      <c r="D251" t="s">
        <v>280</v>
      </c>
      <c r="E251">
        <v>1</v>
      </c>
      <c r="F251" t="s">
        <v>281</v>
      </c>
      <c r="G251" t="s">
        <v>282</v>
      </c>
      <c r="H251" t="s">
        <v>282</v>
      </c>
      <c r="I251" t="s">
        <v>283</v>
      </c>
      <c r="J251" t="s">
        <v>332</v>
      </c>
    </row>
    <row r="252" spans="1:11" hidden="1" x14ac:dyDescent="0.25">
      <c r="A252" t="s">
        <v>10</v>
      </c>
      <c r="D252" t="s">
        <v>284</v>
      </c>
      <c r="E252">
        <v>1</v>
      </c>
      <c r="F252" t="s">
        <v>285</v>
      </c>
      <c r="G252" t="s">
        <v>286</v>
      </c>
      <c r="H252" t="s">
        <v>286</v>
      </c>
      <c r="I252" t="s">
        <v>287</v>
      </c>
      <c r="J252" t="s">
        <v>332</v>
      </c>
    </row>
    <row r="253" spans="1:11" hidden="1" x14ac:dyDescent="0.25">
      <c r="A253" t="s">
        <v>10</v>
      </c>
      <c r="D253" t="s">
        <v>288</v>
      </c>
      <c r="E253" s="2">
        <f>1/(1*158.925/(1*158.925+2*15.999))</f>
        <v>1.2013402548371872</v>
      </c>
      <c r="F253" t="s">
        <v>289</v>
      </c>
      <c r="G253" t="s">
        <v>290</v>
      </c>
      <c r="H253" t="s">
        <v>290</v>
      </c>
      <c r="I253" t="s">
        <v>291</v>
      </c>
      <c r="J253" t="s">
        <v>332</v>
      </c>
      <c r="K253" t="s">
        <v>292</v>
      </c>
    </row>
    <row r="254" spans="1:11" hidden="1" x14ac:dyDescent="0.25">
      <c r="A254" t="s">
        <v>15</v>
      </c>
      <c r="D254" t="s">
        <v>288</v>
      </c>
      <c r="E254" s="2">
        <f t="shared" ref="E254:E257" si="11">1/(1*158.925/(1*158.925+2*15.999))</f>
        <v>1.2013402548371872</v>
      </c>
      <c r="F254" t="s">
        <v>289</v>
      </c>
      <c r="G254" t="s">
        <v>290</v>
      </c>
      <c r="H254" t="s">
        <v>290</v>
      </c>
      <c r="I254" t="s">
        <v>291</v>
      </c>
      <c r="J254" t="s">
        <v>332</v>
      </c>
    </row>
    <row r="255" spans="1:11" hidden="1" x14ac:dyDescent="0.25">
      <c r="A255" t="s">
        <v>16</v>
      </c>
      <c r="D255" t="s">
        <v>288</v>
      </c>
      <c r="E255" s="2">
        <f t="shared" si="11"/>
        <v>1.2013402548371872</v>
      </c>
      <c r="F255" t="s">
        <v>289</v>
      </c>
      <c r="G255" t="s">
        <v>290</v>
      </c>
      <c r="H255" t="s">
        <v>290</v>
      </c>
      <c r="I255" t="s">
        <v>291</v>
      </c>
      <c r="J255" t="s">
        <v>332</v>
      </c>
    </row>
    <row r="256" spans="1:11" hidden="1" x14ac:dyDescent="0.25">
      <c r="A256" t="s">
        <v>17</v>
      </c>
      <c r="D256" t="s">
        <v>288</v>
      </c>
      <c r="E256" s="2">
        <f t="shared" si="11"/>
        <v>1.2013402548371872</v>
      </c>
      <c r="F256" t="s">
        <v>289</v>
      </c>
      <c r="G256" t="s">
        <v>290</v>
      </c>
      <c r="H256" t="s">
        <v>290</v>
      </c>
      <c r="I256" t="s">
        <v>291</v>
      </c>
      <c r="J256" t="s">
        <v>332</v>
      </c>
    </row>
    <row r="257" spans="1:11" hidden="1" x14ac:dyDescent="0.25">
      <c r="A257" t="s">
        <v>18</v>
      </c>
      <c r="D257" t="s">
        <v>288</v>
      </c>
      <c r="E257" s="2">
        <f t="shared" si="11"/>
        <v>1.2013402548371872</v>
      </c>
      <c r="F257" t="s">
        <v>289</v>
      </c>
      <c r="G257" t="s">
        <v>290</v>
      </c>
      <c r="H257" t="s">
        <v>290</v>
      </c>
      <c r="I257" t="s">
        <v>291</v>
      </c>
      <c r="J257" t="s">
        <v>332</v>
      </c>
    </row>
    <row r="258" spans="1:11" hidden="1" x14ac:dyDescent="0.25">
      <c r="A258" t="s">
        <v>10</v>
      </c>
      <c r="D258" t="s">
        <v>293</v>
      </c>
      <c r="E258">
        <v>1</v>
      </c>
      <c r="F258" t="s">
        <v>294</v>
      </c>
      <c r="G258" t="s">
        <v>295</v>
      </c>
      <c r="H258" t="s">
        <v>295</v>
      </c>
      <c r="I258" t="s">
        <v>295</v>
      </c>
      <c r="J258" t="s">
        <v>332</v>
      </c>
    </row>
    <row r="259" spans="1:11" hidden="1" x14ac:dyDescent="0.25">
      <c r="A259" t="s">
        <v>19</v>
      </c>
      <c r="D259" t="s">
        <v>293</v>
      </c>
      <c r="E259">
        <v>1</v>
      </c>
      <c r="F259" t="s">
        <v>294</v>
      </c>
      <c r="G259" t="s">
        <v>295</v>
      </c>
      <c r="H259" t="s">
        <v>295</v>
      </c>
      <c r="I259" t="s">
        <v>295</v>
      </c>
      <c r="J259" t="s">
        <v>332</v>
      </c>
      <c r="K259" t="s">
        <v>296</v>
      </c>
    </row>
    <row r="260" spans="1:11" hidden="1" x14ac:dyDescent="0.25">
      <c r="A260" t="s">
        <v>20</v>
      </c>
      <c r="D260" t="s">
        <v>293</v>
      </c>
      <c r="E260">
        <v>1</v>
      </c>
      <c r="F260" t="s">
        <v>294</v>
      </c>
      <c r="G260" t="s">
        <v>295</v>
      </c>
      <c r="H260" t="s">
        <v>295</v>
      </c>
      <c r="I260" t="s">
        <v>295</v>
      </c>
      <c r="J260" t="s">
        <v>332</v>
      </c>
      <c r="K260" t="s">
        <v>296</v>
      </c>
    </row>
    <row r="261" spans="1:11" hidden="1" x14ac:dyDescent="0.25">
      <c r="A261" t="s">
        <v>21</v>
      </c>
      <c r="D261" t="s">
        <v>293</v>
      </c>
      <c r="E261">
        <v>1</v>
      </c>
      <c r="F261" t="s">
        <v>294</v>
      </c>
      <c r="G261" t="s">
        <v>295</v>
      </c>
      <c r="H261" t="s">
        <v>295</v>
      </c>
      <c r="I261" t="s">
        <v>295</v>
      </c>
      <c r="J261" t="s">
        <v>332</v>
      </c>
      <c r="K261" t="s">
        <v>81</v>
      </c>
    </row>
    <row r="262" spans="1:11" hidden="1" x14ac:dyDescent="0.25">
      <c r="A262" t="s">
        <v>22</v>
      </c>
      <c r="D262" t="s">
        <v>293</v>
      </c>
      <c r="E262">
        <v>1</v>
      </c>
      <c r="F262" t="s">
        <v>294</v>
      </c>
      <c r="G262" t="s">
        <v>295</v>
      </c>
      <c r="H262" t="s">
        <v>295</v>
      </c>
      <c r="I262" t="s">
        <v>295</v>
      </c>
      <c r="J262" t="s">
        <v>332</v>
      </c>
      <c r="K262" t="s">
        <v>296</v>
      </c>
    </row>
    <row r="263" spans="1:11" hidden="1" x14ac:dyDescent="0.25">
      <c r="A263" t="s">
        <v>25</v>
      </c>
      <c r="D263" t="s">
        <v>293</v>
      </c>
      <c r="E263">
        <v>1</v>
      </c>
      <c r="F263" t="s">
        <v>294</v>
      </c>
      <c r="G263" t="s">
        <v>295</v>
      </c>
      <c r="H263" t="s">
        <v>295</v>
      </c>
      <c r="I263" t="s">
        <v>295</v>
      </c>
      <c r="J263" t="s">
        <v>332</v>
      </c>
    </row>
    <row r="264" spans="1:11" hidden="1" x14ac:dyDescent="0.25">
      <c r="A264" t="s">
        <v>23</v>
      </c>
      <c r="D264" t="s">
        <v>297</v>
      </c>
      <c r="E264">
        <v>1</v>
      </c>
      <c r="F264" t="s">
        <v>298</v>
      </c>
      <c r="G264" t="s">
        <v>299</v>
      </c>
      <c r="H264" t="s">
        <v>299</v>
      </c>
      <c r="I264" t="s">
        <v>299</v>
      </c>
      <c r="J264" t="s">
        <v>332</v>
      </c>
    </row>
    <row r="265" spans="1:11" hidden="1" x14ac:dyDescent="0.25">
      <c r="A265" t="s">
        <v>24</v>
      </c>
      <c r="D265" t="s">
        <v>297</v>
      </c>
      <c r="E265">
        <v>1</v>
      </c>
      <c r="F265" t="s">
        <v>298</v>
      </c>
      <c r="G265" t="s">
        <v>299</v>
      </c>
      <c r="H265" t="s">
        <v>299</v>
      </c>
      <c r="I265" t="s">
        <v>299</v>
      </c>
      <c r="J265" t="s">
        <v>332</v>
      </c>
    </row>
    <row r="266" spans="1:11" hidden="1" x14ac:dyDescent="0.25">
      <c r="A266" t="s">
        <v>30</v>
      </c>
      <c r="D266" t="s">
        <v>297</v>
      </c>
      <c r="E266">
        <v>1</v>
      </c>
      <c r="F266" t="s">
        <v>298</v>
      </c>
      <c r="G266" t="s">
        <v>299</v>
      </c>
      <c r="H266" t="s">
        <v>299</v>
      </c>
      <c r="I266" t="s">
        <v>300</v>
      </c>
      <c r="J266" t="s">
        <v>332</v>
      </c>
      <c r="K266" t="s">
        <v>301</v>
      </c>
    </row>
    <row r="267" spans="1:11" hidden="1" x14ac:dyDescent="0.25">
      <c r="A267" t="s">
        <v>31</v>
      </c>
      <c r="D267" t="s">
        <v>297</v>
      </c>
      <c r="E267">
        <v>1</v>
      </c>
      <c r="F267" t="s">
        <v>298</v>
      </c>
      <c r="G267" t="s">
        <v>299</v>
      </c>
      <c r="H267" t="s">
        <v>299</v>
      </c>
      <c r="I267" t="s">
        <v>299</v>
      </c>
      <c r="J267" t="s">
        <v>332</v>
      </c>
    </row>
    <row r="268" spans="1:11" hidden="1" x14ac:dyDescent="0.25">
      <c r="A268" t="s">
        <v>147</v>
      </c>
      <c r="D268" t="s">
        <v>297</v>
      </c>
      <c r="E268">
        <v>1</v>
      </c>
      <c r="F268" t="s">
        <v>298</v>
      </c>
      <c r="G268" t="s">
        <v>299</v>
      </c>
      <c r="H268" t="s">
        <v>299</v>
      </c>
      <c r="I268" t="s">
        <v>299</v>
      </c>
      <c r="J268" t="s">
        <v>332</v>
      </c>
      <c r="K268" t="s">
        <v>81</v>
      </c>
    </row>
    <row r="269" spans="1:11" hidden="1" x14ac:dyDescent="0.25">
      <c r="A269" t="s">
        <v>10</v>
      </c>
      <c r="D269" t="s">
        <v>302</v>
      </c>
      <c r="E269" s="2">
        <f>1/(1*183.84/(1*183.84+12.012))</f>
        <v>1.0653394255874673</v>
      </c>
      <c r="F269" t="s">
        <v>303</v>
      </c>
      <c r="G269" t="s">
        <v>304</v>
      </c>
      <c r="H269" t="s">
        <v>304</v>
      </c>
      <c r="I269" t="s">
        <v>305</v>
      </c>
      <c r="J269" t="s">
        <v>332</v>
      </c>
      <c r="K269" t="s">
        <v>306</v>
      </c>
    </row>
    <row r="270" spans="1:11" hidden="1" x14ac:dyDescent="0.25">
      <c r="A270" t="s">
        <v>25</v>
      </c>
      <c r="D270" t="s">
        <v>302</v>
      </c>
      <c r="E270" s="2">
        <f>1/(1*183.84/(1*183.84+12.012))</f>
        <v>1.0653394255874673</v>
      </c>
      <c r="F270" t="s">
        <v>303</v>
      </c>
      <c r="G270" t="s">
        <v>304</v>
      </c>
      <c r="H270" t="s">
        <v>304</v>
      </c>
      <c r="I270" t="s">
        <v>305</v>
      </c>
      <c r="J270" t="s">
        <v>332</v>
      </c>
      <c r="K270" t="s">
        <v>306</v>
      </c>
    </row>
    <row r="271" spans="1:11" hidden="1" x14ac:dyDescent="0.25">
      <c r="A271" t="s">
        <v>16</v>
      </c>
      <c r="D271" t="s">
        <v>307</v>
      </c>
      <c r="E271" s="2">
        <f>1/(2*50.942/(2*50.942+15.999*5))</f>
        <v>1.7851576302461625</v>
      </c>
      <c r="F271" t="s">
        <v>308</v>
      </c>
      <c r="G271" t="s">
        <v>309</v>
      </c>
      <c r="H271" t="s">
        <v>309</v>
      </c>
      <c r="I271" t="s">
        <v>310</v>
      </c>
      <c r="J271" t="s">
        <v>332</v>
      </c>
      <c r="K271" t="s">
        <v>311</v>
      </c>
    </row>
    <row r="272" spans="1:11" hidden="1" x14ac:dyDescent="0.25">
      <c r="A272" t="s">
        <v>18</v>
      </c>
      <c r="D272" t="s">
        <v>307</v>
      </c>
      <c r="E272" s="2">
        <f t="shared" ref="E272:E276" si="12">1/(2*50.942/(2*50.942+15.999*5))</f>
        <v>1.7851576302461625</v>
      </c>
      <c r="F272" t="s">
        <v>308</v>
      </c>
      <c r="G272" t="s">
        <v>309</v>
      </c>
      <c r="H272" t="s">
        <v>309</v>
      </c>
      <c r="I272" t="s">
        <v>310</v>
      </c>
      <c r="J272" t="s">
        <v>332</v>
      </c>
      <c r="K272" t="s">
        <v>311</v>
      </c>
    </row>
    <row r="273" spans="1:11" hidden="1" x14ac:dyDescent="0.25">
      <c r="A273" t="s">
        <v>23</v>
      </c>
      <c r="D273" t="s">
        <v>307</v>
      </c>
      <c r="E273" s="2">
        <f t="shared" si="12"/>
        <v>1.7851576302461625</v>
      </c>
      <c r="F273" t="s">
        <v>308</v>
      </c>
      <c r="G273" t="s">
        <v>309</v>
      </c>
      <c r="H273" t="s">
        <v>309</v>
      </c>
      <c r="I273" t="s">
        <v>310</v>
      </c>
      <c r="J273" t="s">
        <v>332</v>
      </c>
      <c r="K273" t="s">
        <v>311</v>
      </c>
    </row>
    <row r="274" spans="1:11" hidden="1" x14ac:dyDescent="0.25">
      <c r="A274" t="s">
        <v>24</v>
      </c>
      <c r="D274" t="s">
        <v>307</v>
      </c>
      <c r="E274" s="2">
        <f t="shared" si="12"/>
        <v>1.7851576302461625</v>
      </c>
      <c r="F274" t="s">
        <v>308</v>
      </c>
      <c r="G274" t="s">
        <v>309</v>
      </c>
      <c r="H274" t="s">
        <v>309</v>
      </c>
      <c r="I274" t="s">
        <v>310</v>
      </c>
      <c r="J274" t="s">
        <v>332</v>
      </c>
      <c r="K274" t="s">
        <v>311</v>
      </c>
    </row>
    <row r="275" spans="1:11" hidden="1" x14ac:dyDescent="0.25">
      <c r="A275" t="s">
        <v>99</v>
      </c>
      <c r="D275" t="s">
        <v>307</v>
      </c>
      <c r="E275" s="2">
        <f t="shared" si="12"/>
        <v>1.7851576302461625</v>
      </c>
      <c r="F275" t="s">
        <v>308</v>
      </c>
      <c r="G275" t="s">
        <v>309</v>
      </c>
      <c r="H275" t="s">
        <v>309</v>
      </c>
      <c r="I275" t="s">
        <v>310</v>
      </c>
      <c r="J275" t="s">
        <v>332</v>
      </c>
      <c r="K275" t="s">
        <v>311</v>
      </c>
    </row>
    <row r="276" spans="1:11" hidden="1" x14ac:dyDescent="0.25">
      <c r="A276" t="s">
        <v>25</v>
      </c>
      <c r="D276" t="s">
        <v>307</v>
      </c>
      <c r="E276" s="2">
        <f t="shared" si="12"/>
        <v>1.7851576302461625</v>
      </c>
      <c r="F276" t="s">
        <v>308</v>
      </c>
      <c r="G276" t="s">
        <v>309</v>
      </c>
      <c r="H276" t="s">
        <v>309</v>
      </c>
      <c r="I276" t="s">
        <v>310</v>
      </c>
      <c r="J276" t="s">
        <v>332</v>
      </c>
      <c r="K276" t="s">
        <v>311</v>
      </c>
    </row>
    <row r="277" spans="1:11" hidden="1" x14ac:dyDescent="0.25">
      <c r="A277" t="s">
        <v>10</v>
      </c>
      <c r="D277" t="s">
        <v>312</v>
      </c>
      <c r="E277" s="2">
        <f>1/(2*173.04/(2*173.04+3*15.999))</f>
        <v>1.1386875866851596</v>
      </c>
      <c r="F277" t="s">
        <v>313</v>
      </c>
      <c r="G277" t="s">
        <v>314</v>
      </c>
      <c r="H277" t="s">
        <v>314</v>
      </c>
      <c r="I277" t="s">
        <v>315</v>
      </c>
      <c r="J277" t="s">
        <v>332</v>
      </c>
      <c r="K277" t="s">
        <v>316</v>
      </c>
    </row>
    <row r="278" spans="1:11" hidden="1" x14ac:dyDescent="0.25">
      <c r="A278" t="s">
        <v>15</v>
      </c>
      <c r="D278" t="s">
        <v>312</v>
      </c>
      <c r="E278" s="2">
        <f>1/(2*173.04/(2*173.04+3*15.999))</f>
        <v>1.1386875866851596</v>
      </c>
      <c r="F278" t="s">
        <v>313</v>
      </c>
      <c r="G278" t="s">
        <v>314</v>
      </c>
      <c r="H278" t="s">
        <v>314</v>
      </c>
      <c r="I278" t="s">
        <v>315</v>
      </c>
      <c r="J278" t="s">
        <v>332</v>
      </c>
      <c r="K278" t="s">
        <v>316</v>
      </c>
    </row>
    <row r="279" spans="1:11" x14ac:dyDescent="0.25">
      <c r="A279" t="s">
        <v>10</v>
      </c>
      <c r="D279" t="s">
        <v>317</v>
      </c>
      <c r="E279" s="2">
        <f>1/(2*88.906/(2*88.906+3*15.999))</f>
        <v>1.2699311632510744</v>
      </c>
      <c r="F279" t="s">
        <v>318</v>
      </c>
      <c r="G279" t="s">
        <v>319</v>
      </c>
      <c r="H279" t="s">
        <v>319</v>
      </c>
      <c r="I279" t="s">
        <v>320</v>
      </c>
      <c r="J279" t="s">
        <v>332</v>
      </c>
      <c r="K279" t="s">
        <v>321</v>
      </c>
    </row>
    <row r="280" spans="1:11" x14ac:dyDescent="0.25">
      <c r="A280" t="s">
        <v>15</v>
      </c>
      <c r="D280" t="s">
        <v>317</v>
      </c>
      <c r="E280" s="2">
        <f t="shared" ref="E280:E285" si="13">1/(2*88.906/(2*88.906+3*15.999))</f>
        <v>1.2699311632510744</v>
      </c>
      <c r="F280" t="s">
        <v>318</v>
      </c>
      <c r="G280" t="s">
        <v>319</v>
      </c>
      <c r="H280" t="s">
        <v>319</v>
      </c>
      <c r="I280" t="s">
        <v>320</v>
      </c>
      <c r="J280" t="s">
        <v>332</v>
      </c>
    </row>
    <row r="281" spans="1:11" x14ac:dyDescent="0.25">
      <c r="A281" t="s">
        <v>322</v>
      </c>
      <c r="D281" t="s">
        <v>317</v>
      </c>
      <c r="E281" s="2">
        <f t="shared" si="13"/>
        <v>1.2699311632510744</v>
      </c>
      <c r="F281" t="s">
        <v>318</v>
      </c>
      <c r="G281" t="s">
        <v>319</v>
      </c>
      <c r="H281" t="s">
        <v>319</v>
      </c>
      <c r="I281" t="s">
        <v>320</v>
      </c>
      <c r="J281" t="s">
        <v>332</v>
      </c>
    </row>
    <row r="282" spans="1:11" x14ac:dyDescent="0.25">
      <c r="A282" t="s">
        <v>36</v>
      </c>
      <c r="D282" t="s">
        <v>317</v>
      </c>
      <c r="E282" s="2">
        <f t="shared" si="13"/>
        <v>1.2699311632510744</v>
      </c>
      <c r="F282" t="s">
        <v>318</v>
      </c>
      <c r="G282" t="s">
        <v>319</v>
      </c>
      <c r="H282" t="s">
        <v>319</v>
      </c>
      <c r="I282" t="s">
        <v>320</v>
      </c>
      <c r="J282" t="s">
        <v>332</v>
      </c>
    </row>
    <row r="283" spans="1:11" x14ac:dyDescent="0.25">
      <c r="A283" t="s">
        <v>34</v>
      </c>
      <c r="D283" t="s">
        <v>317</v>
      </c>
      <c r="E283" s="2">
        <f t="shared" si="13"/>
        <v>1.2699311632510744</v>
      </c>
      <c r="F283" t="s">
        <v>318</v>
      </c>
      <c r="G283" t="s">
        <v>319</v>
      </c>
      <c r="H283" t="s">
        <v>319</v>
      </c>
      <c r="I283" t="s">
        <v>320</v>
      </c>
      <c r="J283" t="s">
        <v>332</v>
      </c>
    </row>
    <row r="284" spans="1:11" x14ac:dyDescent="0.25">
      <c r="A284" t="s">
        <v>25</v>
      </c>
      <c r="D284" t="s">
        <v>317</v>
      </c>
      <c r="E284" s="2">
        <f t="shared" si="13"/>
        <v>1.2699311632510744</v>
      </c>
      <c r="F284" t="s">
        <v>318</v>
      </c>
      <c r="G284" t="s">
        <v>319</v>
      </c>
      <c r="H284" t="s">
        <v>319</v>
      </c>
      <c r="I284" t="s">
        <v>320</v>
      </c>
      <c r="J284" t="s">
        <v>332</v>
      </c>
    </row>
    <row r="285" spans="1:11" x14ac:dyDescent="0.25">
      <c r="A285" s="8" t="s">
        <v>351</v>
      </c>
      <c r="D285" t="s">
        <v>317</v>
      </c>
      <c r="E285" s="2">
        <f t="shared" si="13"/>
        <v>1.2699311632510744</v>
      </c>
      <c r="F285" t="s">
        <v>318</v>
      </c>
      <c r="G285" t="s">
        <v>319</v>
      </c>
      <c r="H285" t="s">
        <v>319</v>
      </c>
      <c r="I285" t="s">
        <v>320</v>
      </c>
      <c r="J285" t="s">
        <v>332</v>
      </c>
    </row>
    <row r="286" spans="1:11" hidden="1" x14ac:dyDescent="0.25">
      <c r="A286" t="s">
        <v>17</v>
      </c>
      <c r="D286" t="s">
        <v>323</v>
      </c>
      <c r="E286">
        <v>1</v>
      </c>
      <c r="F286" t="s">
        <v>324</v>
      </c>
      <c r="G286" t="s">
        <v>325</v>
      </c>
      <c r="H286" t="s">
        <v>325</v>
      </c>
      <c r="I286" t="s">
        <v>325</v>
      </c>
      <c r="J286" t="s">
        <v>332</v>
      </c>
      <c r="K286" t="s">
        <v>81</v>
      </c>
    </row>
    <row r="287" spans="1:11" hidden="1" x14ac:dyDescent="0.25">
      <c r="A287" t="s">
        <v>18</v>
      </c>
      <c r="D287" t="s">
        <v>323</v>
      </c>
      <c r="E287">
        <v>1</v>
      </c>
      <c r="F287" t="s">
        <v>324</v>
      </c>
      <c r="G287" t="s">
        <v>325</v>
      </c>
      <c r="H287" t="s">
        <v>325</v>
      </c>
      <c r="I287" t="s">
        <v>325</v>
      </c>
      <c r="J287" t="s">
        <v>332</v>
      </c>
      <c r="K287" t="s">
        <v>81</v>
      </c>
    </row>
    <row r="288" spans="1:11" hidden="1" x14ac:dyDescent="0.25">
      <c r="A288" t="s">
        <v>19</v>
      </c>
      <c r="D288" t="s">
        <v>323</v>
      </c>
      <c r="E288">
        <v>1</v>
      </c>
      <c r="F288" t="s">
        <v>324</v>
      </c>
      <c r="G288" t="s">
        <v>325</v>
      </c>
      <c r="H288" t="s">
        <v>325</v>
      </c>
      <c r="I288" t="s">
        <v>325</v>
      </c>
      <c r="J288" t="s">
        <v>332</v>
      </c>
    </row>
    <row r="289" spans="1:11" hidden="1" x14ac:dyDescent="0.25">
      <c r="A289" t="s">
        <v>21</v>
      </c>
      <c r="D289" t="s">
        <v>323</v>
      </c>
      <c r="E289">
        <v>1</v>
      </c>
      <c r="F289" t="s">
        <v>324</v>
      </c>
      <c r="G289" t="s">
        <v>325</v>
      </c>
      <c r="H289" t="s">
        <v>325</v>
      </c>
      <c r="I289" t="s">
        <v>325</v>
      </c>
      <c r="J289" t="s">
        <v>332</v>
      </c>
      <c r="K289" t="s">
        <v>81</v>
      </c>
    </row>
    <row r="290" spans="1:11" hidden="1" x14ac:dyDescent="0.25">
      <c r="A290" t="s">
        <v>23</v>
      </c>
      <c r="D290" t="s">
        <v>323</v>
      </c>
      <c r="E290">
        <v>1</v>
      </c>
      <c r="F290" t="s">
        <v>324</v>
      </c>
      <c r="G290" t="s">
        <v>325</v>
      </c>
      <c r="H290" t="s">
        <v>325</v>
      </c>
      <c r="I290" t="s">
        <v>325</v>
      </c>
      <c r="J290" t="s">
        <v>332</v>
      </c>
      <c r="K290" t="s">
        <v>81</v>
      </c>
    </row>
    <row r="291" spans="1:11" hidden="1" x14ac:dyDescent="0.25">
      <c r="A291" t="s">
        <v>24</v>
      </c>
      <c r="D291" t="s">
        <v>323</v>
      </c>
      <c r="E291">
        <v>1</v>
      </c>
      <c r="F291" t="s">
        <v>324</v>
      </c>
      <c r="G291" t="s">
        <v>325</v>
      </c>
      <c r="H291" t="s">
        <v>325</v>
      </c>
      <c r="I291" t="s">
        <v>325</v>
      </c>
      <c r="J291" t="s">
        <v>332</v>
      </c>
      <c r="K291" t="s">
        <v>81</v>
      </c>
    </row>
    <row r="292" spans="1:11" hidden="1" x14ac:dyDescent="0.25">
      <c r="A292" t="s">
        <v>36</v>
      </c>
      <c r="D292" t="s">
        <v>323</v>
      </c>
      <c r="E292">
        <v>1</v>
      </c>
      <c r="F292" t="s">
        <v>324</v>
      </c>
      <c r="G292" t="s">
        <v>325</v>
      </c>
      <c r="H292" t="s">
        <v>325</v>
      </c>
      <c r="I292" t="s">
        <v>325</v>
      </c>
      <c r="J292" t="s">
        <v>332</v>
      </c>
    </row>
    <row r="293" spans="1:11" hidden="1" x14ac:dyDescent="0.25">
      <c r="A293" t="s">
        <v>10</v>
      </c>
      <c r="D293" t="s">
        <v>326</v>
      </c>
      <c r="E293" s="2">
        <f>1/(1*91.224/(1*91.224+2*15.999))</f>
        <v>1.3507629571165483</v>
      </c>
      <c r="F293" t="s">
        <v>327</v>
      </c>
      <c r="G293" t="s">
        <v>328</v>
      </c>
      <c r="H293" t="s">
        <v>328</v>
      </c>
      <c r="I293" t="s">
        <v>329</v>
      </c>
      <c r="J293" t="s">
        <v>332</v>
      </c>
      <c r="K293" t="s">
        <v>330</v>
      </c>
    </row>
    <row r="294" spans="1:11" hidden="1" x14ac:dyDescent="0.25">
      <c r="A294" t="s">
        <v>35</v>
      </c>
      <c r="D294" t="s">
        <v>326</v>
      </c>
      <c r="E294" s="2">
        <f t="shared" ref="E294:E298" si="14">1/(1*91.224/(1*91.224+2*15.999))</f>
        <v>1.3507629571165483</v>
      </c>
      <c r="F294" t="s">
        <v>327</v>
      </c>
      <c r="G294" t="s">
        <v>328</v>
      </c>
      <c r="H294" t="s">
        <v>328</v>
      </c>
      <c r="I294" t="s">
        <v>329</v>
      </c>
      <c r="J294" t="s">
        <v>332</v>
      </c>
    </row>
    <row r="295" spans="1:11" hidden="1" x14ac:dyDescent="0.25">
      <c r="A295" t="s">
        <v>36</v>
      </c>
      <c r="D295" t="s">
        <v>326</v>
      </c>
      <c r="E295" s="2">
        <f t="shared" si="14"/>
        <v>1.3507629571165483</v>
      </c>
      <c r="F295" t="s">
        <v>327</v>
      </c>
      <c r="G295" t="s">
        <v>328</v>
      </c>
      <c r="H295" t="s">
        <v>328</v>
      </c>
      <c r="I295" t="s">
        <v>329</v>
      </c>
      <c r="J295" t="s">
        <v>332</v>
      </c>
      <c r="K295" t="s">
        <v>81</v>
      </c>
    </row>
    <row r="296" spans="1:11" hidden="1" x14ac:dyDescent="0.25">
      <c r="A296" t="s">
        <v>37</v>
      </c>
      <c r="D296" t="s">
        <v>326</v>
      </c>
      <c r="E296" s="2">
        <f t="shared" si="14"/>
        <v>1.3507629571165483</v>
      </c>
      <c r="F296" t="s">
        <v>327</v>
      </c>
      <c r="G296" t="s">
        <v>328</v>
      </c>
      <c r="H296" t="s">
        <v>328</v>
      </c>
      <c r="I296" t="s">
        <v>329</v>
      </c>
      <c r="J296" t="s">
        <v>332</v>
      </c>
      <c r="K296" t="s">
        <v>81</v>
      </c>
    </row>
    <row r="297" spans="1:11" hidden="1" x14ac:dyDescent="0.25">
      <c r="A297" s="8" t="s">
        <v>351</v>
      </c>
      <c r="D297" t="s">
        <v>326</v>
      </c>
      <c r="E297" s="2">
        <f t="shared" si="14"/>
        <v>1.3507629571165483</v>
      </c>
      <c r="F297" t="s">
        <v>327</v>
      </c>
      <c r="G297" t="s">
        <v>328</v>
      </c>
      <c r="H297" t="s">
        <v>328</v>
      </c>
      <c r="I297" t="s">
        <v>329</v>
      </c>
      <c r="J297" t="s">
        <v>332</v>
      </c>
      <c r="K297" t="s">
        <v>81</v>
      </c>
    </row>
    <row r="298" spans="1:11" hidden="1" x14ac:dyDescent="0.25">
      <c r="A298" t="s">
        <v>25</v>
      </c>
      <c r="D298" t="s">
        <v>326</v>
      </c>
      <c r="E298" s="2">
        <f t="shared" si="14"/>
        <v>1.3507629571165483</v>
      </c>
      <c r="F298" t="s">
        <v>327</v>
      </c>
      <c r="G298" t="s">
        <v>328</v>
      </c>
      <c r="H298" t="s">
        <v>328</v>
      </c>
      <c r="I298" t="s">
        <v>329</v>
      </c>
      <c r="J298" t="s">
        <v>332</v>
      </c>
    </row>
    <row r="299" spans="1:11" hidden="1" x14ac:dyDescent="0.25">
      <c r="A299" t="s">
        <v>32</v>
      </c>
      <c r="B299" t="s">
        <v>342</v>
      </c>
      <c r="C299" t="s">
        <v>343</v>
      </c>
      <c r="D299" t="s">
        <v>159</v>
      </c>
      <c r="E299" s="2">
        <f>1/(2*6.941/(2*6.941+12.012+3*15.999))*0.89</f>
        <v>4.7372849733467799</v>
      </c>
      <c r="F299" t="s">
        <v>160</v>
      </c>
      <c r="G299" t="s">
        <v>161</v>
      </c>
      <c r="H299" t="s">
        <v>338</v>
      </c>
      <c r="I299" t="s">
        <v>162</v>
      </c>
      <c r="J299" t="s">
        <v>332</v>
      </c>
      <c r="K299" t="s">
        <v>339</v>
      </c>
    </row>
    <row r="300" spans="1:11" hidden="1" x14ac:dyDescent="0.25">
      <c r="A300" t="s">
        <v>32</v>
      </c>
      <c r="B300" t="s">
        <v>344</v>
      </c>
      <c r="C300" t="s">
        <v>345</v>
      </c>
      <c r="D300" t="s">
        <v>159</v>
      </c>
      <c r="E300" s="2">
        <f>1/(2*6.941/(2*6.941+12.012+3*15.999))*0.1</f>
        <v>0.53227921048840221</v>
      </c>
      <c r="F300" t="s">
        <v>160</v>
      </c>
      <c r="G300" t="s">
        <v>161</v>
      </c>
      <c r="H300" t="s">
        <v>338</v>
      </c>
      <c r="I300" t="s">
        <v>162</v>
      </c>
      <c r="J300" t="s">
        <v>332</v>
      </c>
      <c r="K300" t="s">
        <v>340</v>
      </c>
    </row>
    <row r="301" spans="1:11" hidden="1" x14ac:dyDescent="0.25">
      <c r="A301" t="s">
        <v>32</v>
      </c>
      <c r="B301" t="s">
        <v>344</v>
      </c>
      <c r="C301" t="s">
        <v>345</v>
      </c>
      <c r="D301" t="s">
        <v>159</v>
      </c>
      <c r="E301" s="2">
        <f>1/(1*6.941/(1*6.941+1*1.008+1*15.999))*0.01</f>
        <v>3.4502233107621384E-2</v>
      </c>
      <c r="F301" t="s">
        <v>168</v>
      </c>
      <c r="G301" t="s">
        <v>169</v>
      </c>
      <c r="H301" t="s">
        <v>169</v>
      </c>
      <c r="I301" t="s">
        <v>162</v>
      </c>
      <c r="J301" t="s">
        <v>332</v>
      </c>
      <c r="K301" t="s">
        <v>341</v>
      </c>
    </row>
    <row r="302" spans="1:11" hidden="1" x14ac:dyDescent="0.25">
      <c r="A302" t="s">
        <v>32</v>
      </c>
      <c r="D302" t="s">
        <v>11</v>
      </c>
      <c r="J302" t="s">
        <v>333</v>
      </c>
      <c r="K302" t="s">
        <v>346</v>
      </c>
    </row>
    <row r="303" spans="1:11" hidden="1" x14ac:dyDescent="0.25">
      <c r="A303" t="s">
        <v>32</v>
      </c>
      <c r="D303" t="s">
        <v>102</v>
      </c>
      <c r="J303" t="s">
        <v>333</v>
      </c>
    </row>
    <row r="304" spans="1:11" hidden="1" x14ac:dyDescent="0.25">
      <c r="A304" t="s">
        <v>32</v>
      </c>
      <c r="D304" t="s">
        <v>196</v>
      </c>
      <c r="E304">
        <v>1</v>
      </c>
      <c r="F304" t="s">
        <v>198</v>
      </c>
      <c r="G304" t="s">
        <v>199</v>
      </c>
      <c r="H304" t="s">
        <v>199</v>
      </c>
      <c r="I304" t="s">
        <v>200</v>
      </c>
      <c r="J304" t="s">
        <v>332</v>
      </c>
    </row>
    <row r="305" spans="1:11" hidden="1" x14ac:dyDescent="0.25">
      <c r="A305" t="s">
        <v>33</v>
      </c>
      <c r="D305" t="s">
        <v>159</v>
      </c>
      <c r="E305" s="2">
        <f>1*0.99</f>
        <v>0.99</v>
      </c>
      <c r="F305" t="s">
        <v>348</v>
      </c>
      <c r="G305" t="s">
        <v>162</v>
      </c>
      <c r="H305" t="s">
        <v>162</v>
      </c>
      <c r="I305" t="s">
        <v>162</v>
      </c>
      <c r="J305" t="s">
        <v>332</v>
      </c>
      <c r="K305" t="s">
        <v>347</v>
      </c>
    </row>
    <row r="306" spans="1:11" hidden="1" x14ac:dyDescent="0.25">
      <c r="A306" t="s">
        <v>33</v>
      </c>
      <c r="D306" t="s">
        <v>159</v>
      </c>
      <c r="E306" s="2">
        <f>0.01*1/(1*6.941/(1*6.941+35.453))</f>
        <v>6.107765451664026E-2</v>
      </c>
      <c r="F306" t="s">
        <v>349</v>
      </c>
      <c r="G306" t="s">
        <v>350</v>
      </c>
      <c r="H306" t="s">
        <v>350</v>
      </c>
      <c r="I306" t="s">
        <v>162</v>
      </c>
      <c r="J306" t="s">
        <v>332</v>
      </c>
    </row>
    <row r="307" spans="1:11" hidden="1" x14ac:dyDescent="0.25">
      <c r="A307" t="s">
        <v>33</v>
      </c>
      <c r="D307" t="s">
        <v>11</v>
      </c>
      <c r="J307" t="s">
        <v>333</v>
      </c>
    </row>
    <row r="308" spans="1:11" hidden="1" x14ac:dyDescent="0.25">
      <c r="A308" t="s">
        <v>33</v>
      </c>
      <c r="D308" t="s">
        <v>102</v>
      </c>
      <c r="J308" t="s">
        <v>333</v>
      </c>
    </row>
    <row r="309" spans="1:11" hidden="1" x14ac:dyDescent="0.25">
      <c r="A309" t="s">
        <v>33</v>
      </c>
      <c r="D309" t="s">
        <v>196</v>
      </c>
      <c r="E309">
        <v>1</v>
      </c>
      <c r="F309" t="s">
        <v>198</v>
      </c>
      <c r="G309" t="s">
        <v>199</v>
      </c>
      <c r="H309" t="s">
        <v>199</v>
      </c>
      <c r="I309" t="s">
        <v>200</v>
      </c>
      <c r="J309" t="s">
        <v>332</v>
      </c>
    </row>
  </sheetData>
  <autoFilter ref="A1:K309" xr:uid="{00000000-0001-0000-0000-000000000000}">
    <filterColumn colId="3">
      <filters>
        <filter val="Germanium"/>
        <filter val="Yttrium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activities_mapping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2024-10-18T08:39:02Z</dcterms:modified>
</cp:coreProperties>
</file>