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airey\Documents\egUSA\6.0\6001_HERS Tests\IAF-2018\Results\"/>
    </mc:Choice>
  </mc:AlternateContent>
  <bookViews>
    <workbookView xWindow="-20" yWindow="-20" windowWidth="7400" windowHeight="9110"/>
  </bookViews>
  <sheets>
    <sheet name="Results" sheetId="1" r:id="rId1"/>
    <sheet name="Worksheet" sheetId="2" r:id="rId2"/>
  </sheets>
  <calcPr calcId="152511"/>
</workbook>
</file>

<file path=xl/calcChain.xml><?xml version="1.0" encoding="utf-8"?>
<calcChain xmlns="http://schemas.openxmlformats.org/spreadsheetml/2006/main">
  <c r="AB8" i="2" l="1"/>
  <c r="AB7" i="2"/>
  <c r="AB6" i="2"/>
  <c r="AB5" i="2"/>
  <c r="AB4" i="2"/>
  <c r="Y8" i="2" l="1"/>
  <c r="Y7" i="2"/>
  <c r="Y6" i="2"/>
  <c r="Y5" i="2"/>
  <c r="Y4" i="2"/>
  <c r="X8" i="2"/>
  <c r="W8" i="2"/>
  <c r="X7" i="2"/>
  <c r="W7" i="2"/>
  <c r="X6" i="2"/>
  <c r="W6" i="2"/>
  <c r="X5" i="2"/>
  <c r="W5" i="2"/>
  <c r="X4" i="2"/>
  <c r="W4" i="2"/>
  <c r="Z6" i="2" l="1"/>
  <c r="Z4" i="2"/>
  <c r="Z7" i="2"/>
  <c r="Z8" i="2"/>
  <c r="Z5" i="2"/>
  <c r="J17" i="2" l="1"/>
  <c r="J15" i="2"/>
  <c r="J14" i="2"/>
  <c r="K17" i="2" l="1"/>
  <c r="K15" i="2"/>
  <c r="K14" i="2"/>
  <c r="K16" i="2"/>
  <c r="J16" i="2"/>
  <c r="K13" i="2"/>
  <c r="J13" i="2"/>
  <c r="M17" i="2"/>
  <c r="L17" i="2"/>
  <c r="M16" i="2"/>
  <c r="L16" i="2"/>
  <c r="M15" i="2"/>
  <c r="L15" i="2"/>
  <c r="M14" i="2"/>
  <c r="L14" i="2"/>
  <c r="M13" i="2"/>
  <c r="L13" i="2"/>
  <c r="I17" i="2"/>
  <c r="H17" i="2"/>
  <c r="G17" i="2"/>
  <c r="F17" i="2"/>
  <c r="E17" i="2"/>
  <c r="I16" i="2"/>
  <c r="H16" i="2"/>
  <c r="G16" i="2"/>
  <c r="F16" i="2"/>
  <c r="E16" i="2"/>
  <c r="I15" i="2"/>
  <c r="H15" i="2"/>
  <c r="G15" i="2"/>
  <c r="F15" i="2"/>
  <c r="E15" i="2"/>
  <c r="I14" i="2"/>
  <c r="H14" i="2"/>
  <c r="G14" i="2"/>
  <c r="F14" i="2"/>
  <c r="E14" i="2"/>
  <c r="N14" i="2" s="1"/>
  <c r="I13" i="2"/>
  <c r="H13" i="2"/>
  <c r="G13" i="2"/>
  <c r="F13" i="2"/>
  <c r="E13" i="2"/>
  <c r="N15" i="2" l="1"/>
  <c r="AC6" i="2" s="1"/>
  <c r="N17" i="2"/>
  <c r="AC8" i="2" s="1"/>
  <c r="N16" i="2"/>
  <c r="AC7" i="2" s="1"/>
  <c r="N13" i="2"/>
  <c r="AC4" i="2" s="1"/>
  <c r="AC5" i="2"/>
  <c r="M5" i="2"/>
  <c r="B4" i="2" l="1"/>
  <c r="C4" i="2"/>
  <c r="F4" i="2"/>
  <c r="G4" i="2"/>
  <c r="K4" i="2"/>
  <c r="L4" i="2"/>
  <c r="M4" i="2"/>
  <c r="N4" i="2"/>
  <c r="H4" i="2" s="1"/>
  <c r="O4" i="2"/>
  <c r="I4" i="2" s="1"/>
  <c r="P4" i="2"/>
  <c r="J4" i="2" s="1"/>
  <c r="B5" i="2"/>
  <c r="C5" i="2"/>
  <c r="F5" i="2"/>
  <c r="G5" i="2"/>
  <c r="K5" i="2"/>
  <c r="L5" i="2"/>
  <c r="N5" i="2"/>
  <c r="H5" i="2" s="1"/>
  <c r="O5" i="2"/>
  <c r="I5" i="2" s="1"/>
  <c r="P5" i="2"/>
  <c r="J5" i="2" s="1"/>
  <c r="B6" i="2"/>
  <c r="C6" i="2"/>
  <c r="F6" i="2"/>
  <c r="G6" i="2"/>
  <c r="K6" i="2"/>
  <c r="L6" i="2"/>
  <c r="M6" i="2"/>
  <c r="N6" i="2"/>
  <c r="H6" i="2" s="1"/>
  <c r="O6" i="2"/>
  <c r="I6" i="2" s="1"/>
  <c r="P6" i="2"/>
  <c r="J6" i="2" s="1"/>
  <c r="B7" i="2"/>
  <c r="C7" i="2"/>
  <c r="F7" i="2"/>
  <c r="G7" i="2"/>
  <c r="K7" i="2"/>
  <c r="L7" i="2"/>
  <c r="M7" i="2"/>
  <c r="N7" i="2"/>
  <c r="H7" i="2" s="1"/>
  <c r="O7" i="2"/>
  <c r="I7" i="2" s="1"/>
  <c r="P7" i="2"/>
  <c r="J7" i="2" s="1"/>
  <c r="B8" i="2"/>
  <c r="C8" i="2"/>
  <c r="F8" i="2"/>
  <c r="G8" i="2"/>
  <c r="K8" i="2"/>
  <c r="L8" i="2"/>
  <c r="M8" i="2"/>
  <c r="N8" i="2"/>
  <c r="H8" i="2" s="1"/>
  <c r="O8" i="2"/>
  <c r="I8" i="2" s="1"/>
  <c r="P8" i="2"/>
  <c r="J8" i="2" s="1"/>
  <c r="R4" i="2" l="1"/>
  <c r="U4" i="2" s="1"/>
  <c r="R8" i="2"/>
  <c r="U8" i="2" s="1"/>
  <c r="Q4" i="2"/>
  <c r="T4" i="2" s="1"/>
  <c r="R6" i="2"/>
  <c r="U6" i="2" s="1"/>
  <c r="R5" i="2"/>
  <c r="U5" i="2" s="1"/>
  <c r="S4" i="2"/>
  <c r="V4" i="2" s="1"/>
  <c r="R7" i="2"/>
  <c r="U7" i="2" s="1"/>
  <c r="S7" i="2"/>
  <c r="V7" i="2" s="1"/>
  <c r="Q7" i="2"/>
  <c r="T7" i="2" s="1"/>
  <c r="Q5" i="2"/>
  <c r="T5" i="2" s="1"/>
  <c r="S5" i="2"/>
  <c r="V5" i="2" s="1"/>
  <c r="S8" i="2"/>
  <c r="V8" i="2" s="1"/>
  <c r="Q8" i="2"/>
  <c r="T8" i="2" s="1"/>
  <c r="S6" i="2"/>
  <c r="V6" i="2" s="1"/>
  <c r="Q6" i="2"/>
  <c r="T6" i="2" s="1"/>
  <c r="AA4" i="2" l="1"/>
  <c r="AD4" i="2" s="1"/>
  <c r="AA7" i="2"/>
  <c r="AD7" i="2" s="1"/>
  <c r="AA6" i="2"/>
  <c r="AD6" i="2" s="1"/>
  <c r="AA8" i="2"/>
  <c r="AD8" i="2" s="1"/>
  <c r="AA5" i="2"/>
  <c r="AD5" i="2" s="1"/>
  <c r="N8" i="1" l="1"/>
  <c r="N9" i="1"/>
  <c r="N12" i="1"/>
  <c r="N10" i="1"/>
  <c r="N11" i="1"/>
</calcChain>
</file>

<file path=xl/sharedStrings.xml><?xml version="1.0" encoding="utf-8"?>
<sst xmlns="http://schemas.openxmlformats.org/spreadsheetml/2006/main" count="119" uniqueCount="63">
  <si>
    <t>Fuel</t>
  </si>
  <si>
    <t>MEPR</t>
  </si>
  <si>
    <t>EEC_x</t>
  </si>
  <si>
    <t>EEC_r</t>
  </si>
  <si>
    <t>a</t>
  </si>
  <si>
    <t>b</t>
  </si>
  <si>
    <t>Cooling</t>
  </si>
  <si>
    <t>Heating</t>
  </si>
  <si>
    <t>gas</t>
  </si>
  <si>
    <t>Hot Water</t>
  </si>
  <si>
    <t>nMEUL</t>
  </si>
  <si>
    <t>DSE_r</t>
  </si>
  <si>
    <t>nEC_x</t>
  </si>
  <si>
    <t>Summer</t>
  </si>
  <si>
    <t>Winter</t>
  </si>
  <si>
    <t>(MBtu)</t>
  </si>
  <si>
    <t>Reference Home End Use Energy Consumption (EC_r)</t>
  </si>
  <si>
    <t>Rated Home End Use Energy Consumption (EC_x)</t>
  </si>
  <si>
    <t>Manufacturer's Equipment Performance Rating (MEPR)</t>
  </si>
  <si>
    <t>HERS Score</t>
  </si>
  <si>
    <t>Test Case</t>
  </si>
  <si>
    <t>L100A-01</t>
  </si>
  <si>
    <t>L100A-02</t>
  </si>
  <si>
    <t>L100A-03</t>
  </si>
  <si>
    <t>L100A-04</t>
  </si>
  <si>
    <t>L100A-05</t>
  </si>
  <si>
    <t>elec</t>
  </si>
  <si>
    <t>Coefficients</t>
  </si>
  <si>
    <t xml:space="preserve">Cooling </t>
  </si>
  <si>
    <t>TnML</t>
  </si>
  <si>
    <t>TRL</t>
  </si>
  <si>
    <t xml:space="preserve"> </t>
  </si>
  <si>
    <t>User input data fields indicated by pale yellow</t>
  </si>
  <si>
    <t>Test result fields indicated by pale green</t>
  </si>
  <si>
    <t xml:space="preserve">Software Name: </t>
  </si>
  <si>
    <t>Total Loads</t>
  </si>
  <si>
    <t>L&amp;A</t>
  </si>
  <si>
    <t>HERS Index Tests</t>
  </si>
  <si>
    <t>HERS Index</t>
  </si>
  <si>
    <t>CFA</t>
  </si>
  <si>
    <t>Nbr</t>
  </si>
  <si>
    <t>intLgt</t>
  </si>
  <si>
    <t>extLgts</t>
  </si>
  <si>
    <t>Fridg</t>
  </si>
  <si>
    <t>TVs</t>
  </si>
  <si>
    <t>R/O</t>
  </si>
  <si>
    <t>cDryer</t>
  </si>
  <si>
    <t>dWash</t>
  </si>
  <si>
    <t>cWash</t>
  </si>
  <si>
    <t>total</t>
  </si>
  <si>
    <t xml:space="preserve">Home </t>
  </si>
  <si>
    <t>Lighting &amp; Appliance Energy Uses</t>
  </si>
  <si>
    <t>Reference Home End Use Loads (REUL)</t>
  </si>
  <si>
    <t>resMELs</t>
  </si>
  <si>
    <r>
      <t>IAF</t>
    </r>
    <r>
      <rPr>
        <vertAlign val="subscript"/>
        <sz val="10"/>
        <rFont val="Arial"/>
        <family val="2"/>
      </rPr>
      <t>RH</t>
    </r>
  </si>
  <si>
    <t>Index Adjustment Factor</t>
  </si>
  <si>
    <r>
      <t>IAF</t>
    </r>
    <r>
      <rPr>
        <vertAlign val="subscript"/>
        <sz val="10"/>
        <rFont val="Arial"/>
        <family val="2"/>
      </rPr>
      <t>CFA</t>
    </r>
  </si>
  <si>
    <r>
      <t>IAF</t>
    </r>
    <r>
      <rPr>
        <vertAlign val="subscript"/>
        <sz val="10"/>
        <rFont val="Arial"/>
        <family val="2"/>
      </rPr>
      <t>Nbr</t>
    </r>
  </si>
  <si>
    <r>
      <t>IAF</t>
    </r>
    <r>
      <rPr>
        <vertAlign val="subscript"/>
        <sz val="10"/>
        <rFont val="Arial"/>
        <family val="2"/>
      </rPr>
      <t>NS</t>
    </r>
  </si>
  <si>
    <t>NS</t>
  </si>
  <si>
    <r>
      <t>IAD</t>
    </r>
    <r>
      <rPr>
        <vertAlign val="subscript"/>
        <sz val="10"/>
        <rFont val="Arial"/>
        <family val="2"/>
      </rPr>
      <t>SAVE</t>
    </r>
    <r>
      <rPr>
        <sz val="10"/>
        <rFont val="Arial"/>
        <family val="2"/>
      </rPr>
      <t xml:space="preserve">
(%)</t>
    </r>
  </si>
  <si>
    <t>TRL*IAF</t>
  </si>
  <si>
    <t>2018 HERS Method IAF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</si>
</sst>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164" formatCode="0.0000"/>
    <numFmt numFmtId="165" formatCode="0.0"/>
    <numFmt numFmtId="166" formatCode="0.000%"/>
    <numFmt numFmtId="167" formatCode="0.0%"/>
  </numFmts>
  <fonts count="7" x14ac:knownFonts="1">
    <font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43"/>
        <bgColor indexed="64"/>
      </patternFill>
    </fill>
  </fills>
  <borders count="84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9">
    <xf numFmtId="0" fontId="0" fillId="0" borderId="0">
      <alignment vertical="top"/>
    </xf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4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1" fillId="0" borderId="0" applyNumberFormat="0" applyFont="0" applyFill="0" applyAlignment="0" applyProtection="0"/>
    <xf numFmtId="0" fontId="2" fillId="0" borderId="0" applyNumberFormat="0" applyFont="0" applyFill="0" applyAlignment="0" applyProtection="0"/>
    <xf numFmtId="0" fontId="5" fillId="0" borderId="1" applyNumberFormat="0" applyFont="0" applyBorder="0" applyAlignment="0" applyProtection="0"/>
    <xf numFmtId="0" fontId="3" fillId="0" borderId="0"/>
  </cellStyleXfs>
  <cellXfs count="168">
    <xf numFmtId="0" fontId="0" fillId="0" borderId="0" xfId="0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Fill="1" applyBorder="1" applyAlignment="1">
      <alignment horizontal="centerContinuous"/>
    </xf>
    <xf numFmtId="0" fontId="0" fillId="0" borderId="17" xfId="0" applyFill="1" applyBorder="1" applyAlignment="1">
      <alignment horizontal="centerContinuous"/>
    </xf>
    <xf numFmtId="0" fontId="0" fillId="0" borderId="18" xfId="0" applyBorder="1" applyAlignment="1">
      <alignment horizontal="centerContinuous"/>
    </xf>
    <xf numFmtId="0" fontId="0" fillId="0" borderId="19" xfId="0" applyBorder="1" applyAlignment="1">
      <alignment horizontal="centerContinuous"/>
    </xf>
    <xf numFmtId="0" fontId="0" fillId="0" borderId="20" xfId="0" applyBorder="1" applyAlignment="1">
      <alignment horizontal="centerContinuous"/>
    </xf>
    <xf numFmtId="0" fontId="0" fillId="0" borderId="21" xfId="0" applyBorder="1" applyAlignment="1">
      <alignment horizontal="centerContinuous"/>
    </xf>
    <xf numFmtId="0" fontId="0" fillId="0" borderId="22" xfId="0" applyBorder="1" applyAlignment="1">
      <alignment horizontal="centerContinuous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164" fontId="0" fillId="0" borderId="2" xfId="0" applyNumberFormat="1" applyBorder="1" applyAlignment="1"/>
    <xf numFmtId="164" fontId="0" fillId="0" borderId="25" xfId="0" applyNumberFormat="1" applyBorder="1" applyAlignment="1"/>
    <xf numFmtId="164" fontId="0" fillId="0" borderId="26" xfId="0" applyNumberFormat="1" applyBorder="1" applyAlignment="1"/>
    <xf numFmtId="164" fontId="0" fillId="0" borderId="27" xfId="0" applyNumberFormat="1" applyBorder="1" applyAlignment="1"/>
    <xf numFmtId="164" fontId="0" fillId="0" borderId="28" xfId="0" applyNumberFormat="1" applyBorder="1" applyAlignment="1"/>
    <xf numFmtId="164" fontId="0" fillId="0" borderId="0" xfId="0" applyNumberFormat="1" applyBorder="1" applyAlignment="1"/>
    <xf numFmtId="164" fontId="0" fillId="0" borderId="29" xfId="0" applyNumberFormat="1" applyBorder="1" applyAlignment="1"/>
    <xf numFmtId="164" fontId="0" fillId="0" borderId="30" xfId="0" applyNumberFormat="1" applyBorder="1" applyAlignment="1"/>
    <xf numFmtId="0" fontId="0" fillId="0" borderId="31" xfId="0" applyBorder="1" applyAlignment="1">
      <alignment horizontal="centerContinuous"/>
    </xf>
    <xf numFmtId="164" fontId="0" fillId="0" borderId="32" xfId="0" applyNumberFormat="1" applyBorder="1" applyAlignment="1"/>
    <xf numFmtId="164" fontId="0" fillId="0" borderId="33" xfId="0" applyNumberFormat="1" applyBorder="1" applyAlignment="1"/>
    <xf numFmtId="2" fontId="0" fillId="0" borderId="34" xfId="0" applyNumberFormat="1" applyBorder="1" applyAlignment="1"/>
    <xf numFmtId="164" fontId="0" fillId="0" borderId="35" xfId="0" applyNumberFormat="1" applyBorder="1" applyAlignment="1"/>
    <xf numFmtId="164" fontId="0" fillId="0" borderId="0" xfId="0" applyNumberFormat="1" applyAlignment="1"/>
    <xf numFmtId="0" fontId="0" fillId="0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5" fontId="0" fillId="0" borderId="0" xfId="0" applyNumberFormat="1" applyAlignment="1"/>
    <xf numFmtId="166" fontId="0" fillId="0" borderId="0" xfId="0" applyNumberFormat="1" applyAlignment="1"/>
    <xf numFmtId="0" fontId="0" fillId="2" borderId="19" xfId="0" applyFill="1" applyBorder="1" applyAlignment="1">
      <alignment horizontal="centerContinuous"/>
    </xf>
    <xf numFmtId="0" fontId="0" fillId="2" borderId="20" xfId="0" applyFill="1" applyBorder="1" applyAlignment="1">
      <alignment horizontal="centerContinuous"/>
    </xf>
    <xf numFmtId="0" fontId="0" fillId="2" borderId="18" xfId="0" applyFill="1" applyBorder="1" applyAlignment="1">
      <alignment horizontal="centerContinuous"/>
    </xf>
    <xf numFmtId="2" fontId="0" fillId="0" borderId="40" xfId="0" applyNumberFormat="1" applyBorder="1" applyAlignment="1"/>
    <xf numFmtId="0" fontId="0" fillId="0" borderId="41" xfId="0" applyBorder="1" applyAlignment="1">
      <alignment horizontal="center"/>
    </xf>
    <xf numFmtId="0" fontId="0" fillId="0" borderId="16" xfId="0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Alignment="1"/>
    <xf numFmtId="0" fontId="0" fillId="3" borderId="19" xfId="0" applyFill="1" applyBorder="1" applyAlignment="1">
      <alignment horizontal="centerContinuous"/>
    </xf>
    <xf numFmtId="0" fontId="0" fillId="3" borderId="20" xfId="0" applyFill="1" applyBorder="1" applyAlignment="1">
      <alignment horizontal="centerContinuous"/>
    </xf>
    <xf numFmtId="165" fontId="0" fillId="3" borderId="20" xfId="0" applyNumberFormat="1" applyFill="1" applyBorder="1" applyAlignment="1">
      <alignment horizontal="centerContinuous"/>
    </xf>
    <xf numFmtId="0" fontId="0" fillId="3" borderId="18" xfId="0" applyFill="1" applyBorder="1" applyAlignment="1">
      <alignment horizontal="centerContinuous"/>
    </xf>
    <xf numFmtId="2" fontId="0" fillId="4" borderId="57" xfId="0" applyNumberFormat="1" applyFill="1" applyBorder="1" applyAlignment="1" applyProtection="1">
      <alignment horizontal="center"/>
      <protection locked="0"/>
    </xf>
    <xf numFmtId="2" fontId="0" fillId="4" borderId="58" xfId="0" applyNumberFormat="1" applyFill="1" applyBorder="1" applyAlignment="1" applyProtection="1">
      <alignment horizontal="center"/>
      <protection locked="0"/>
    </xf>
    <xf numFmtId="2" fontId="0" fillId="4" borderId="59" xfId="0" applyNumberFormat="1" applyFill="1" applyBorder="1" applyAlignment="1" applyProtection="1">
      <alignment horizontal="center"/>
      <protection locked="0"/>
    </xf>
    <xf numFmtId="2" fontId="0" fillId="4" borderId="60" xfId="0" applyNumberFormat="1" applyFill="1" applyBorder="1" applyAlignment="1" applyProtection="1">
      <alignment horizontal="center"/>
      <protection locked="0"/>
    </xf>
    <xf numFmtId="2" fontId="0" fillId="4" borderId="61" xfId="0" applyNumberFormat="1" applyFill="1" applyBorder="1" applyAlignment="1" applyProtection="1">
      <alignment horizontal="center"/>
      <protection locked="0"/>
    </xf>
    <xf numFmtId="2" fontId="0" fillId="4" borderId="62" xfId="0" applyNumberFormat="1" applyFill="1" applyBorder="1" applyAlignment="1" applyProtection="1">
      <alignment horizontal="center"/>
      <protection locked="0"/>
    </xf>
    <xf numFmtId="2" fontId="0" fillId="4" borderId="63" xfId="0" applyNumberFormat="1" applyFill="1" applyBorder="1" applyAlignment="1" applyProtection="1">
      <alignment horizontal="center"/>
      <protection locked="0"/>
    </xf>
    <xf numFmtId="2" fontId="0" fillId="4" borderId="64" xfId="0" applyNumberFormat="1" applyFill="1" applyBorder="1" applyAlignment="1" applyProtection="1">
      <alignment horizontal="center"/>
      <protection locked="0"/>
    </xf>
    <xf numFmtId="2" fontId="0" fillId="4" borderId="65" xfId="0" applyNumberFormat="1" applyFill="1" applyBorder="1" applyAlignment="1" applyProtection="1">
      <alignment horizontal="center"/>
      <protection locked="0"/>
    </xf>
    <xf numFmtId="2" fontId="0" fillId="4" borderId="66" xfId="0" applyNumberFormat="1" applyFill="1" applyBorder="1" applyAlignment="1" applyProtection="1">
      <alignment horizontal="center"/>
      <protection locked="0"/>
    </xf>
    <xf numFmtId="2" fontId="0" fillId="4" borderId="67" xfId="0" applyNumberFormat="1" applyFill="1" applyBorder="1" applyAlignment="1" applyProtection="1">
      <alignment horizontal="center"/>
      <protection locked="0"/>
    </xf>
    <xf numFmtId="2" fontId="0" fillId="4" borderId="68" xfId="0" applyNumberFormat="1" applyFill="1" applyBorder="1" applyAlignment="1" applyProtection="1">
      <alignment horizontal="center"/>
      <protection locked="0"/>
    </xf>
    <xf numFmtId="2" fontId="0" fillId="4" borderId="69" xfId="0" applyNumberFormat="1" applyFill="1" applyBorder="1" applyAlignment="1" applyProtection="1">
      <alignment horizontal="center"/>
      <protection locked="0"/>
    </xf>
    <xf numFmtId="2" fontId="0" fillId="4" borderId="70" xfId="0" applyNumberFormat="1" applyFill="1" applyBorder="1" applyAlignment="1" applyProtection="1">
      <alignment horizontal="center"/>
      <protection locked="0"/>
    </xf>
    <xf numFmtId="2" fontId="0" fillId="4" borderId="71" xfId="0" applyNumberFormat="1" applyFill="1" applyBorder="1" applyAlignment="1" applyProtection="1">
      <alignment horizontal="center"/>
      <protection locked="0"/>
    </xf>
    <xf numFmtId="0" fontId="3" fillId="0" borderId="0" xfId="8" applyAlignment="1">
      <alignment horizontal="right"/>
    </xf>
    <xf numFmtId="0" fontId="0" fillId="0" borderId="13" xfId="0" applyBorder="1" applyAlignment="1">
      <alignment horizontal="center"/>
    </xf>
    <xf numFmtId="0" fontId="0" fillId="0" borderId="77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79" xfId="0" applyFont="1" applyFill="1" applyBorder="1" applyAlignment="1">
      <alignment horizontal="center"/>
    </xf>
    <xf numFmtId="0" fontId="3" fillId="0" borderId="80" xfId="0" applyFont="1" applyFill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81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2" fontId="0" fillId="0" borderId="7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82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78" xfId="0" applyNumberFormat="1" applyFill="1" applyBorder="1" applyAlignment="1">
      <alignment horizontal="center"/>
    </xf>
    <xf numFmtId="2" fontId="0" fillId="0" borderId="0" xfId="0" applyNumberFormat="1" applyAlignment="1"/>
    <xf numFmtId="0" fontId="0" fillId="0" borderId="42" xfId="0" applyFill="1" applyBorder="1" applyAlignment="1"/>
    <xf numFmtId="0" fontId="0" fillId="0" borderId="42" xfId="0" applyFill="1" applyBorder="1" applyAlignment="1">
      <alignment horizontal="right"/>
    </xf>
    <xf numFmtId="0" fontId="0" fillId="0" borderId="42" xfId="0" applyFill="1" applyBorder="1" applyAlignment="1">
      <alignment horizontal="center"/>
    </xf>
    <xf numFmtId="164" fontId="3" fillId="0" borderId="0" xfId="8" applyNumberFormat="1" applyAlignment="1"/>
    <xf numFmtId="10" fontId="0" fillId="4" borderId="57" xfId="0" applyNumberFormat="1" applyFill="1" applyBorder="1" applyAlignment="1" applyProtection="1">
      <alignment horizontal="center"/>
      <protection locked="0"/>
    </xf>
    <xf numFmtId="10" fontId="0" fillId="4" borderId="62" xfId="0" applyNumberFormat="1" applyFill="1" applyBorder="1" applyAlignment="1" applyProtection="1">
      <alignment horizontal="center"/>
      <protection locked="0"/>
    </xf>
    <xf numFmtId="10" fontId="0" fillId="4" borderId="67" xfId="0" applyNumberFormat="1" applyFill="1" applyBorder="1" applyAlignment="1" applyProtection="1">
      <alignment horizontal="center"/>
      <protection locked="0"/>
    </xf>
    <xf numFmtId="164" fontId="0" fillId="0" borderId="10" xfId="0" applyNumberFormat="1" applyBorder="1" applyAlignment="1"/>
    <xf numFmtId="164" fontId="0" fillId="0" borderId="11" xfId="0" applyNumberFormat="1" applyBorder="1" applyAlignment="1"/>
    <xf numFmtId="164" fontId="0" fillId="0" borderId="12" xfId="0" applyNumberFormat="1" applyBorder="1" applyAlignment="1"/>
    <xf numFmtId="164" fontId="0" fillId="0" borderId="77" xfId="0" applyNumberFormat="1" applyBorder="1" applyAlignment="1"/>
    <xf numFmtId="164" fontId="0" fillId="0" borderId="78" xfId="0" applyNumberFormat="1" applyBorder="1" applyAlignment="1"/>
    <xf numFmtId="164" fontId="0" fillId="0" borderId="83" xfId="0" applyNumberFormat="1" applyBorder="1" applyAlignment="1"/>
    <xf numFmtId="0" fontId="0" fillId="0" borderId="7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83" xfId="0" applyBorder="1" applyAlignment="1">
      <alignment horizontal="center"/>
    </xf>
    <xf numFmtId="167" fontId="0" fillId="0" borderId="0" xfId="0" applyNumberFormat="1" applyAlignment="1"/>
    <xf numFmtId="0" fontId="3" fillId="0" borderId="0" xfId="0" applyFont="1" applyAlignment="1"/>
    <xf numFmtId="0" fontId="0" fillId="0" borderId="3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39" xfId="0" applyFill="1" applyBorder="1" applyAlignment="1">
      <alignment horizontal="center" vertical="center" wrapText="1"/>
    </xf>
    <xf numFmtId="0" fontId="4" fillId="3" borderId="19" xfId="0" applyFont="1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center"/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3" fillId="0" borderId="37" xfId="0" applyFont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4" xfId="0" applyBorder="1" applyAlignment="1">
      <alignment horizontal="center"/>
    </xf>
    <xf numFmtId="0" fontId="3" fillId="0" borderId="50" xfId="0" applyFont="1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3" fillId="0" borderId="72" xfId="0" applyFont="1" applyBorder="1" applyAlignment="1">
      <alignment horizontal="left" vertical="center" wrapText="1"/>
    </xf>
    <xf numFmtId="0" fontId="0" fillId="0" borderId="73" xfId="0" applyBorder="1" applyAlignment="1">
      <alignment horizontal="left" vertical="center" wrapText="1"/>
    </xf>
    <xf numFmtId="0" fontId="3" fillId="0" borderId="74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76" xfId="0" applyFont="1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</cellXfs>
  <cellStyles count="9">
    <cellStyle name="Comma0" xfId="1"/>
    <cellStyle name="Currency0" xfId="2"/>
    <cellStyle name="Date" xfId="3"/>
    <cellStyle name="Fixed" xfId="4"/>
    <cellStyle name="Heading 1" xfId="5" builtinId="16" customBuiltin="1"/>
    <cellStyle name="Heading 2" xfId="6" builtinId="17" customBuiltin="1"/>
    <cellStyle name="Normal" xfId="0" builtinId="0"/>
    <cellStyle name="Normal 2" xfId="8"/>
    <cellStyle name="Total" xfId="7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"/>
  <sheetViews>
    <sheetView tabSelected="1" workbookViewId="0">
      <selection activeCell="A2" sqref="A2"/>
    </sheetView>
  </sheetViews>
  <sheetFormatPr defaultRowHeight="12.5" x14ac:dyDescent="0.25"/>
  <cols>
    <col min="1" max="1" width="9" customWidth="1"/>
    <col min="2" max="2" width="7.7265625" customWidth="1"/>
    <col min="3" max="13" width="8.7265625" customWidth="1"/>
    <col min="14" max="14" width="8.54296875" customWidth="1"/>
    <col min="15" max="20" width="7.7265625" customWidth="1"/>
  </cols>
  <sheetData>
    <row r="1" spans="1:20" ht="13" x14ac:dyDescent="0.3">
      <c r="A1" s="56" t="s">
        <v>62</v>
      </c>
      <c r="E1" s="54" t="s">
        <v>34</v>
      </c>
      <c r="F1" s="131"/>
      <c r="G1" s="132"/>
      <c r="H1" s="133"/>
    </row>
    <row r="2" spans="1:20" ht="13" x14ac:dyDescent="0.3">
      <c r="A2" s="54"/>
      <c r="B2" s="54"/>
      <c r="C2" s="55"/>
      <c r="D2" s="55"/>
      <c r="E2" s="55"/>
    </row>
    <row r="3" spans="1:20" x14ac:dyDescent="0.25">
      <c r="A3" s="57" t="s">
        <v>32</v>
      </c>
      <c r="B3" s="58"/>
      <c r="C3" s="59"/>
      <c r="D3" s="58"/>
      <c r="E3" s="60"/>
    </row>
    <row r="4" spans="1:20" ht="13" thickBot="1" x14ac:dyDescent="0.3">
      <c r="A4" s="48" t="s">
        <v>33</v>
      </c>
      <c r="B4" s="49"/>
      <c r="C4" s="50"/>
      <c r="D4" s="48"/>
      <c r="E4" s="50"/>
    </row>
    <row r="5" spans="1:20" ht="26.25" customHeight="1" x14ac:dyDescent="0.25">
      <c r="A5" s="114" t="s">
        <v>20</v>
      </c>
      <c r="B5" s="125" t="s">
        <v>38</v>
      </c>
      <c r="C5" s="119" t="s">
        <v>52</v>
      </c>
      <c r="D5" s="120"/>
      <c r="E5" s="120"/>
      <c r="F5" s="119" t="s">
        <v>16</v>
      </c>
      <c r="G5" s="120"/>
      <c r="H5" s="120"/>
      <c r="I5" s="121" t="s">
        <v>17</v>
      </c>
      <c r="J5" s="122"/>
      <c r="K5" s="122"/>
      <c r="L5" s="123"/>
      <c r="M5" s="134" t="s">
        <v>60</v>
      </c>
      <c r="N5" s="128" t="s">
        <v>37</v>
      </c>
      <c r="O5" s="121" t="s">
        <v>18</v>
      </c>
      <c r="P5" s="122"/>
      <c r="Q5" s="122"/>
      <c r="R5" s="122"/>
      <c r="S5" s="122"/>
      <c r="T5" s="123"/>
    </row>
    <row r="6" spans="1:20" x14ac:dyDescent="0.25">
      <c r="A6" s="115"/>
      <c r="B6" s="126"/>
      <c r="C6" s="3" t="s">
        <v>14</v>
      </c>
      <c r="D6" s="4" t="s">
        <v>13</v>
      </c>
      <c r="E6" s="52" t="s">
        <v>9</v>
      </c>
      <c r="F6" s="3" t="s">
        <v>7</v>
      </c>
      <c r="G6" s="4" t="s">
        <v>6</v>
      </c>
      <c r="H6" s="52" t="s">
        <v>9</v>
      </c>
      <c r="I6" s="3" t="s">
        <v>7</v>
      </c>
      <c r="J6" s="4" t="s">
        <v>6</v>
      </c>
      <c r="K6" s="52" t="s">
        <v>9</v>
      </c>
      <c r="L6" s="5" t="s">
        <v>36</v>
      </c>
      <c r="M6" s="135"/>
      <c r="N6" s="129"/>
      <c r="O6" s="117" t="s">
        <v>7</v>
      </c>
      <c r="P6" s="118"/>
      <c r="Q6" s="118" t="s">
        <v>6</v>
      </c>
      <c r="R6" s="118"/>
      <c r="S6" s="118" t="s">
        <v>9</v>
      </c>
      <c r="T6" s="124"/>
    </row>
    <row r="7" spans="1:20" ht="13" thickBot="1" x14ac:dyDescent="0.3">
      <c r="A7" s="116"/>
      <c r="B7" s="127"/>
      <c r="C7" s="6" t="s">
        <v>15</v>
      </c>
      <c r="D7" s="7" t="s">
        <v>15</v>
      </c>
      <c r="E7" s="53" t="s">
        <v>15</v>
      </c>
      <c r="F7" s="6" t="s">
        <v>15</v>
      </c>
      <c r="G7" s="7" t="s">
        <v>15</v>
      </c>
      <c r="H7" s="53" t="s">
        <v>15</v>
      </c>
      <c r="I7" s="6" t="s">
        <v>15</v>
      </c>
      <c r="J7" s="7" t="s">
        <v>15</v>
      </c>
      <c r="K7" s="53" t="s">
        <v>15</v>
      </c>
      <c r="L7" s="8" t="s">
        <v>15</v>
      </c>
      <c r="M7" s="136"/>
      <c r="N7" s="130"/>
      <c r="O7" s="14" t="s">
        <v>0</v>
      </c>
      <c r="P7" s="15" t="s">
        <v>1</v>
      </c>
      <c r="Q7" s="15" t="s">
        <v>0</v>
      </c>
      <c r="R7" s="15" t="s">
        <v>1</v>
      </c>
      <c r="S7" s="15" t="s">
        <v>0</v>
      </c>
      <c r="T7" s="16" t="s">
        <v>1</v>
      </c>
    </row>
    <row r="8" spans="1:20" x14ac:dyDescent="0.25">
      <c r="A8" s="1" t="s">
        <v>21</v>
      </c>
      <c r="B8" s="61"/>
      <c r="C8" s="62"/>
      <c r="D8" s="63"/>
      <c r="E8" s="64"/>
      <c r="F8" s="62"/>
      <c r="G8" s="63"/>
      <c r="H8" s="64"/>
      <c r="I8" s="62"/>
      <c r="J8" s="63"/>
      <c r="K8" s="64"/>
      <c r="L8" s="65"/>
      <c r="M8" s="97"/>
      <c r="N8" s="41" t="e">
        <f>IF((ABS(Results!B8-Worksheet!AD4)/Results!B8&lt;0.005),"PASS","FAIL")</f>
        <v>#DIV/0!</v>
      </c>
      <c r="O8" s="9" t="s">
        <v>26</v>
      </c>
      <c r="P8" s="44">
        <v>6.8</v>
      </c>
      <c r="Q8" s="10" t="s">
        <v>26</v>
      </c>
      <c r="R8" s="44">
        <v>10</v>
      </c>
      <c r="S8" s="10" t="s">
        <v>26</v>
      </c>
      <c r="T8" s="11">
        <v>0.88</v>
      </c>
    </row>
    <row r="9" spans="1:20" x14ac:dyDescent="0.25">
      <c r="A9" s="1" t="s">
        <v>22</v>
      </c>
      <c r="B9" s="66"/>
      <c r="C9" s="67"/>
      <c r="D9" s="68"/>
      <c r="E9" s="69"/>
      <c r="F9" s="67"/>
      <c r="G9" s="68"/>
      <c r="H9" s="69"/>
      <c r="I9" s="67"/>
      <c r="J9" s="68"/>
      <c r="K9" s="69"/>
      <c r="L9" s="70"/>
      <c r="M9" s="98"/>
      <c r="N9" s="42" t="e">
        <f>IF((ABS(Results!B9-Worksheet!AD5)/Results!B9&lt;0.005),"PASS","FAIL")</f>
        <v>#DIV/0!</v>
      </c>
      <c r="O9" s="9" t="s">
        <v>26</v>
      </c>
      <c r="P9" s="44">
        <v>6.8</v>
      </c>
      <c r="Q9" s="10" t="s">
        <v>26</v>
      </c>
      <c r="R9" s="44">
        <v>10</v>
      </c>
      <c r="S9" s="10" t="s">
        <v>8</v>
      </c>
      <c r="T9" s="11">
        <v>0.82</v>
      </c>
    </row>
    <row r="10" spans="1:20" x14ac:dyDescent="0.25">
      <c r="A10" s="1" t="s">
        <v>23</v>
      </c>
      <c r="B10" s="66"/>
      <c r="C10" s="67"/>
      <c r="D10" s="68"/>
      <c r="E10" s="69"/>
      <c r="F10" s="67"/>
      <c r="G10" s="68"/>
      <c r="H10" s="69"/>
      <c r="I10" s="67"/>
      <c r="J10" s="68"/>
      <c r="K10" s="69"/>
      <c r="L10" s="70"/>
      <c r="M10" s="98"/>
      <c r="N10" s="42" t="e">
        <f>IF((ABS(Results!B10-Worksheet!AD6)/Results!B10&lt;0.005),"PASS","FAIL")</f>
        <v>#DIV/0!</v>
      </c>
      <c r="O10" s="9" t="s">
        <v>8</v>
      </c>
      <c r="P10" s="12">
        <v>0.78</v>
      </c>
      <c r="Q10" s="10" t="s">
        <v>26</v>
      </c>
      <c r="R10" s="44">
        <v>10</v>
      </c>
      <c r="S10" s="10" t="s">
        <v>26</v>
      </c>
      <c r="T10" s="11">
        <v>0.88</v>
      </c>
    </row>
    <row r="11" spans="1:20" x14ac:dyDescent="0.25">
      <c r="A11" s="1" t="s">
        <v>24</v>
      </c>
      <c r="B11" s="66"/>
      <c r="C11" s="67"/>
      <c r="D11" s="68"/>
      <c r="E11" s="69"/>
      <c r="F11" s="67"/>
      <c r="G11" s="68"/>
      <c r="H11" s="69"/>
      <c r="I11" s="67"/>
      <c r="J11" s="68"/>
      <c r="K11" s="69"/>
      <c r="L11" s="70"/>
      <c r="M11" s="98"/>
      <c r="N11" s="42" t="e">
        <f>IF((ABS(Results!B11-Worksheet!AD7)/Results!B11&lt;0.005),"PASS","FAIL")</f>
        <v>#DIV/0!</v>
      </c>
      <c r="O11" s="9" t="s">
        <v>26</v>
      </c>
      <c r="P11" s="10">
        <v>9.85</v>
      </c>
      <c r="Q11" s="10" t="s">
        <v>26</v>
      </c>
      <c r="R11" s="44">
        <v>10</v>
      </c>
      <c r="S11" s="10" t="s">
        <v>26</v>
      </c>
      <c r="T11" s="11">
        <v>0.88</v>
      </c>
    </row>
    <row r="12" spans="1:20" ht="13" thickBot="1" x14ac:dyDescent="0.3">
      <c r="A12" s="2" t="s">
        <v>25</v>
      </c>
      <c r="B12" s="71"/>
      <c r="C12" s="72"/>
      <c r="D12" s="73"/>
      <c r="E12" s="74"/>
      <c r="F12" s="72"/>
      <c r="G12" s="73"/>
      <c r="H12" s="74"/>
      <c r="I12" s="72"/>
      <c r="J12" s="73"/>
      <c r="K12" s="74"/>
      <c r="L12" s="75"/>
      <c r="M12" s="99"/>
      <c r="N12" s="43" t="e">
        <f>IF((ABS(Results!B12-Worksheet!AD8)/Results!B12&lt;0.005),"PASS","FAIL")</f>
        <v>#DIV/0!</v>
      </c>
      <c r="O12" s="6" t="s">
        <v>8</v>
      </c>
      <c r="P12" s="13">
        <v>0.96</v>
      </c>
      <c r="Q12" s="7" t="s">
        <v>26</v>
      </c>
      <c r="R12" s="45">
        <v>10</v>
      </c>
      <c r="S12" s="7" t="s">
        <v>26</v>
      </c>
      <c r="T12" s="8">
        <v>0.88</v>
      </c>
    </row>
    <row r="13" spans="1:20" x14ac:dyDescent="0.25">
      <c r="A13" s="93"/>
      <c r="B13" s="94"/>
      <c r="C13" s="95"/>
      <c r="D13" s="95"/>
      <c r="E13" s="95"/>
    </row>
    <row r="15" spans="1:20" x14ac:dyDescent="0.25">
      <c r="M15" s="113"/>
    </row>
    <row r="16" spans="1:20" x14ac:dyDescent="0.25">
      <c r="M16" s="113"/>
    </row>
    <row r="17" spans="3:13" x14ac:dyDescent="0.25">
      <c r="C17" s="46"/>
      <c r="M17" s="113"/>
    </row>
    <row r="18" spans="3:13" x14ac:dyDescent="0.25">
      <c r="C18" s="47"/>
      <c r="L18" s="92"/>
      <c r="M18" s="113"/>
    </row>
    <row r="19" spans="3:13" x14ac:dyDescent="0.25">
      <c r="L19" s="92"/>
      <c r="M19" s="113"/>
    </row>
  </sheetData>
  <sheetProtection algorithmName="SHA-512" hashValue="/8igtEQw+q/KyAVefiL4kcy9qBxVodsR1sjwCrB/uoQpMpzueXA+Xefxd8eeM2OH3KSe6HrygTGHXVNEQmBwww==" saltValue="K0z9CNUCCSQTMA8j5pRyLQ==" spinCount="100000" sheet="1" objects="1" scenarios="1"/>
  <mergeCells count="12">
    <mergeCell ref="S6:T6"/>
    <mergeCell ref="B5:B7"/>
    <mergeCell ref="O5:T5"/>
    <mergeCell ref="N5:N7"/>
    <mergeCell ref="F1:H1"/>
    <mergeCell ref="M5:M7"/>
    <mergeCell ref="A5:A7"/>
    <mergeCell ref="O6:P6"/>
    <mergeCell ref="Q6:R6"/>
    <mergeCell ref="C5:E5"/>
    <mergeCell ref="F5:H5"/>
    <mergeCell ref="I5:L5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"/>
  <sheetViews>
    <sheetView zoomScaleNormal="100" workbookViewId="0">
      <selection sqref="A1:A3"/>
    </sheetView>
  </sheetViews>
  <sheetFormatPr defaultRowHeight="12.5" x14ac:dyDescent="0.25"/>
  <cols>
    <col min="1" max="1" width="6.7265625" customWidth="1"/>
    <col min="6" max="6" width="9.26953125" customWidth="1"/>
    <col min="32" max="32" width="8.7265625" customWidth="1"/>
  </cols>
  <sheetData>
    <row r="1" spans="1:32" ht="13" thickTop="1" x14ac:dyDescent="0.25">
      <c r="A1" s="157" t="s">
        <v>20</v>
      </c>
      <c r="B1" s="22" t="s">
        <v>27</v>
      </c>
      <c r="C1" s="23"/>
      <c r="D1" s="23"/>
      <c r="E1" s="23"/>
      <c r="F1" s="23"/>
      <c r="G1" s="23"/>
      <c r="H1" s="22" t="s">
        <v>11</v>
      </c>
      <c r="I1" s="23"/>
      <c r="J1" s="23"/>
      <c r="K1" s="22" t="s">
        <v>2</v>
      </c>
      <c r="L1" s="23"/>
      <c r="M1" s="34"/>
      <c r="N1" s="23" t="s">
        <v>3</v>
      </c>
      <c r="O1" s="23"/>
      <c r="P1" s="23"/>
      <c r="Q1" s="22" t="s">
        <v>12</v>
      </c>
      <c r="R1" s="23"/>
      <c r="S1" s="23"/>
      <c r="T1" s="156" t="s">
        <v>10</v>
      </c>
      <c r="U1" s="146"/>
      <c r="V1" s="146"/>
      <c r="W1" s="150" t="s">
        <v>55</v>
      </c>
      <c r="X1" s="151"/>
      <c r="Y1" s="151"/>
      <c r="Z1" s="152"/>
      <c r="AA1" s="145" t="s">
        <v>35</v>
      </c>
      <c r="AB1" s="146"/>
      <c r="AC1" s="147"/>
      <c r="AD1" s="141" t="s">
        <v>19</v>
      </c>
    </row>
    <row r="2" spans="1:32" x14ac:dyDescent="0.25">
      <c r="A2" s="158"/>
      <c r="B2" s="20" t="s">
        <v>7</v>
      </c>
      <c r="C2" s="21"/>
      <c r="D2" s="20" t="s">
        <v>6</v>
      </c>
      <c r="E2" s="19"/>
      <c r="F2" s="21" t="s">
        <v>9</v>
      </c>
      <c r="G2" s="21"/>
      <c r="H2" s="139" t="s">
        <v>7</v>
      </c>
      <c r="I2" s="137" t="s">
        <v>28</v>
      </c>
      <c r="J2" s="137" t="s">
        <v>9</v>
      </c>
      <c r="K2" s="139" t="s">
        <v>7</v>
      </c>
      <c r="L2" s="137" t="s">
        <v>28</v>
      </c>
      <c r="M2" s="166" t="s">
        <v>9</v>
      </c>
      <c r="N2" s="137" t="s">
        <v>7</v>
      </c>
      <c r="O2" s="137" t="s">
        <v>28</v>
      </c>
      <c r="P2" s="137" t="s">
        <v>9</v>
      </c>
      <c r="Q2" s="139" t="s">
        <v>7</v>
      </c>
      <c r="R2" s="137" t="s">
        <v>28</v>
      </c>
      <c r="S2" s="137" t="s">
        <v>9</v>
      </c>
      <c r="T2" s="139" t="s">
        <v>7</v>
      </c>
      <c r="U2" s="137" t="s">
        <v>28</v>
      </c>
      <c r="V2" s="137" t="s">
        <v>9</v>
      </c>
      <c r="W2" s="153" t="s">
        <v>56</v>
      </c>
      <c r="X2" s="154" t="s">
        <v>57</v>
      </c>
      <c r="Y2" s="154" t="s">
        <v>58</v>
      </c>
      <c r="Z2" s="148" t="s">
        <v>54</v>
      </c>
      <c r="AA2" s="117" t="s">
        <v>29</v>
      </c>
      <c r="AB2" s="154" t="s">
        <v>30</v>
      </c>
      <c r="AC2" s="148" t="s">
        <v>61</v>
      </c>
      <c r="AD2" s="142"/>
    </row>
    <row r="3" spans="1:32" ht="13" thickBot="1" x14ac:dyDescent="0.3">
      <c r="A3" s="159"/>
      <c r="B3" s="17" t="s">
        <v>4</v>
      </c>
      <c r="C3" s="18" t="s">
        <v>5</v>
      </c>
      <c r="D3" s="17" t="s">
        <v>4</v>
      </c>
      <c r="E3" s="40" t="s">
        <v>5</v>
      </c>
      <c r="F3" s="18" t="s">
        <v>4</v>
      </c>
      <c r="G3" s="18" t="s">
        <v>5</v>
      </c>
      <c r="H3" s="140"/>
      <c r="I3" s="138"/>
      <c r="J3" s="138"/>
      <c r="K3" s="140"/>
      <c r="L3" s="138"/>
      <c r="M3" s="167"/>
      <c r="N3" s="138"/>
      <c r="O3" s="138"/>
      <c r="P3" s="138"/>
      <c r="Q3" s="140"/>
      <c r="R3" s="138"/>
      <c r="S3" s="138"/>
      <c r="T3" s="140"/>
      <c r="U3" s="138"/>
      <c r="V3" s="138"/>
      <c r="W3" s="144"/>
      <c r="X3" s="155"/>
      <c r="Y3" s="155"/>
      <c r="Z3" s="149"/>
      <c r="AA3" s="144"/>
      <c r="AB3" s="155"/>
      <c r="AC3" s="149"/>
      <c r="AD3" s="143"/>
    </row>
    <row r="4" spans="1:32" x14ac:dyDescent="0.25">
      <c r="A4" s="24">
        <v>1</v>
      </c>
      <c r="B4" s="38">
        <f>IF(Results!O8="gas",1.0943,2.2561)</f>
        <v>2.2561</v>
      </c>
      <c r="C4" s="31">
        <f>IF(Results!O8="gas",0.403,0)</f>
        <v>0</v>
      </c>
      <c r="D4" s="30">
        <v>3.8090000000000002</v>
      </c>
      <c r="E4" s="27">
        <v>0</v>
      </c>
      <c r="F4" s="31">
        <f>IF(Results!S8="gas",1.1877,0.92)</f>
        <v>0.92</v>
      </c>
      <c r="G4" s="31">
        <f>IF(Results!S8="gas",1.013,0)</f>
        <v>0</v>
      </c>
      <c r="H4" s="26" t="e">
        <f>Results!C8/Results!F8*Worksheet!N4</f>
        <v>#DIV/0!</v>
      </c>
      <c r="I4" s="31" t="e">
        <f>Results!D8/Results!G8*Worksheet!O4</f>
        <v>#DIV/0!</v>
      </c>
      <c r="J4" s="31" t="e">
        <f>Results!E8/Results!H8*Worksheet!P4</f>
        <v>#DIV/0!</v>
      </c>
      <c r="K4" s="26">
        <f>IF(Results!O8="gas",1/Results!P8,3.413/Results!P8)</f>
        <v>0.50191176470588239</v>
      </c>
      <c r="L4" s="31">
        <f>3.413/Results!R8</f>
        <v>0.34129999999999999</v>
      </c>
      <c r="M4" s="35">
        <f>1/Results!T8</f>
        <v>1.1363636363636365</v>
      </c>
      <c r="N4" s="31">
        <f>IF(+Results!O8="gas",1/0.78,3.413/7.7)</f>
        <v>0.44324675324675322</v>
      </c>
      <c r="O4" s="31">
        <f>3.413/13</f>
        <v>0.2625384615384615</v>
      </c>
      <c r="P4" s="31">
        <f>IF(+Results!S8="gas",1/0.59,1/0.92)</f>
        <v>1.0869565217391304</v>
      </c>
      <c r="Q4" s="26" t="e">
        <f>(B4*K4-C4)*(Results!I8*Results!F8*Worksheet!H4)/(Worksheet!K4*Results!C8)</f>
        <v>#DIV/0!</v>
      </c>
      <c r="R4" s="31" t="e">
        <f>(D4*L4-E4)*(Results!J8*Results!G8*Worksheet!I4)/(Worksheet!L4*Results!D8)</f>
        <v>#DIV/0!</v>
      </c>
      <c r="S4" s="31" t="e">
        <f>(F4*M4-G4)*(Results!K8*Results!H8*Worksheet!J4)/(Worksheet!M4*Results!E8)</f>
        <v>#DIV/0!</v>
      </c>
      <c r="T4" s="26" t="e">
        <f>Results!C8*(Worksheet!Q4/Results!F8)</f>
        <v>#DIV/0!</v>
      </c>
      <c r="U4" s="31" t="e">
        <f>Results!D8*(Worksheet!R4/Results!G8)</f>
        <v>#DIV/0!</v>
      </c>
      <c r="V4" s="31" t="e">
        <f>Results!E8*(Worksheet!S4/Results!H8)</f>
        <v>#DIV/0!</v>
      </c>
      <c r="W4" s="100">
        <f>((2400/B13)^(0.304*Results!M8))</f>
        <v>1</v>
      </c>
      <c r="X4" s="101">
        <f>(1+(0.069*Results!M8*(C13-3)))</f>
        <v>1</v>
      </c>
      <c r="Y4" s="101">
        <f>((2/D13)^(0.12*Results!M8))</f>
        <v>1</v>
      </c>
      <c r="Z4" s="102">
        <f>W4*X4*Y4</f>
        <v>1</v>
      </c>
      <c r="AA4" s="100" t="e">
        <f>SUM(T4:V4)+Results!L8</f>
        <v>#DIV/0!</v>
      </c>
      <c r="AB4" s="101">
        <f>(SUM(Results!C8:E8)+N13)</f>
        <v>21.271808873720136</v>
      </c>
      <c r="AC4" s="102">
        <f>(SUM(Results!C8:E8)+N13)*Z4</f>
        <v>21.271808873720136</v>
      </c>
      <c r="AD4" s="37" t="e">
        <f>100*AA4/AC4</f>
        <v>#DIV/0!</v>
      </c>
      <c r="AE4" s="39"/>
      <c r="AF4" s="112"/>
    </row>
    <row r="5" spans="1:32" x14ac:dyDescent="0.25">
      <c r="A5" s="24">
        <v>2</v>
      </c>
      <c r="B5" s="26">
        <f>IF(Results!O9="gas",1.0943,2.2561)</f>
        <v>2.2561</v>
      </c>
      <c r="C5" s="31">
        <f>IF(Results!O9="gas",0.403,0)</f>
        <v>0</v>
      </c>
      <c r="D5" s="30">
        <v>3.8090000000000002</v>
      </c>
      <c r="E5" s="27">
        <v>0</v>
      </c>
      <c r="F5" s="31">
        <f>IF(Results!S9="gas",1.1877,0.92)</f>
        <v>1.1877</v>
      </c>
      <c r="G5" s="31">
        <f>IF(Results!S9="gas",1.013,0)</f>
        <v>1.0129999999999999</v>
      </c>
      <c r="H5" s="26" t="e">
        <f>Results!C9/Results!F9*Worksheet!N5</f>
        <v>#DIV/0!</v>
      </c>
      <c r="I5" s="31" t="e">
        <f>Results!D9/Results!G9*Worksheet!O5</f>
        <v>#DIV/0!</v>
      </c>
      <c r="J5" s="31" t="e">
        <f>Results!E9/Results!H9*Worksheet!P5</f>
        <v>#DIV/0!</v>
      </c>
      <c r="K5" s="26">
        <f>IF(Results!O9="gas",1/Results!P9,3.413/Results!P9)</f>
        <v>0.50191176470588239</v>
      </c>
      <c r="L5" s="31">
        <f>3.413/Results!R9</f>
        <v>0.34129999999999999</v>
      </c>
      <c r="M5" s="35">
        <f>1/(Results!T9*0.92)</f>
        <v>1.3255567338282079</v>
      </c>
      <c r="N5" s="31">
        <f>IF(+Results!O9="gas",1/0.78,3.413/7.7)</f>
        <v>0.44324675324675322</v>
      </c>
      <c r="O5" s="31">
        <f>3.413/13</f>
        <v>0.2625384615384615</v>
      </c>
      <c r="P5" s="31">
        <f>IF(+Results!S9="gas",1/0.59,1/0.92)</f>
        <v>1.6949152542372883</v>
      </c>
      <c r="Q5" s="26" t="e">
        <f>(B5*K5-C5)*(Results!I9*Results!F9*Worksheet!H5)/(Worksheet!K5*Results!C9)</f>
        <v>#DIV/0!</v>
      </c>
      <c r="R5" s="31" t="e">
        <f>(D5*L5-E5)*(Results!J9*Results!G9*Worksheet!I5)/(Worksheet!L5*Results!D9)</f>
        <v>#DIV/0!</v>
      </c>
      <c r="S5" s="31" t="e">
        <f>(F5*M5-G5)*(Results!K9*Results!H9*Worksheet!J5)/(Worksheet!M5*Results!E9)</f>
        <v>#DIV/0!</v>
      </c>
      <c r="T5" s="26" t="e">
        <f>Results!C9*(Worksheet!Q5/Results!F9)</f>
        <v>#DIV/0!</v>
      </c>
      <c r="U5" s="31" t="e">
        <f>Results!D9*(Worksheet!R5/Results!G9)</f>
        <v>#DIV/0!</v>
      </c>
      <c r="V5" s="31" t="e">
        <f>Results!E9*(Worksheet!S5/Results!H9)</f>
        <v>#DIV/0!</v>
      </c>
      <c r="W5" s="100">
        <f>((2400/B14)^(0.304*Results!M9))</f>
        <v>1</v>
      </c>
      <c r="X5" s="101">
        <f>(1+(0.069*Results!M9*(C14-3)))</f>
        <v>1</v>
      </c>
      <c r="Y5" s="101">
        <f>((2/D14)^(0.12*Results!M9))</f>
        <v>1</v>
      </c>
      <c r="Z5" s="102">
        <f t="shared" ref="Z5:Z8" si="0">W5*X5*Y5</f>
        <v>1</v>
      </c>
      <c r="AA5" s="100" t="e">
        <f>SUM(T5:V5)+Results!L9</f>
        <v>#DIV/0!</v>
      </c>
      <c r="AB5" s="101">
        <f>(SUM(Results!C9:E9)+N14)</f>
        <v>23.333310580204778</v>
      </c>
      <c r="AC5" s="102">
        <f>(SUM(Results!C9:E9)+N14)*Z5</f>
        <v>23.333310580204778</v>
      </c>
      <c r="AD5" s="37" t="e">
        <f>100*AA5/AC5</f>
        <v>#DIV/0!</v>
      </c>
      <c r="AE5" s="39"/>
      <c r="AF5" s="112"/>
    </row>
    <row r="6" spans="1:32" x14ac:dyDescent="0.25">
      <c r="A6" s="24">
        <v>3</v>
      </c>
      <c r="B6" s="26">
        <f>IF(Results!O10="gas",1.0943,2.2561)</f>
        <v>1.0943000000000001</v>
      </c>
      <c r="C6" s="31">
        <f>IF(Results!O10="gas",0.403,0)</f>
        <v>0.40300000000000002</v>
      </c>
      <c r="D6" s="30">
        <v>3.8090000000000002</v>
      </c>
      <c r="E6" s="27">
        <v>0</v>
      </c>
      <c r="F6" s="31">
        <f>IF(Results!S10="gas",1.1877,0.92)</f>
        <v>0.92</v>
      </c>
      <c r="G6" s="31">
        <f>IF(Results!S10="gas",1.013,0)</f>
        <v>0</v>
      </c>
      <c r="H6" s="26" t="e">
        <f>Results!C10/Results!F10*Worksheet!N6</f>
        <v>#DIV/0!</v>
      </c>
      <c r="I6" s="31" t="e">
        <f>Results!D10/Results!G10*Worksheet!O6</f>
        <v>#DIV/0!</v>
      </c>
      <c r="J6" s="31" t="e">
        <f>Results!E10/Results!H10*Worksheet!P6</f>
        <v>#DIV/0!</v>
      </c>
      <c r="K6" s="26">
        <f>IF(Results!O10="gas",1/Results!P10,3.413/Results!P10)</f>
        <v>1.2820512820512819</v>
      </c>
      <c r="L6" s="31">
        <f>3.413/Results!R10</f>
        <v>0.34129999999999999</v>
      </c>
      <c r="M6" s="35">
        <f>1/Results!T10</f>
        <v>1.1363636363636365</v>
      </c>
      <c r="N6" s="31">
        <f>IF(+Results!O10="gas",1/0.78,3.413/7.7)</f>
        <v>1.2820512820512819</v>
      </c>
      <c r="O6" s="31">
        <f>3.413/13</f>
        <v>0.2625384615384615</v>
      </c>
      <c r="P6" s="31">
        <f>IF(+Results!S10="gas",1/0.59,1/0.92)</f>
        <v>1.0869565217391304</v>
      </c>
      <c r="Q6" s="26" t="e">
        <f>(B6*K6-C6)*(Results!I10*Results!F10*Worksheet!H6)/(Worksheet!K6*Results!C10)</f>
        <v>#DIV/0!</v>
      </c>
      <c r="R6" s="31" t="e">
        <f>(D6*L6-E6)*(Results!J10*Results!G10*Worksheet!I6)/(Worksheet!L6*Results!D10)</f>
        <v>#DIV/0!</v>
      </c>
      <c r="S6" s="31" t="e">
        <f>(F6*M6-G6)*(Results!K10*Results!H10*Worksheet!J6)/(Worksheet!M6*Results!E10)</f>
        <v>#DIV/0!</v>
      </c>
      <c r="T6" s="26" t="e">
        <f>Results!C10*(Worksheet!Q6/Results!F10)</f>
        <v>#DIV/0!</v>
      </c>
      <c r="U6" s="31" t="e">
        <f>Results!D10*(Worksheet!R6/Results!G10)</f>
        <v>#DIV/0!</v>
      </c>
      <c r="V6" s="31" t="e">
        <f>Results!E10*(Worksheet!S6/Results!H10)</f>
        <v>#DIV/0!</v>
      </c>
      <c r="W6" s="100">
        <f>((2400/B15)^(0.304*Results!M10))</f>
        <v>1</v>
      </c>
      <c r="X6" s="101">
        <f>(1+(0.069*Results!M10*(C15-3)))</f>
        <v>1</v>
      </c>
      <c r="Y6" s="101">
        <f>((2/D15)^(0.12*Results!M10))</f>
        <v>1</v>
      </c>
      <c r="Z6" s="102">
        <f t="shared" si="0"/>
        <v>1</v>
      </c>
      <c r="AA6" s="100" t="e">
        <f>SUM(T6:V6)+Results!L10</f>
        <v>#DIV/0!</v>
      </c>
      <c r="AB6" s="101">
        <f>(SUM(Results!C10:E10)+N15)</f>
        <v>22.04730375426621</v>
      </c>
      <c r="AC6" s="102">
        <f>(SUM(Results!C10:E10)+N15)*Z6</f>
        <v>22.04730375426621</v>
      </c>
      <c r="AD6" s="37" t="e">
        <f>100*AA6/AC6</f>
        <v>#DIV/0!</v>
      </c>
      <c r="AE6" s="39"/>
      <c r="AF6" s="112"/>
    </row>
    <row r="7" spans="1:32" x14ac:dyDescent="0.25">
      <c r="A7" s="24">
        <v>4</v>
      </c>
      <c r="B7" s="26">
        <f>IF(Results!O11="gas",1.0943,2.2561)</f>
        <v>2.2561</v>
      </c>
      <c r="C7" s="31">
        <f>IF(Results!O11="gas",0.403,0)</f>
        <v>0</v>
      </c>
      <c r="D7" s="30">
        <v>3.8090000000000002</v>
      </c>
      <c r="E7" s="27">
        <v>0</v>
      </c>
      <c r="F7" s="39">
        <f>IF(Results!S11="gas",1.1877,0.92)</f>
        <v>0.92</v>
      </c>
      <c r="G7" s="31">
        <f>IF(Results!S11="gas",1.013,0)</f>
        <v>0</v>
      </c>
      <c r="H7" s="26" t="e">
        <f>Results!C11/Results!F11*Worksheet!N7</f>
        <v>#DIV/0!</v>
      </c>
      <c r="I7" s="31" t="e">
        <f>Results!D11/Results!G11*Worksheet!O7</f>
        <v>#DIV/0!</v>
      </c>
      <c r="J7" s="31" t="e">
        <f>Results!E11/Results!H11*Worksheet!P7</f>
        <v>#DIV/0!</v>
      </c>
      <c r="K7" s="26">
        <f>IF(Results!O11="gas",1/Results!P11,3.413/Results!P11)</f>
        <v>0.34649746192893399</v>
      </c>
      <c r="L7" s="31">
        <f>3.413/Results!R11</f>
        <v>0.34129999999999999</v>
      </c>
      <c r="M7" s="35">
        <f>1/Results!T11</f>
        <v>1.1363636363636365</v>
      </c>
      <c r="N7" s="31">
        <f>IF(+Results!O11="gas",1/0.78,3.413/7.7)</f>
        <v>0.44324675324675322</v>
      </c>
      <c r="O7" s="31">
        <f>3.413/13</f>
        <v>0.2625384615384615</v>
      </c>
      <c r="P7" s="31">
        <f>IF(+Results!S11="gas",1/0.59,1/0.92)</f>
        <v>1.0869565217391304</v>
      </c>
      <c r="Q7" s="26" t="e">
        <f>(B7*K7-C7)*(Results!I11*Results!F11*Worksheet!H7)/(Worksheet!K7*Results!C11)</f>
        <v>#DIV/0!</v>
      </c>
      <c r="R7" s="31" t="e">
        <f>(D7*L7-E7)*(Results!J11*Results!G11*Worksheet!I7)/(Worksheet!L7*Results!D11)</f>
        <v>#DIV/0!</v>
      </c>
      <c r="S7" s="31" t="e">
        <f>(F7*M7-G7)*(Results!K11*Results!H11*Worksheet!J7)/(Worksheet!M7*Results!E11)</f>
        <v>#DIV/0!</v>
      </c>
      <c r="T7" s="26" t="e">
        <f>Results!C11*(Worksheet!Q7/Results!F11)</f>
        <v>#DIV/0!</v>
      </c>
      <c r="U7" s="31" t="e">
        <f>Results!D11*(Worksheet!R7/Results!G11)</f>
        <v>#DIV/0!</v>
      </c>
      <c r="V7" s="31" t="e">
        <f>Results!E11*(Worksheet!S7/Results!H11)</f>
        <v>#DIV/0!</v>
      </c>
      <c r="W7" s="100">
        <f>((2400/B16)^(0.304*Results!M11))</f>
        <v>1</v>
      </c>
      <c r="X7" s="101">
        <f>(1+(0.069*Results!M11*(C16-3)))</f>
        <v>1</v>
      </c>
      <c r="Y7" s="101">
        <f>((2/D16)^(0.12*Results!M11))</f>
        <v>1</v>
      </c>
      <c r="Z7" s="102">
        <f t="shared" si="0"/>
        <v>1</v>
      </c>
      <c r="AA7" s="100" t="e">
        <f>SUM(T7:V7)+Results!L11</f>
        <v>#DIV/0!</v>
      </c>
      <c r="AB7" s="101">
        <f>(SUM(Results!C11:E11)+N16)</f>
        <v>22.350307167235496</v>
      </c>
      <c r="AC7" s="102">
        <f>(SUM(Results!C11:E11)+N16)*Z7</f>
        <v>22.350307167235496</v>
      </c>
      <c r="AD7" s="37" t="e">
        <f>100*AA7/AC7</f>
        <v>#DIV/0!</v>
      </c>
      <c r="AE7" s="39"/>
      <c r="AF7" s="112"/>
    </row>
    <row r="8" spans="1:32" ht="13" thickBot="1" x14ac:dyDescent="0.3">
      <c r="A8" s="25">
        <v>5</v>
      </c>
      <c r="B8" s="28">
        <f>IF(Results!O12="gas",1.0943,2.2561)</f>
        <v>1.0943000000000001</v>
      </c>
      <c r="C8" s="33">
        <f>IF(Results!O12="gas",0.403,0)</f>
        <v>0.40300000000000002</v>
      </c>
      <c r="D8" s="32">
        <v>3.8090000000000002</v>
      </c>
      <c r="E8" s="29">
        <v>0</v>
      </c>
      <c r="F8" s="33">
        <f>IF(Results!S12="gas",1.1877,0.92)</f>
        <v>0.92</v>
      </c>
      <c r="G8" s="33">
        <f>IF(Results!S12="gas",1.013,0)</f>
        <v>0</v>
      </c>
      <c r="H8" s="28" t="e">
        <f>Results!C12/Results!F12*Worksheet!N8</f>
        <v>#DIV/0!</v>
      </c>
      <c r="I8" s="33" t="e">
        <f>Results!D12/Results!G12*Worksheet!O8</f>
        <v>#DIV/0!</v>
      </c>
      <c r="J8" s="33" t="e">
        <f>Results!E12/Results!H12*Worksheet!P8</f>
        <v>#DIV/0!</v>
      </c>
      <c r="K8" s="28">
        <f>IF(Results!O12="gas",1/Results!P12,3.413/Results!P12)</f>
        <v>1.0416666666666667</v>
      </c>
      <c r="L8" s="33">
        <f>3.413/Results!R12</f>
        <v>0.34129999999999999</v>
      </c>
      <c r="M8" s="36">
        <f>1/Results!T12</f>
        <v>1.1363636363636365</v>
      </c>
      <c r="N8" s="33">
        <f>IF(+Results!O12="gas",1/0.78,3.413/7.7)</f>
        <v>1.2820512820512819</v>
      </c>
      <c r="O8" s="33">
        <f>3.413/13</f>
        <v>0.2625384615384615</v>
      </c>
      <c r="P8" s="33">
        <f>IF(+Results!S12="gas",1/0.59,1/0.92)</f>
        <v>1.0869565217391304</v>
      </c>
      <c r="Q8" s="28" t="e">
        <f>(B8*K8-C8)*(Results!I12*Results!F12*Worksheet!H8)/(Worksheet!K8*Results!C12)</f>
        <v>#DIV/0!</v>
      </c>
      <c r="R8" s="33" t="e">
        <f>(D8*L8-E8)*(Results!J12*Results!G12*Worksheet!I8)/(Worksheet!L8*Results!D12)</f>
        <v>#DIV/0!</v>
      </c>
      <c r="S8" s="33" t="e">
        <f>(F8*M8-G8)*(Results!K12*Results!H12*Worksheet!J8)/(Worksheet!M8*Results!E12)</f>
        <v>#DIV/0!</v>
      </c>
      <c r="T8" s="28" t="e">
        <f>Results!C12*(Worksheet!Q8/Results!F12)</f>
        <v>#DIV/0!</v>
      </c>
      <c r="U8" s="33" t="e">
        <f>Results!D12*(Worksheet!R8/Results!G12)</f>
        <v>#DIV/0!</v>
      </c>
      <c r="V8" s="33" t="e">
        <f>Results!E12*(Worksheet!S8/Results!H12)</f>
        <v>#DIV/0!</v>
      </c>
      <c r="W8" s="103">
        <f>((2400/B17)^(0.304*Results!M12))</f>
        <v>1</v>
      </c>
      <c r="X8" s="104">
        <f>(1+(0.069*Results!M12*(C17-3)))</f>
        <v>1</v>
      </c>
      <c r="Y8" s="104">
        <f>((2/D17)^(0.12*Results!M12))</f>
        <v>1</v>
      </c>
      <c r="Z8" s="105">
        <f t="shared" si="0"/>
        <v>1</v>
      </c>
      <c r="AA8" s="103" t="e">
        <f>SUM(T8:V8)+Results!L12</f>
        <v>#DIV/0!</v>
      </c>
      <c r="AB8" s="104">
        <f>(SUM(Results!C12:E12)+N17)</f>
        <v>23.333310580204778</v>
      </c>
      <c r="AC8" s="105">
        <f>(SUM(Results!C12:E12)+N17)*Z8</f>
        <v>23.333310580204778</v>
      </c>
      <c r="AD8" s="51" t="e">
        <f>100*AA8/AC8</f>
        <v>#DIV/0!</v>
      </c>
      <c r="AE8" s="39"/>
      <c r="AF8" s="112"/>
    </row>
    <row r="9" spans="1:32" ht="13" thickTop="1" x14ac:dyDescent="0.25"/>
    <row r="10" spans="1:32" ht="13" thickBot="1" x14ac:dyDescent="0.3">
      <c r="C10" t="s">
        <v>31</v>
      </c>
      <c r="U10" s="39"/>
      <c r="V10" s="96"/>
      <c r="W10" s="96"/>
      <c r="X10" s="96"/>
      <c r="Y10" s="96"/>
      <c r="Z10" s="39"/>
    </row>
    <row r="11" spans="1:32" ht="13" customHeight="1" thickTop="1" x14ac:dyDescent="0.25">
      <c r="A11" s="160" t="s">
        <v>20</v>
      </c>
      <c r="B11" s="162" t="s">
        <v>50</v>
      </c>
      <c r="C11" s="163"/>
      <c r="D11" s="164"/>
      <c r="E11" s="162" t="s">
        <v>51</v>
      </c>
      <c r="F11" s="163"/>
      <c r="G11" s="163"/>
      <c r="H11" s="163"/>
      <c r="I11" s="163"/>
      <c r="J11" s="163"/>
      <c r="K11" s="163"/>
      <c r="L11" s="163"/>
      <c r="M11" s="163"/>
      <c r="N11" s="165"/>
      <c r="V11" s="76"/>
      <c r="W11" s="76"/>
      <c r="X11" s="76"/>
      <c r="Y11" s="76"/>
      <c r="AA11" s="76"/>
      <c r="AB11" s="76"/>
      <c r="AC11" s="76"/>
    </row>
    <row r="12" spans="1:32" ht="13" thickBot="1" x14ac:dyDescent="0.3">
      <c r="A12" s="161"/>
      <c r="B12" s="77" t="s">
        <v>39</v>
      </c>
      <c r="C12" s="106" t="s">
        <v>40</v>
      </c>
      <c r="D12" s="110" t="s">
        <v>59</v>
      </c>
      <c r="E12" s="77" t="s">
        <v>53</v>
      </c>
      <c r="F12" s="79" t="s">
        <v>41</v>
      </c>
      <c r="G12" s="80" t="s">
        <v>42</v>
      </c>
      <c r="H12" s="80" t="s">
        <v>43</v>
      </c>
      <c r="I12" s="80" t="s">
        <v>44</v>
      </c>
      <c r="J12" s="80" t="s">
        <v>45</v>
      </c>
      <c r="K12" s="80" t="s">
        <v>46</v>
      </c>
      <c r="L12" s="80" t="s">
        <v>47</v>
      </c>
      <c r="M12" s="81" t="s">
        <v>48</v>
      </c>
      <c r="N12" s="82" t="s">
        <v>49</v>
      </c>
    </row>
    <row r="13" spans="1:32" x14ac:dyDescent="0.25">
      <c r="A13" s="24">
        <v>1</v>
      </c>
      <c r="B13" s="9">
        <v>1539</v>
      </c>
      <c r="C13" s="107">
        <v>3</v>
      </c>
      <c r="D13" s="11">
        <v>1</v>
      </c>
      <c r="E13" s="83">
        <f>0.91*B13/293</f>
        <v>4.7798293515358363</v>
      </c>
      <c r="F13" s="44">
        <f>(455+0.8*B13)/293</f>
        <v>5.7549488054607512</v>
      </c>
      <c r="G13" s="44">
        <f>(100+0.05*B13)/293</f>
        <v>0.60392491467576792</v>
      </c>
      <c r="H13" s="44">
        <f>(637+18*C13)/293</f>
        <v>2.3583617747440271</v>
      </c>
      <c r="I13" s="44">
        <f>(413+69*C13)/293</f>
        <v>2.1160409556313993</v>
      </c>
      <c r="J13" s="90">
        <f>(331+39*C13)/293</f>
        <v>1.5290102389078499</v>
      </c>
      <c r="K13" s="90">
        <f>(524+149*C13)/293</f>
        <v>3.3139931740614332</v>
      </c>
      <c r="L13" s="44">
        <f>(78+31*C13)/293</f>
        <v>0.58361774744027306</v>
      </c>
      <c r="M13" s="84">
        <f>(38+10*C13)/293</f>
        <v>0.23208191126279865</v>
      </c>
      <c r="N13" s="85">
        <f>SUM(E13:M13)</f>
        <v>21.271808873720136</v>
      </c>
    </row>
    <row r="14" spans="1:32" x14ac:dyDescent="0.25">
      <c r="A14" s="24">
        <v>2</v>
      </c>
      <c r="B14" s="9">
        <v>1539</v>
      </c>
      <c r="C14" s="107">
        <v>3</v>
      </c>
      <c r="D14" s="11">
        <v>1</v>
      </c>
      <c r="E14" s="83">
        <f>0.91*B14/293</f>
        <v>4.7798293515358363</v>
      </c>
      <c r="F14" s="44">
        <f>(455+0.8*B14)/293</f>
        <v>5.7549488054607512</v>
      </c>
      <c r="G14" s="44">
        <f>(100+0.05*B14)/293</f>
        <v>0.60392491467576792</v>
      </c>
      <c r="H14" s="44">
        <f>(637+18*C14)/293</f>
        <v>2.3583617747440271</v>
      </c>
      <c r="I14" s="44">
        <f>(413+69*C14)/293</f>
        <v>2.1160409556313993</v>
      </c>
      <c r="J14" s="90">
        <f>(22.6+2.7*C14)/10+(22.6+2.7*C14)/293</f>
        <v>3.1747781569965872</v>
      </c>
      <c r="K14" s="90">
        <f>(18.8+5.3*C14)/10+(41+11.7*C14)/293</f>
        <v>3.7297269624573381</v>
      </c>
      <c r="L14" s="44">
        <f>(78+31*C14)/293</f>
        <v>0.58361774744027306</v>
      </c>
      <c r="M14" s="84">
        <f>(38+10*C14)/293</f>
        <v>0.23208191126279865</v>
      </c>
      <c r="N14" s="85">
        <f>SUM(E14:M14)</f>
        <v>23.333310580204778</v>
      </c>
    </row>
    <row r="15" spans="1:32" x14ac:dyDescent="0.25">
      <c r="A15" s="24">
        <v>3</v>
      </c>
      <c r="B15" s="9">
        <v>1539</v>
      </c>
      <c r="C15" s="107">
        <v>2</v>
      </c>
      <c r="D15" s="11">
        <v>1</v>
      </c>
      <c r="E15" s="83">
        <f>0.91*B15/293</f>
        <v>4.7798293515358363</v>
      </c>
      <c r="F15" s="44">
        <f>(455+0.8*B15)/293</f>
        <v>5.7549488054607512</v>
      </c>
      <c r="G15" s="44">
        <f>(100+0.05*B15)/293</f>
        <v>0.60392491467576792</v>
      </c>
      <c r="H15" s="44">
        <f>(637+18*C15)/293</f>
        <v>2.2969283276450514</v>
      </c>
      <c r="I15" s="44">
        <f>(413+69*C15)/293</f>
        <v>1.8805460750853242</v>
      </c>
      <c r="J15" s="90">
        <f>(22.6+2.7*C15)/10+(22.6+2.7*C15)/293</f>
        <v>2.8955631399317405</v>
      </c>
      <c r="K15" s="90">
        <f>(18.8+5.3*C15)/10+(41+11.7*C15)/293</f>
        <v>3.1597952218430034</v>
      </c>
      <c r="L15" s="44">
        <f>(78+31*C15)/293</f>
        <v>0.47781569965870307</v>
      </c>
      <c r="M15" s="84">
        <f>(38+10*C15)/293</f>
        <v>0.19795221843003413</v>
      </c>
      <c r="N15" s="85">
        <f>SUM(E15:M15)</f>
        <v>22.04730375426621</v>
      </c>
    </row>
    <row r="16" spans="1:32" x14ac:dyDescent="0.25">
      <c r="A16" s="24">
        <v>4</v>
      </c>
      <c r="B16" s="9">
        <v>1539</v>
      </c>
      <c r="C16" s="108">
        <v>4</v>
      </c>
      <c r="D16" s="11">
        <v>1</v>
      </c>
      <c r="E16" s="83">
        <f>0.91*B16/293</f>
        <v>4.7798293515358363</v>
      </c>
      <c r="F16" s="44">
        <f>(455+0.8*B16)/293</f>
        <v>5.7549488054607512</v>
      </c>
      <c r="G16" s="44">
        <f>(100+0.05*B16)/293</f>
        <v>0.60392491467576792</v>
      </c>
      <c r="H16" s="44">
        <f>(637+18*C16)/293</f>
        <v>2.4197952218430032</v>
      </c>
      <c r="I16" s="44">
        <f>(413+69*C16)/293</f>
        <v>2.3515358361774745</v>
      </c>
      <c r="J16" s="90">
        <f>(331+39*C16)/293</f>
        <v>1.6621160409556315</v>
      </c>
      <c r="K16" s="90">
        <f>(524+149*C16)/293</f>
        <v>3.8225255972696246</v>
      </c>
      <c r="L16" s="44">
        <f>(78+31*C16)/293</f>
        <v>0.68941979522184305</v>
      </c>
      <c r="M16" s="84">
        <f>(38+10*C16)/293</f>
        <v>0.26621160409556316</v>
      </c>
      <c r="N16" s="85">
        <f>SUM(E16:M16)</f>
        <v>22.350307167235496</v>
      </c>
    </row>
    <row r="17" spans="1:14" ht="13" thickBot="1" x14ac:dyDescent="0.3">
      <c r="A17" s="25">
        <v>5</v>
      </c>
      <c r="B17" s="78">
        <v>1539</v>
      </c>
      <c r="C17" s="109">
        <v>3</v>
      </c>
      <c r="D17" s="111">
        <v>1</v>
      </c>
      <c r="E17" s="86">
        <f>0.91*B17/293</f>
        <v>4.7798293515358363</v>
      </c>
      <c r="F17" s="87">
        <f>(455+0.8*B17)/293</f>
        <v>5.7549488054607512</v>
      </c>
      <c r="G17" s="87">
        <f>(100+0.05*B17)/293</f>
        <v>0.60392491467576792</v>
      </c>
      <c r="H17" s="87">
        <f>(637+18*C17)/293</f>
        <v>2.3583617747440271</v>
      </c>
      <c r="I17" s="87">
        <f>(413+69*C17)/293</f>
        <v>2.1160409556313993</v>
      </c>
      <c r="J17" s="91">
        <f>(22.6+2.7*C17)/10+(22.6+2.7*C17)/293</f>
        <v>3.1747781569965872</v>
      </c>
      <c r="K17" s="91">
        <f>(18.8+5.3*C17)/10+(41+11.7*C17)/293</f>
        <v>3.7297269624573381</v>
      </c>
      <c r="L17" s="87">
        <f>(78+31*C17)/293</f>
        <v>0.58361774744027306</v>
      </c>
      <c r="M17" s="88">
        <f>(38+10*C17)/293</f>
        <v>0.23208191126279865</v>
      </c>
      <c r="N17" s="89">
        <f>SUM(E17:M17)</f>
        <v>23.333310580204778</v>
      </c>
    </row>
    <row r="18" spans="1:14" ht="13" thickTop="1" x14ac:dyDescent="0.25"/>
    <row r="19" spans="1:14" x14ac:dyDescent="0.25">
      <c r="E19" s="92"/>
    </row>
  </sheetData>
  <sheetProtection algorithmName="SHA-512" hashValue="0ErAo4liuMR0HG29Lyu7r5ukhnCLfQG5+aUfj0MAGAiz5Odd/AN+1kkFelAbskHQjjXvm92urrljd06z8EbK8Q==" saltValue="/YT6ntxCNG4nV7nYYk3Eyg==" spinCount="100000" sheet="1" objects="1" scenarios="1"/>
  <mergeCells count="30">
    <mergeCell ref="A1:A3"/>
    <mergeCell ref="H2:H3"/>
    <mergeCell ref="I2:I3"/>
    <mergeCell ref="J2:J3"/>
    <mergeCell ref="A11:A12"/>
    <mergeCell ref="B11:D11"/>
    <mergeCell ref="E11:N11"/>
    <mergeCell ref="K2:K3"/>
    <mergeCell ref="L2:L3"/>
    <mergeCell ref="M2:M3"/>
    <mergeCell ref="N2:N3"/>
    <mergeCell ref="AD1:AD3"/>
    <mergeCell ref="T2:T3"/>
    <mergeCell ref="U2:U3"/>
    <mergeCell ref="V2:V3"/>
    <mergeCell ref="AA2:AA3"/>
    <mergeCell ref="AA1:AC1"/>
    <mergeCell ref="AC2:AC3"/>
    <mergeCell ref="W1:Z1"/>
    <mergeCell ref="W2:W3"/>
    <mergeCell ref="X2:X3"/>
    <mergeCell ref="Y2:Y3"/>
    <mergeCell ref="Z2:Z3"/>
    <mergeCell ref="T1:V1"/>
    <mergeCell ref="AB2:AB3"/>
    <mergeCell ref="S2:S3"/>
    <mergeCell ref="O2:O3"/>
    <mergeCell ref="P2:P3"/>
    <mergeCell ref="Q2:Q3"/>
    <mergeCell ref="R2:R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Fairey</dc:creator>
  <cp:lastModifiedBy>anonymous</cp:lastModifiedBy>
  <cp:lastPrinted>2014-05-07T14:03:29Z</cp:lastPrinted>
  <dcterms:created xsi:type="dcterms:W3CDTF">2002-08-05T13:11:00Z</dcterms:created>
  <dcterms:modified xsi:type="dcterms:W3CDTF">2018-03-13T14:21:21Z</dcterms:modified>
</cp:coreProperties>
</file>