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0" windowWidth="15360" windowHeight="1392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E7" i="7"/>
  <c r="E8" i="7"/>
  <c r="E9" i="7"/>
  <c r="C8" i="7"/>
  <c r="C7" i="7"/>
  <c r="D8" i="7"/>
  <c r="D7" i="7"/>
  <c r="B36" i="7"/>
  <c r="B35" i="7"/>
  <c r="B34" i="7"/>
  <c r="B33" i="7"/>
  <c r="B32" i="7"/>
  <c r="B31" i="7"/>
  <c r="B30" i="7"/>
  <c r="B29" i="7"/>
  <c r="B28" i="7"/>
  <c r="B26" i="7"/>
  <c r="B27" i="7"/>
  <c r="C36" i="7"/>
  <c r="A36" i="7"/>
  <c r="C35" i="7"/>
  <c r="C34" i="7"/>
  <c r="C33" i="7"/>
  <c r="C32" i="7"/>
  <c r="C31" i="7"/>
  <c r="C30" i="7"/>
  <c r="C29" i="7"/>
  <c r="C28" i="7"/>
  <c r="C27" i="7"/>
  <c r="A35" i="7"/>
  <c r="A34" i="7"/>
  <c r="A33" i="7"/>
  <c r="A32" i="7"/>
  <c r="A31" i="7"/>
  <c r="A30" i="7"/>
  <c r="A29" i="7"/>
  <c r="A28" i="7"/>
  <c r="A27" i="7"/>
  <c r="A26" i="7"/>
  <c r="C26" i="7"/>
  <c r="M362" i="10"/>
  <c r="M344" i="10"/>
</calcChain>
</file>

<file path=xl/sharedStrings.xml><?xml version="1.0" encoding="utf-8"?>
<sst xmlns="http://schemas.openxmlformats.org/spreadsheetml/2006/main" count="2205" uniqueCount="742">
  <si>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</si>
  <si>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</si>
  <si>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</si>
  <si>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</si>
  <si>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</si>
  <si>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</si>
  <si>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</si>
  <si>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</si>
  <si>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</si>
  <si>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</si>
  <si>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</si>
  <si>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</si>
  <si>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</si>
  <si>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</si>
  <si>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</si>
  <si>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</si>
  <si>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</si>
  <si>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</si>
  <si>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</si>
  <si>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</si>
  <si>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</si>
  <si>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</si>
  <si>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</si>
  <si>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</si>
  <si>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</si>
  <si>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</si>
  <si>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</si>
  <si>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</si>
  <si>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</si>
  <si>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</si>
  <si>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</si>
  <si>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</si>
  <si>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</si>
  <si>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</si>
  <si>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</si>
  <si>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</si>
  <si>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</si>
  <si>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</si>
  <si>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</si>
  <si>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</si>
  <si>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</si>
  <si>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</si>
  <si>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</si>
  <si>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</si>
  <si>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</si>
  <si>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</si>
  <si>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</si>
  <si>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</si>
  <si>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</si>
  <si>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</si>
  <si>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</si>
  <si>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</si>
  <si>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</si>
  <si>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</si>
  <si>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</si>
  <si>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</si>
  <si>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</si>
  <si>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</si>
  <si>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</si>
  <si>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</si>
  <si>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</si>
  <si>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</si>
  <si>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</si>
  <si>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</si>
  <si>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</si>
  <si>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</si>
  <si>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</si>
  <si>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</si>
  <si>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</si>
  <si>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</si>
  <si>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</si>
  <si>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</si>
  <si>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</si>
  <si>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</si>
  <si>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</si>
  <si>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</si>
  <si>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</si>
  <si>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</si>
  <si>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</si>
  <si>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</si>
  <si>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</si>
  <si>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</si>
  <si>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</si>
  <si>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</si>
  <si>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</si>
  <si>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</si>
  <si>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</si>
  <si>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</si>
  <si>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</si>
  <si>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</si>
  <si>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</si>
  <si>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</si>
  <si>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</si>
  <si>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</si>
  <si>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</si>
  <si>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</si>
  <si>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</si>
  <si>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</si>
  <si>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</si>
  <si>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</si>
  <si>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</si>
  <si>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</si>
  <si>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</si>
  <si>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</si>
  <si>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</si>
  <si>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</si>
  <si>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</si>
  <si>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</si>
  <si>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</si>
  <si>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</si>
  <si>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</si>
  <si>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</si>
  <si>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</si>
  <si>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</si>
  <si>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</si>
  <si>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</si>
  <si>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</si>
  <si>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</si>
  <si>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</si>
  <si>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</si>
  <si>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</si>
  <si>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</si>
  <si>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</si>
  <si>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</si>
  <si>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</si>
  <si>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</si>
  <si>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</si>
  <si>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</si>
  <si>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</si>
  <si>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</si>
  <si>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</si>
  <si>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</si>
  <si>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</si>
  <si>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</si>
  <si>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</si>
  <si>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</si>
  <si>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</si>
  <si>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</si>
  <si>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</si>
  <si>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</si>
  <si>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</si>
  <si>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</si>
  <si>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</si>
  <si>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</si>
  <si>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</si>
  <si>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</si>
  <si>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</si>
  <si>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</si>
  <si>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</si>
  <si>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</si>
  <si>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</si>
  <si>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</si>
  <si>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</si>
  <si>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</si>
  <si>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</si>
  <si>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</si>
  <si>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</si>
  <si>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</si>
  <si>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</si>
  <si>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</si>
  <si>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</si>
  <si>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</si>
  <si>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</si>
  <si>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</si>
  <si>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</si>
  <si>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</si>
  <si>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</si>
  <si>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</si>
  <si>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</si>
  <si>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</si>
  <si>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</si>
  <si>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</si>
  <si>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</si>
  <si>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</si>
  <si>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</si>
  <si>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</si>
  <si>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</si>
  <si>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</si>
  <si>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</si>
  <si>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</si>
  <si>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</si>
  <si>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</si>
  <si>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</si>
  <si>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</si>
  <si>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</si>
  <si>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</si>
  <si>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</si>
  <si>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</si>
  <si>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</si>
  <si>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</si>
  <si>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</si>
  <si>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</si>
  <si>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</si>
  <si>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</si>
  <si>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</si>
  <si>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</si>
  <si>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</si>
  <si>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</si>
  <si>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</si>
  <si>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</si>
  <si>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</si>
  <si>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</si>
  <si>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</si>
  <si>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</si>
  <si>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</si>
  <si>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</si>
  <si>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</si>
  <si>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</si>
  <si>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</si>
  <si>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</si>
  <si>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</si>
  <si>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</si>
  <si>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</si>
  <si>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</si>
  <si>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</si>
  <si>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</si>
  <si>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</si>
  <si>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</si>
  <si>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</si>
  <si>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</si>
  <si>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</si>
  <si>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</si>
  <si>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</si>
  <si>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</si>
  <si>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</si>
  <si>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</si>
  <si>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</si>
  <si>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</si>
  <si>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</si>
  <si>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</si>
  <si>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</si>
  <si>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</si>
  <si>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</si>
  <si>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</si>
  <si>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</si>
  <si>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</si>
  <si>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</si>
  <si>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</si>
  <si>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</si>
  <si>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</si>
  <si>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</si>
  <si>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</si>
  <si>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</si>
  <si>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</si>
  <si>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</si>
  <si>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</si>
  <si>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</si>
  <si>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</si>
  <si>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</si>
  <si>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</si>
  <si>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</si>
  <si>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</si>
  <si>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</si>
  <si>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</si>
  <si>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</si>
  <si>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</si>
  <si>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</si>
  <si>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</si>
  <si>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</si>
  <si>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</si>
  <si>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</si>
  <si>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</si>
  <si>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</si>
  <si>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</si>
  <si>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</si>
  <si>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</si>
  <si>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</si>
  <si>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</si>
  <si>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</si>
  <si>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</si>
  <si>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</si>
  <si>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</si>
  <si>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</si>
  <si>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</si>
  <si>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</si>
  <si>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</si>
  <si>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</si>
  <si>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</si>
  <si>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</si>
  <si>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</si>
  <si>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</si>
  <si>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</si>
  <si>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</si>
  <si>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</si>
  <si>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</si>
  <si>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</si>
  <si>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</si>
  <si>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</si>
  <si>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</si>
  <si>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</si>
  <si>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</si>
  <si>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</si>
  <si>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</si>
  <si>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</si>
  <si>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</si>
  <si>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</si>
  <si>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</si>
  <si>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</si>
  <si>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</si>
  <si>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</si>
  <si>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</si>
  <si>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</si>
  <si>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</si>
  <si>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</si>
  <si>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</si>
  <si>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</si>
  <si>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</si>
  <si>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</si>
  <si>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</si>
  <si>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</si>
  <si>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</si>
  <si>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</si>
  <si>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</si>
  <si>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</si>
  <si>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</si>
  <si>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</si>
  <si>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</si>
  <si>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</si>
  <si>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</si>
  <si>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</si>
  <si>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</si>
  <si>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</si>
  <si>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</si>
  <si>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</si>
  <si>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</si>
  <si>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</si>
  <si>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</si>
  <si>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</si>
  <si>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</si>
  <si>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</si>
  <si>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</si>
  <si>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</si>
  <si>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</si>
  <si>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</si>
  <si>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</si>
  <si>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</si>
  <si>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</si>
  <si>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</si>
  <si>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</si>
  <si>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</si>
  <si>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</si>
  <si>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</si>
  <si>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</si>
  <si>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</si>
  <si>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</si>
  <si>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</si>
  <si>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</si>
  <si>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</si>
  <si>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</si>
  <si>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</si>
  <si>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</si>
  <si>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</si>
  <si>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</si>
  <si>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</si>
  <si>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</si>
  <si>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</si>
  <si>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</si>
  <si>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</si>
  <si>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</si>
  <si>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</si>
  <si>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</si>
  <si>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</si>
  <si>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</si>
  <si>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</si>
  <si>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</si>
  <si>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</si>
  <si>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</si>
  <si>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</si>
  <si>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</si>
  <si>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</si>
  <si>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</si>
  <si>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</si>
  <si>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</si>
  <si>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</si>
  <si>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</si>
  <si>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</si>
  <si>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</si>
  <si>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</si>
  <si>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</si>
  <si>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</si>
  <si>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</si>
  <si>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</si>
  <si>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</si>
  <si>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</si>
  <si>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</si>
  <si>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</si>
  <si>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</si>
  <si>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</si>
  <si>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</si>
  <si>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</si>
  <si>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</si>
  <si>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</si>
  <si>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</si>
  <si>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</si>
  <si>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</si>
  <si>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</si>
  <si>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</si>
  <si>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</si>
  <si>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</si>
  <si>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</si>
  <si>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</si>
  <si>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</si>
  <si>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</si>
  <si>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</si>
  <si>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</si>
  <si>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</si>
  <si>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</si>
  <si>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</si>
  <si>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</si>
  <si>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</si>
  <si>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</si>
  <si>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</si>
  <si>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</si>
  <si>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</si>
  <si>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</si>
  <si>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</si>
  <si>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</si>
  <si>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</si>
  <si>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</si>
  <si>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</si>
  <si>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</si>
  <si>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</si>
  <si>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</si>
  <si>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</si>
  <si>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</si>
  <si>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</si>
  <si>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</si>
  <si>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</si>
  <si>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</si>
  <si>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</si>
  <si>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</si>
  <si>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</si>
  <si>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</si>
  <si>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</si>
  <si>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</si>
  <si>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</si>
  <si>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</si>
  <si>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</si>
  <si>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</si>
  <si>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</si>
  <si>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</si>
  <si>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</si>
  <si>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</si>
  <si>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</si>
  <si>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</si>
  <si>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</si>
  <si>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</si>
  <si>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</si>
  <si>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</si>
  <si>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</si>
  <si>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</si>
  <si>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</si>
  <si>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</si>
  <si>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</si>
  <si>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</si>
  <si>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</si>
  <si>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</si>
  <si>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</si>
  <si>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</si>
  <si>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</si>
  <si>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</si>
  <si>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</si>
  <si>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</si>
  <si>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</si>
  <si>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</si>
  <si>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</si>
  <si>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</si>
  <si>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</si>
  <si>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</si>
  <si>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</si>
  <si>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</si>
  <si>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</si>
  <si>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</si>
  <si>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</si>
  <si>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</si>
  <si>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</si>
  <si>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</si>
  <si>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</si>
  <si>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</si>
  <si>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</si>
  <si>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</si>
  <si>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</si>
  <si>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</si>
  <si>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</si>
  <si>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</si>
  <si>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</si>
  <si>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</si>
  <si>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</si>
  <si>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</si>
  <si>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</si>
  <si>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</si>
  <si>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</si>
  <si>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</si>
  <si>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</si>
  <si>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</si>
  <si>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</si>
  <si>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</si>
  <si>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</si>
  <si>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</si>
  <si>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</si>
  <si>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</si>
  <si>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</si>
  <si>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</si>
  <si>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</si>
  <si>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</si>
  <si>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</si>
  <si>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</si>
  <si>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</si>
  <si>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</si>
  <si>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</si>
  <si>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</si>
  <si>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</si>
  <si>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</si>
  <si>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</si>
  <si>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</si>
  <si>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</si>
  <si>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</si>
  <si>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</si>
  <si>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</si>
  <si>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</si>
  <si>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</si>
  <si>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</si>
  <si>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</si>
  <si>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</si>
  <si>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</si>
  <si>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</si>
  <si>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</si>
  <si>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</si>
  <si>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</si>
  <si>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</si>
  <si>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</si>
  <si>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</si>
  <si>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</si>
  <si>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</si>
  <si>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</si>
  <si>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</si>
  <si>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</si>
  <si>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</si>
  <si>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</si>
  <si>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</si>
  <si>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</si>
  <si>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</si>
  <si>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</si>
  <si>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</si>
  <si>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</si>
  <si>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</si>
  <si>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</si>
  <si>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</si>
  <si>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</si>
  <si>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</si>
  <si>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</si>
  <si>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</si>
  <si>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</si>
  <si>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</si>
  <si>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</si>
  <si>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</si>
  <si>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</si>
  <si>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</si>
  <si>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</si>
  <si>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</si>
  <si>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</si>
  <si>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</si>
  <si>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</si>
  <si>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</si>
  <si>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</si>
  <si>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</si>
  <si>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</si>
  <si>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</si>
  <si>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</si>
  <si>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</si>
  <si>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</si>
  <si>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</si>
  <si>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</si>
  <si>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</si>
  <si>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</si>
  <si>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</si>
  <si>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</si>
  <si>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</si>
  <si>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</si>
  <si>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</si>
  <si>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</si>
  <si>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</si>
  <si>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</si>
  <si>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</si>
  <si>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</si>
  <si>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</si>
  <si>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</si>
  <si>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</si>
  <si>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</si>
  <si>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</si>
  <si>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</si>
  <si>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</si>
  <si>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</si>
  <si>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</si>
  <si>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</si>
  <si>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</si>
  <si>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</si>
  <si>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</si>
  <si>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</si>
  <si>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</si>
  <si>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</si>
  <si>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</si>
  <si>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</si>
  <si>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</si>
  <si>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</si>
  <si>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</si>
  <si>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</si>
  <si>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</si>
  <si>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</si>
  <si>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</si>
  <si>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</si>
  <si>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</si>
  <si>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</si>
  <si>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</si>
  <si>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</si>
  <si>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</si>
  <si>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</si>
  <si>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</si>
  <si>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</si>
  <si>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</si>
  <si>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</si>
  <si>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</si>
  <si>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</si>
  <si>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</si>
  <si>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</si>
  <si>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</si>
  <si>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</si>
  <si>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</si>
  <si>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</si>
  <si>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</si>
  <si>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</si>
  <si>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</si>
  <si>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</si>
  <si>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</si>
  <si>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 Source Energy Intensity</t>
  </si>
  <si>
    <t>Total Natural Gas Intensity</t>
  </si>
  <si>
    <t>Total Electricity Intensity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</si>
  <si>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</si>
  <si>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</si>
  <si>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</si>
  <si>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</si>
  <si>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</si>
  <si>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</si>
  <si>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</si>
  <si>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</si>
  <si>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</si>
  <si>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</si>
  <si>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</si>
  <si>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</si>
  <si>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</si>
  <si>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</si>
  <si>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</si>
  <si>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</si>
  <si>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</si>
  <si>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</si>
  <si>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</si>
  <si>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../weather/*.epw</t>
  </si>
  <si>
    <t>7c1d72ce-8e72-44a7-a0b0-d049cd5fb5d0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</si>
  <si>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</si>
  <si>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</si>
  <si>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</si>
  <si>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</si>
  <si>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</si>
  <si>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</si>
  <si>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</si>
  <si>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</si>
  <si>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</si>
  <si>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</si>
  <si>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</si>
  <si>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</si>
  <si>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</si>
  <si>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</si>
  <si>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</si>
  <si>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</si>
  <si>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</si>
  <si>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</si>
  <si>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</si>
  <si>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</si>
  <si>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Total Life Cycle 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</si>
  <si>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</si>
  <si>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</si>
  <si>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</si>
  <si>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</si>
  <si>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</si>
  <si>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</si>
  <si>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</si>
  <si>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</si>
  <si>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</si>
  <si>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</si>
  <si>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0.3.6</t>
  </si>
  <si>
    <t>1.8.0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</si>
  <si>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</si>
  <si>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</si>
  <si>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</si>
  <si>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</si>
  <si>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</si>
  <si>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</si>
  <si>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</si>
  <si>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</si>
  <si>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</si>
  <si>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</si>
  <si>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Create DOE Prototype Building</t>
  </si>
  <si>
    <t>building_type</t>
  </si>
  <si>
    <t>Building Type</t>
  </si>
  <si>
    <t>SmallOffice</t>
  </si>
  <si>
    <t>building_vintage</t>
  </si>
  <si>
    <t>climate_zone</t>
  </si>
  <si>
    <t>Building Vintage</t>
  </si>
  <si>
    <t>Climate Zone</t>
  </si>
  <si>
    <t>|DOE Ref Pre-1980,DOE Ref 1980-2004,90.1-2010|</t>
  </si>
  <si>
    <t>|ASHRAE 169-2006-2A,ASHRAE 169-2006-3B,ASHRAE 169-2006-4A,ASHRAE 169-2006-5A|</t>
  </si>
  <si>
    <t>ASHRAE 169-2006-2A</t>
  </si>
  <si>
    <t>DOE Ref Pre-1980</t>
  </si>
  <si>
    <t>|SmallOffice|</t>
  </si>
  <si>
    <t>pivot</t>
  </si>
  <si>
    <t>create_DOE_prototype_building</t>
  </si>
  <si>
    <t>CreateDOEPrototypeBuilding</t>
  </si>
  <si>
    <t>../analysis</t>
  </si>
  <si>
    <t>DOE Prototype</t>
  </si>
  <si>
    <t>../seeds/empty_model.osm</t>
  </si>
  <si>
    <t>../measures</t>
  </si>
  <si>
    <t>../../OpenStudio-Prototype-Buildings</t>
  </si>
  <si>
    <t>standard_reports.total_energy</t>
  </si>
  <si>
    <t>standard_reports.total_source_energy</t>
  </si>
  <si>
    <t>standard_reports.total_natural_gas</t>
  </si>
  <si>
    <t>standard_reports.total_electricity</t>
  </si>
  <si>
    <t>standard_reports.cooling_electricity</t>
  </si>
  <si>
    <t>standard_reports.interior_lighting_electricity</t>
  </si>
  <si>
    <t>standard_reports.exterior_lighting_electricity</t>
  </si>
  <si>
    <t>standard_reports.interior_equipment_electricity</t>
  </si>
  <si>
    <t>standard_reports.interior_equipment_natural_gas</t>
  </si>
  <si>
    <t>standard_reports.exterior_equipment_electricity</t>
  </si>
  <si>
    <t>standard_reports.fans_electricity</t>
  </si>
  <si>
    <t>standard_reports.pumps_electricity</t>
  </si>
  <si>
    <t>standard_reports.heat_rejection_electricity</t>
  </si>
  <si>
    <t>standard_reports.humidification_electricity</t>
  </si>
  <si>
    <t>standard_reports.water_systems_electricity</t>
  </si>
  <si>
    <t>standard_reports.water_systems_natural_gas</t>
  </si>
  <si>
    <t>standard_reports.refrigeration_electricity</t>
  </si>
  <si>
    <t>standard_reports.heating_natural_gas</t>
  </si>
  <si>
    <t>standard_reports.total_life_cycle_cost</t>
  </si>
  <si>
    <t>Ptool Preflight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</si>
</sst>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0" zoomScaleNormal="80" zoomScalePageLayoutView="120" workbookViewId="0">
      <selection activeCell="D42" sqref="D42"/>
    </sheetView>
  </sheetViews>
  <sheetFormatPr defaultColWidth="10.7109375" defaultRowHeight="15" x14ac:dyDescent="0.25"/>
  <cols>
    <col min="1" max="1" width="25.7109375" style="1" customWidth="1"/>
    <col min="2" max="2" width="42.7109375" style="28" bestFit="1" customWidth="1"/>
    <col min="3" max="3" width="33.7109375" style="1" bestFit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9"/>
      <c r="B1" s="30"/>
      <c r="C1" s="19"/>
      <c r="D1" s="20"/>
      <c r="E1" s="20"/>
      <c r="F1" s="20" t="s">
        <v>5</v>
      </c>
    </row>
    <row r="2" spans="1:6" s="12" customFormat="1" x14ac:dyDescent="0.25">
      <c r="A2" s="11" t="s">
        <v>434</v>
      </c>
      <c r="B2" s="29"/>
      <c r="C2" s="13"/>
      <c r="D2" s="13"/>
      <c r="E2" s="13"/>
      <c r="F2" s="13"/>
    </row>
    <row r="3" spans="1:6" x14ac:dyDescent="0.25">
      <c r="A3" s="1" t="s">
        <v>435</v>
      </c>
      <c r="B3" s="44" t="s">
        <v>689</v>
      </c>
      <c r="F3" s="1" t="s">
        <v>436</v>
      </c>
    </row>
    <row r="4" spans="1:6" ht="30" x14ac:dyDescent="0.25">
      <c r="A4" s="1" t="s">
        <v>456</v>
      </c>
      <c r="B4" s="27" t="s">
        <v>514</v>
      </c>
      <c r="F4" s="2" t="s">
        <v>457</v>
      </c>
    </row>
    <row r="5" spans="1:6" ht="75" x14ac:dyDescent="0.25">
      <c r="A5" s="1" t="s">
        <v>469</v>
      </c>
      <c r="B5" s="28" t="s">
        <v>690</v>
      </c>
      <c r="F5" s="2" t="s">
        <v>615</v>
      </c>
    </row>
    <row r="6" spans="1:6" ht="45.95" customHeight="1" x14ac:dyDescent="0.25">
      <c r="A6" s="1" t="s">
        <v>470</v>
      </c>
      <c r="B6" s="27" t="s">
        <v>606</v>
      </c>
      <c r="F6" s="2" t="s">
        <v>472</v>
      </c>
    </row>
    <row r="7" spans="1:6" x14ac:dyDescent="0.25">
      <c r="A7" s="1" t="s">
        <v>441</v>
      </c>
      <c r="B7" s="27" t="s">
        <v>593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608</v>
      </c>
    </row>
    <row r="8" spans="1:6" ht="30" x14ac:dyDescent="0.25">
      <c r="A8" s="1" t="s">
        <v>442</v>
      </c>
      <c r="B8" s="27" t="s">
        <v>439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443</v>
      </c>
    </row>
    <row r="9" spans="1:6" x14ac:dyDescent="0.25">
      <c r="A9" s="1" t="s">
        <v>458</v>
      </c>
      <c r="B9" s="27">
        <v>1</v>
      </c>
      <c r="C9" s="3"/>
      <c r="D9" s="36" t="s">
        <v>655</v>
      </c>
      <c r="E9" s="36" t="str">
        <f>"$"&amp;VALUE(LEFT(E7,5))+B9*VALUE(LEFT(E8,5))&amp;"/hour"</f>
        <v>$0.7/hour</v>
      </c>
      <c r="F9" s="2" t="s">
        <v>607</v>
      </c>
    </row>
    <row r="10" spans="1:6" s="33" customFormat="1" ht="30" x14ac:dyDescent="0.25">
      <c r="A10" s="33" t="s">
        <v>691</v>
      </c>
      <c r="B10" s="27" t="s">
        <v>692</v>
      </c>
      <c r="C10" s="3"/>
      <c r="D10" s="36"/>
      <c r="E10" s="36"/>
      <c r="F10" s="2" t="s">
        <v>693</v>
      </c>
    </row>
    <row r="12" spans="1:6" s="12" customFormat="1" x14ac:dyDescent="0.25">
      <c r="A12" s="11" t="s">
        <v>27</v>
      </c>
      <c r="B12" s="29"/>
      <c r="C12" s="11"/>
      <c r="D12" s="13"/>
      <c r="E12" s="13"/>
      <c r="F12" s="13"/>
    </row>
    <row r="13" spans="1:6" x14ac:dyDescent="0.25">
      <c r="A13" s="1" t="s">
        <v>38</v>
      </c>
      <c r="B13" s="27" t="s">
        <v>741</v>
      </c>
      <c r="F13" s="1" t="s">
        <v>471</v>
      </c>
    </row>
    <row r="14" spans="1:6" x14ac:dyDescent="0.25">
      <c r="A14" s="1" t="s">
        <v>24</v>
      </c>
      <c r="B14" s="27" t="s">
        <v>720</v>
      </c>
      <c r="F14" s="33" t="s">
        <v>616</v>
      </c>
    </row>
    <row r="15" spans="1:6" s="33" customFormat="1" x14ac:dyDescent="0.25">
      <c r="A15" s="33" t="s">
        <v>24</v>
      </c>
      <c r="B15" s="27" t="s">
        <v>721</v>
      </c>
      <c r="D15" s="2"/>
      <c r="E15" s="2"/>
      <c r="F15" s="33" t="s">
        <v>616</v>
      </c>
    </row>
    <row r="16" spans="1:6" x14ac:dyDescent="0.25">
      <c r="A16" s="1" t="s">
        <v>25</v>
      </c>
      <c r="B16" s="27" t="s">
        <v>717</v>
      </c>
      <c r="F16" s="33" t="s">
        <v>616</v>
      </c>
    </row>
    <row r="17" spans="1:6" x14ac:dyDescent="0.25">
      <c r="A17" s="1" t="s">
        <v>462</v>
      </c>
      <c r="B17" s="28" t="b">
        <v>1</v>
      </c>
      <c r="F17" s="1" t="s">
        <v>436</v>
      </c>
    </row>
    <row r="18" spans="1:6" ht="30" x14ac:dyDescent="0.25">
      <c r="A18" s="1" t="s">
        <v>463</v>
      </c>
      <c r="B18" s="26" t="b">
        <v>1</v>
      </c>
      <c r="F18" s="2" t="s">
        <v>609</v>
      </c>
    </row>
    <row r="19" spans="1:6" x14ac:dyDescent="0.25">
      <c r="A19" s="1" t="s">
        <v>464</v>
      </c>
      <c r="B19" s="28" t="s">
        <v>465</v>
      </c>
      <c r="F19" s="1" t="s">
        <v>436</v>
      </c>
    </row>
    <row r="20" spans="1:6" x14ac:dyDescent="0.25">
      <c r="A20" s="1" t="s">
        <v>466</v>
      </c>
      <c r="B20" s="28" t="s">
        <v>545</v>
      </c>
      <c r="F20" s="1" t="s">
        <v>436</v>
      </c>
    </row>
    <row r="22" spans="1:6" s="2" customFormat="1" ht="60" x14ac:dyDescent="0.25">
      <c r="A22" s="11" t="s">
        <v>26</v>
      </c>
      <c r="B22" s="29" t="s">
        <v>610</v>
      </c>
      <c r="C22" s="11"/>
      <c r="D22" s="11"/>
      <c r="E22" s="11"/>
      <c r="F22" s="13" t="s">
        <v>455</v>
      </c>
    </row>
    <row r="23" spans="1:6" x14ac:dyDescent="0.25">
      <c r="A23" s="1" t="s">
        <v>451</v>
      </c>
      <c r="B23" s="27" t="s">
        <v>553</v>
      </c>
    </row>
    <row r="24" spans="1:6" s="33" customFormat="1" x14ac:dyDescent="0.25">
      <c r="B24" s="28"/>
      <c r="D24" s="2"/>
      <c r="E24" s="2"/>
    </row>
    <row r="25" spans="1:6" s="2" customFormat="1" ht="60" x14ac:dyDescent="0.25">
      <c r="A25" s="11" t="s">
        <v>450</v>
      </c>
      <c r="B25" s="29" t="s">
        <v>613</v>
      </c>
      <c r="C25" s="11" t="s">
        <v>611</v>
      </c>
      <c r="D25" s="11" t="s">
        <v>612</v>
      </c>
      <c r="E25" s="11"/>
      <c r="F25" s="13" t="s">
        <v>455</v>
      </c>
    </row>
    <row r="26" spans="1:6" x14ac:dyDescent="0.25">
      <c r="A26" s="33" t="str">
        <f>IF(LEN(INDEX(Lookups!$C$21:$Z$30,1,3*MATCH(Setup!$B23,Lookups!$A$21:$A$27,0)-2))=0,"",INDEX(Lookups!$C$21:$Z$30,1,3*MATCH(Setup!$B23,Lookups!$A$21:$A$27,0)-2))</f>
        <v/>
      </c>
      <c r="B26" s="28" t="str">
        <f>IF(D26&lt;&gt;"",D26,IF(LEN(INDEX(Lookups!$C$21:$Z$30,1,3*MATCH(Setup!$B23,Lookups!$A$21:$A$27,0)-1))=0,"",INDEX(Lookups!$C$21:$Z$30,1,3*MATCH(Setup!$B23,Lookups!$A$21:$A$27,0)-1)))</f>
        <v>all_variables</v>
      </c>
      <c r="C26" s="37" t="str">
        <f>IF(LEN(INDEX(Lookups!$C$21:$Z$30,1,3*MATCH(Setup!$B23,Lookups!$A$21:$A$27,0)))=0,"",INDEX(Lookups!$C$21:$Z$30,1,3*MATCH(Setup!$B23,Lookups!$A$21:$A$27,0)))</f>
        <v/>
      </c>
      <c r="D26" s="39" t="s">
        <v>452</v>
      </c>
      <c r="E26" s="33"/>
    </row>
    <row r="27" spans="1:6" ht="45" x14ac:dyDescent="0.25">
      <c r="A27" s="33" t="str">
        <f>IF(LEN(INDEX(Lookups!$C$21:$Z$30,2,3*MATCH(Setup!$B23,Lookups!$A$21:$A$27,0)-2))=0,"",INDEX(Lookups!$C$21:$Z$30,2,3*MATCH(Setup!$B23,Lookups!$A$21:$A$27,0)-2))</f>
        <v/>
      </c>
      <c r="B27" s="28">
        <f>IF(D27&lt;&gt;"",D27,IF(LEN(INDEX(Lookups!$C$21:$Z$30,2,3*MATCH(Setup!$B23,Lookups!$A$21:$A$27,0)-1))=0,"",INDEX(Lookups!$C$21:$Z$30,2,3*MATCH(Setup!$B23,Lookups!$A$21:$A$27,0)-1)))</f>
        <v>10</v>
      </c>
      <c r="C27" s="37" t="str">
        <f>IF(LEN(INDEX(Lookups!$C$21:$Z$30,2,3*MATCH(Setup!$B23,Lookups!$A$21:$A$27,0)))=0,"",INDEX(Lookups!$C$21:$Z$30,2,3*MATCH(Setup!$B23,Lookups!$A$21:$A$27,0)))</f>
        <v/>
      </c>
      <c r="D27" s="39">
        <v>10</v>
      </c>
      <c r="E27" s="33"/>
    </row>
    <row r="28" spans="1:6" x14ac:dyDescent="0.25">
      <c r="A28" s="33" t="str">
        <f>IF(LEN(INDEX(Lookups!$C$21:$Z$30,3,3*MATCH(Setup!$B23,Lookups!$A$21:$A$27,0)-2))=0,"",INDEX(Lookups!$C$21:$Z$30,3,3*MATCH(Setup!$B23,Lookups!$A$21:$A$27,0)-2))</f>
        <v/>
      </c>
      <c r="B28" s="28" t="str">
        <f>IF(D28&lt;&gt;"",D28,IF(LEN(INDEX(Lookups!$C$21:$Z$30,3,3*MATCH(Setup!$B23,Lookups!$A$21:$A$27,0)-1))=0,"",INDEX(Lookups!$C$21:$Z$30,3,3*MATCH(Setup!$B23,Lookups!$A$21:$A$27,0)-1)))</f>
        <v/>
      </c>
      <c r="C28" s="37" t="str">
        <f>IF(LEN(INDEX(Lookups!$C$21:$Z$30,3,3*MATCH(Setup!$B23,Lookups!$A$21:$A$27,0)))=0,"",INDEX(Lookups!$C$21:$Z$30,3,3*MATCH(Setup!$B23,Lookups!$A$21:$A$27,0)))</f>
        <v/>
      </c>
      <c r="D28" s="39"/>
      <c r="E28" s="33"/>
    </row>
    <row r="29" spans="1:6" s="33" customFormat="1" x14ac:dyDescent="0.25">
      <c r="A29" s="33" t="str">
        <f>IF(LEN(INDEX(Lookups!$C$21:$Z$30,4,3*MATCH(Setup!$B23,Lookups!$A$21:$A$27,0)-2))=0,"",INDEX(Lookups!$C$21:$Z$30,4,3*MATCH(Setup!$B23,Lookups!$A$21:$A$27,0)-2))</f>
        <v/>
      </c>
      <c r="B29" s="28" t="str">
        <f>IF(D29&lt;&gt;"",D29,IF(LEN(INDEX(Lookups!$C$21:$Z$30,4,3*MATCH(Setup!$B23,Lookups!$A$21:$A$27,0)-1))=0,"",INDEX(Lookups!$C$21:$Z$30,4,3*MATCH(Setup!$B23,Lookups!$A$21:$A$27,0)-1)))</f>
        <v/>
      </c>
      <c r="C29" s="37" t="str">
        <f>IF(LEN(INDEX(Lookups!$C$21:$Z$30,4,3*MATCH(Setup!$B23,Lookups!$A$21:$A$27,0)))=0,"",INDEX(Lookups!$C$21:$Z$30,4,3*MATCH(Setup!$B23,Lookups!$A$21:$A$27,0)))</f>
        <v/>
      </c>
      <c r="D29" s="39"/>
    </row>
    <row r="30" spans="1:6" s="33" customFormat="1" x14ac:dyDescent="0.25">
      <c r="A30" s="33" t="str">
        <f>IF(LEN(INDEX(Lookups!$C$21:$Z$30,5,3*MATCH(Setup!$B23,Lookups!$A$21:$A$27,0)-2))=0,"",INDEX(Lookups!$C$21:$Z$30,5,3*MATCH(Setup!$B23,Lookups!$A$21:$A$27,0)-2))</f>
        <v/>
      </c>
      <c r="B30" s="28" t="str">
        <f>IF(D30&lt;&gt;"",D30,IF(LEN(INDEX(Lookups!$C$21:$Z$30,5,3*MATCH(Setup!$B23,Lookups!$A$21:$A$27,0)-1))=0,"",INDEX(Lookups!$C$21:$Z$30,5,3*MATCH(Setup!$B23,Lookups!$A$21:$A$27,0)-1)))</f>
        <v/>
      </c>
      <c r="C30" s="37" t="str">
        <f>IF(LEN(INDEX(Lookups!$C$21:$Z$30,5,3*MATCH(Setup!$B23,Lookups!$A$21:$A$27,0)))=0,"",INDEX(Lookups!$C$21:$Z$30,5,3*MATCH(Setup!$B23,Lookups!$A$21:$A$27,0)))</f>
        <v/>
      </c>
      <c r="D30" s="39"/>
    </row>
    <row r="31" spans="1:6" s="33" customFormat="1" x14ac:dyDescent="0.25">
      <c r="A31" s="33" t="str">
        <f>IF(LEN(INDEX(Lookups!$C$21:$Z$30,6,3*MATCH(Setup!$B23,Lookups!$A$21:$A$27,0)-2))=0,"",INDEX(Lookups!$C$21:$Z$30,6,3*MATCH(Setup!$B23,Lookups!$A$21:$A$27,0)-2))</f>
        <v/>
      </c>
      <c r="B31" s="28" t="str">
        <f>IF(D31&lt;&gt;"",D31,IF(LEN(INDEX(Lookups!$C$21:$Z$30,6,3*MATCH(Setup!$B23,Lookups!$A$21:$A$27,0)-1))=0,"",INDEX(Lookups!$C$21:$Z$30,6,3*MATCH(Setup!$B23,Lookups!$A$21:$A$27,0)-1)))</f>
        <v/>
      </c>
      <c r="C31" s="37" t="str">
        <f>IF(LEN(INDEX(Lookups!$C$21:$Z$30,6,3*MATCH(Setup!$B23,Lookups!$A$21:$A$27,0)))=0,"",INDEX(Lookups!$C$21:$Z$30,6,3*MATCH(Setup!$B23,Lookups!$A$21:$A$27,0)))</f>
        <v/>
      </c>
      <c r="D31" s="39"/>
    </row>
    <row r="32" spans="1:6" s="33" customFormat="1" x14ac:dyDescent="0.25">
      <c r="A32" s="33" t="str">
        <f>IF(LEN(INDEX(Lookups!$C$21:$Z$30,7,3*MATCH(Setup!$B23,Lookups!$A$21:$A$27,0)-2))=0,"",INDEX(Lookups!$C$21:$Z$30,7,3*MATCH(Setup!$B23,Lookups!$A$21:$A$27,0)-2))</f>
        <v/>
      </c>
      <c r="B32" s="28" t="str">
        <f>IF(D32&lt;&gt;"",D32,IF(LEN(INDEX(Lookups!$C$21:$Z$30,7,3*MATCH(Setup!$B23,Lookups!$A$21:$A$27,0)-1))=0,"",INDEX(Lookups!$C$21:$Z$30,7,3*MATCH(Setup!$B23,Lookups!$A$21:$A$27,0)-1)))</f>
        <v/>
      </c>
      <c r="C32" s="37" t="str">
        <f>IF(LEN(INDEX(Lookups!$C$21:$Z$30,7,3*MATCH(Setup!$B23,Lookups!$A$21:$A$27,0)))=0,"",INDEX(Lookups!$C$21:$Z$30,7,3*MATCH(Setup!$B23,Lookups!$A$21:$A$27,0)))</f>
        <v/>
      </c>
      <c r="D32" s="39"/>
    </row>
    <row r="33" spans="1:6" s="33" customFormat="1" x14ac:dyDescent="0.25">
      <c r="A33" s="33" t="str">
        <f>IF(LEN(INDEX(Lookups!$C$21:$Z$30,8,3*MATCH(Setup!$B23,Lookups!$A$21:$A$27,0)-2))=0,"",INDEX(Lookups!$C$21:$Z$30,8,3*MATCH(Setup!$B23,Lookups!$A$21:$A$27,0)-2))</f>
        <v/>
      </c>
      <c r="B33" s="28" t="str">
        <f>IF(D33&lt;&gt;"",D33,IF(LEN(INDEX(Lookups!$C$21:$Z$30,8,3*MATCH(Setup!$B23,Lookups!$A$21:$A$27,0)-1))=0,"",INDEX(Lookups!$C$21:$Z$30,8,3*MATCH(Setup!$B23,Lookups!$A$21:$A$27,0)-1)))</f>
        <v/>
      </c>
      <c r="C33" s="37" t="str">
        <f>IF(LEN(INDEX(Lookups!$C$21:$Z$30,8,3*MATCH(Setup!$B23,Lookups!$A$21:$A$27,0)))=0,"",INDEX(Lookups!$C$21:$Z$30,8,3*MATCH(Setup!$B23,Lookups!$A$21:$A$27,0)))</f>
        <v/>
      </c>
      <c r="D33" s="39"/>
    </row>
    <row r="34" spans="1:6" s="33" customFormat="1" x14ac:dyDescent="0.25">
      <c r="A34" s="33" t="str">
        <f>IF(LEN(INDEX(Lookups!$C$21:$Z$30,9,3*MATCH(Setup!$B23,Lookups!$A$21:$A$27,0)-2))=0,"",INDEX(Lookups!$C$21:$Z$30,9,3*MATCH(Setup!$B23,Lookups!$A$21:$A$27,0)-2))</f>
        <v/>
      </c>
      <c r="B34" s="28" t="str">
        <f>IF(D34&lt;&gt;"",D34,IF(LEN(INDEX(Lookups!$C$21:$Z$30,9,3*MATCH(Setup!$B23,Lookups!$A$21:$A$27,0)-1))=0,"",INDEX(Lookups!$C$21:$Z$30,9,3*MATCH(Setup!$B23,Lookups!$A$21:$A$27,0)-1)))</f>
        <v/>
      </c>
      <c r="C34" s="37" t="str">
        <f>IF(LEN(INDEX(Lookups!$C$21:$Z$30,9,3*MATCH(Setup!$B23,Lookups!$A$21:$A$27,0)))=0,"",INDEX(Lookups!$C$21:$Z$30,9,3*MATCH(Setup!$B23,Lookups!$A$21:$A$27,0)))</f>
        <v/>
      </c>
      <c r="D34" s="39"/>
    </row>
    <row r="35" spans="1:6" x14ac:dyDescent="0.25">
      <c r="A35" s="33" t="str">
        <f>IF(LEN(INDEX(Lookups!$C$21:$Z$30,10,3*MATCH(Setup!$B23,Lookups!$A$21:$A$27,0)-2))=0,"",INDEX(Lookups!$C$21:$Z$30,10,3*MATCH(Setup!$B23,Lookups!$A$21:$A$27,0)-2))</f>
        <v/>
      </c>
      <c r="B35" s="28" t="str">
        <f>IF(D35&lt;&gt;"",D35,IF(LEN(INDEX(Lookups!$C$21:$Z$30,10,3*MATCH(Setup!$B23,Lookups!$A$21:$A$27,0)-1))=0,"",INDEX(Lookups!$C$21:$Z$30,10,3*MATCH(Setup!$B23,Lookups!$A$21:$A$27,0)-1)))</f>
        <v/>
      </c>
      <c r="C35" s="37" t="str">
        <f>IF(LEN(INDEX(Lookups!$C$21:$Z$30,10,3*MATCH(Setup!$B23,Lookups!$A$21:$A$27,0)))=0,"",INDEX(Lookups!$C$21:$Z$30,10,3*MATCH(Setup!$B23,Lookups!$A$21:$A$27,0)))</f>
        <v/>
      </c>
      <c r="D35" s="39"/>
      <c r="E35" s="33"/>
    </row>
    <row r="36" spans="1:6" s="33" customFormat="1" x14ac:dyDescent="0.25">
      <c r="A36" s="33" t="str">
        <f>IF(LEN(INDEX(Lookups!$C$21:$Z$31,11,3*MATCH(Setup!$B23,Lookups!$A$21:$A$27,0)-2))=0,"",INDEX(Lookups!$C$21:$Z$31,11,3*MATCH(Setup!$B23,Lookups!$A$21:$A$27,0)-2))</f>
        <v/>
      </c>
      <c r="B36" s="28" t="str">
        <f>IF(D36&lt;&gt;"",D36,IF(LEN(INDEX(Lookups!$C$21:$Z$31,11,3*MATCH(Setup!$B23,Lookups!$A$21:$A$27,0)-1))=0,"",INDEX(Lookups!$C$21:$Z$31,11,3*MATCH(Setup!$B23,Lookups!$A$21:$A$27,0)-1)))</f>
        <v/>
      </c>
      <c r="C36" s="37" t="str">
        <f>IF(LEN(INDEX(Lookups!$C$21:$Z$31,11,3*MATCH(Setup!$B23,Lookups!$A$21:$A$27,0)))=0,"",INDEX(Lookups!$C$21:$Z$31,11,3*MATCH(Setup!$B23,Lookups!$A$21:$A$27,0)))</f>
        <v/>
      </c>
      <c r="D36" s="39"/>
    </row>
    <row r="37" spans="1:6" s="33" customFormat="1" x14ac:dyDescent="0.25">
      <c r="B37" s="28"/>
      <c r="C37" s="28"/>
      <c r="D37" s="2"/>
      <c r="E37" s="2"/>
    </row>
    <row r="38" spans="1:6" s="2" customFormat="1" ht="30" x14ac:dyDescent="0.25">
      <c r="A38" s="11" t="s">
        <v>32</v>
      </c>
      <c r="B38" s="29" t="s">
        <v>617</v>
      </c>
      <c r="C38" s="11" t="s">
        <v>30</v>
      </c>
      <c r="D38" s="11"/>
      <c r="E38" s="11"/>
      <c r="F38" s="13"/>
    </row>
    <row r="39" spans="1:6" x14ac:dyDescent="0.25">
      <c r="A39" s="1" t="s">
        <v>28</v>
      </c>
      <c r="B39" s="38" t="s">
        <v>656</v>
      </c>
    </row>
    <row r="41" spans="1:6" s="2" customFormat="1" ht="30" x14ac:dyDescent="0.25">
      <c r="A41" s="11" t="s">
        <v>29</v>
      </c>
      <c r="B41" s="29" t="s">
        <v>453</v>
      </c>
      <c r="C41" s="11" t="s">
        <v>37</v>
      </c>
      <c r="D41" s="11" t="s">
        <v>617</v>
      </c>
      <c r="E41" s="11"/>
      <c r="F41" s="13" t="s">
        <v>448</v>
      </c>
    </row>
    <row r="42" spans="1:6" ht="30" x14ac:dyDescent="0.25">
      <c r="A42" s="33" t="s">
        <v>31</v>
      </c>
      <c r="B42" s="27" t="s">
        <v>718</v>
      </c>
      <c r="C42" s="21" t="s">
        <v>40</v>
      </c>
      <c r="D42" s="41" t="s">
        <v>719</v>
      </c>
      <c r="F42" s="2" t="s">
        <v>449</v>
      </c>
    </row>
    <row r="44" spans="1:6" s="2" customFormat="1" ht="60" x14ac:dyDescent="0.25">
      <c r="A44" s="11" t="s">
        <v>34</v>
      </c>
      <c r="B44" s="29" t="s">
        <v>33</v>
      </c>
      <c r="C44" s="11" t="s">
        <v>618</v>
      </c>
      <c r="D44" s="11"/>
      <c r="E44" s="11"/>
      <c r="F44" s="13" t="s">
        <v>614</v>
      </c>
    </row>
  </sheetData>
  <dataConsolidate/>
  <dataValidations count="5">
    <dataValidation type="list" allowBlank="1" showInputMessage="1" showErrorMessage="1" sqref="B23">
      <formula1>AnalysisType</formula1>
    </dataValidation>
    <dataValidation type="list" allowBlank="1" showInputMessage="1" showErrorMessage="1" sqref="B17:B18">
      <formula1>TrueFalse</formula1>
    </dataValidation>
    <dataValidation type="list" allowBlank="1" showInputMessage="1" showErrorMessage="1" sqref="B20">
      <formula1>Workflow</formula1>
    </dataValidation>
    <dataValidation type="list" allowBlank="1" showInputMessage="1" showErrorMessage="1" sqref="B19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70" zoomScaleNormal="70" zoomScalePageLayoutView="150" workbookViewId="0">
      <selection activeCell="I20" sqref="I20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33" customWidth="1"/>
    <col min="7" max="7" width="9.7109375" style="1" customWidth="1"/>
    <col min="8" max="8" width="6.7109375" style="1" customWidth="1"/>
    <col min="9" max="9" width="25.42578125" style="4" customWidth="1"/>
    <col min="10" max="10" width="92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5"/>
      <c r="B1" s="5"/>
      <c r="C1" s="5"/>
      <c r="D1" s="7" t="s">
        <v>39</v>
      </c>
      <c r="E1" s="5"/>
      <c r="F1" s="5"/>
      <c r="G1" s="5"/>
      <c r="H1" s="5"/>
      <c r="I1" s="6"/>
      <c r="J1" s="6"/>
      <c r="K1" s="22" t="s">
        <v>473</v>
      </c>
      <c r="L1" s="23"/>
      <c r="M1" s="23"/>
      <c r="N1" s="23"/>
      <c r="O1" s="23"/>
      <c r="P1" s="35" t="s">
        <v>474</v>
      </c>
      <c r="Q1" s="24"/>
      <c r="R1" s="24"/>
      <c r="S1" s="5"/>
      <c r="T1" s="5"/>
      <c r="U1" s="45" t="s">
        <v>60</v>
      </c>
      <c r="V1" s="45"/>
      <c r="W1" s="45"/>
      <c r="X1" s="45"/>
      <c r="Y1" s="45"/>
      <c r="Z1" s="45"/>
    </row>
    <row r="2" spans="1:26" s="8" customFormat="1" ht="15.75" x14ac:dyDescent="0.25">
      <c r="A2" s="8" t="s">
        <v>3</v>
      </c>
      <c r="B2" s="8" t="s">
        <v>36</v>
      </c>
      <c r="C2" s="8" t="s">
        <v>548</v>
      </c>
      <c r="D2" s="8" t="s">
        <v>547</v>
      </c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24</v>
      </c>
      <c r="D3" s="10" t="s">
        <v>41</v>
      </c>
      <c r="E3" s="10" t="s">
        <v>35</v>
      </c>
      <c r="F3" s="40" t="s">
        <v>637</v>
      </c>
      <c r="G3" s="15" t="s">
        <v>11</v>
      </c>
      <c r="H3" s="10" t="s">
        <v>7</v>
      </c>
      <c r="I3" s="10" t="s">
        <v>84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 x14ac:dyDescent="0.25">
      <c r="A4" s="43" t="b">
        <v>1</v>
      </c>
      <c r="B4" s="43" t="s">
        <v>701</v>
      </c>
      <c r="C4" s="43" t="s">
        <v>715</v>
      </c>
      <c r="D4" s="43" t="s">
        <v>716</v>
      </c>
      <c r="E4" s="43" t="s">
        <v>67</v>
      </c>
    </row>
    <row r="5" spans="1:26" s="42" customFormat="1" x14ac:dyDescent="0.25">
      <c r="B5" s="42" t="s">
        <v>714</v>
      </c>
      <c r="D5" s="42" t="s">
        <v>703</v>
      </c>
      <c r="E5" s="42" t="s">
        <v>702</v>
      </c>
      <c r="G5" s="42" t="s">
        <v>61</v>
      </c>
      <c r="I5" s="42" t="s">
        <v>704</v>
      </c>
      <c r="J5" s="42" t="s">
        <v>713</v>
      </c>
      <c r="K5" s="42" t="s">
        <v>704</v>
      </c>
      <c r="L5" s="42" t="s">
        <v>704</v>
      </c>
      <c r="M5" s="42" t="s">
        <v>704</v>
      </c>
    </row>
    <row r="6" spans="1:26" s="42" customFormat="1" x14ac:dyDescent="0.25">
      <c r="B6" s="42" t="s">
        <v>714</v>
      </c>
      <c r="D6" s="42" t="s">
        <v>707</v>
      </c>
      <c r="E6" s="42" t="s">
        <v>705</v>
      </c>
      <c r="G6" s="42" t="s">
        <v>61</v>
      </c>
      <c r="I6" s="42" t="s">
        <v>712</v>
      </c>
      <c r="J6" s="42" t="s">
        <v>709</v>
      </c>
      <c r="K6" s="42" t="s">
        <v>712</v>
      </c>
      <c r="L6" s="42" t="s">
        <v>712</v>
      </c>
      <c r="M6" s="42" t="s">
        <v>712</v>
      </c>
    </row>
    <row r="7" spans="1:26" s="42" customFormat="1" x14ac:dyDescent="0.25">
      <c r="B7" s="42" t="s">
        <v>714</v>
      </c>
      <c r="D7" s="42" t="s">
        <v>708</v>
      </c>
      <c r="E7" s="42" t="s">
        <v>706</v>
      </c>
      <c r="G7" s="42" t="s">
        <v>61</v>
      </c>
      <c r="I7" s="42" t="s">
        <v>711</v>
      </c>
      <c r="J7" s="42" t="s">
        <v>710</v>
      </c>
      <c r="K7" s="42" t="s">
        <v>711</v>
      </c>
      <c r="L7" s="42" t="s">
        <v>711</v>
      </c>
      <c r="M7" s="42" t="s">
        <v>711</v>
      </c>
    </row>
    <row r="8" spans="1:26" s="43" customFormat="1" x14ac:dyDescent="0.25">
      <c r="A8" s="43" t="b">
        <v>1</v>
      </c>
      <c r="B8" s="43" t="s">
        <v>382</v>
      </c>
      <c r="C8" s="43" t="s">
        <v>657</v>
      </c>
      <c r="D8" s="43" t="s">
        <v>75</v>
      </c>
      <c r="E8" s="43" t="s">
        <v>67</v>
      </c>
    </row>
    <row r="9" spans="1:26" s="42" customFormat="1" x14ac:dyDescent="0.25">
      <c r="B9" s="42" t="s">
        <v>22</v>
      </c>
      <c r="D9" s="42" t="s">
        <v>688</v>
      </c>
      <c r="E9" s="42" t="s">
        <v>76</v>
      </c>
      <c r="G9" s="42" t="s">
        <v>63</v>
      </c>
      <c r="I9" s="42">
        <v>0.4</v>
      </c>
      <c r="K9" s="42">
        <v>0.2</v>
      </c>
      <c r="L9" s="42">
        <v>0.8</v>
      </c>
      <c r="M9" s="42">
        <v>0.4</v>
      </c>
      <c r="N9" s="42">
        <f>(L9-K9)/6</f>
        <v>0.10000000000000002</v>
      </c>
      <c r="R9" s="42" t="s">
        <v>23</v>
      </c>
    </row>
    <row r="10" spans="1:26" s="32" customFormat="1" x14ac:dyDescent="0.25">
      <c r="B10" s="32" t="s">
        <v>21</v>
      </c>
      <c r="D10" s="32" t="s">
        <v>77</v>
      </c>
      <c r="E10" s="32" t="s">
        <v>78</v>
      </c>
      <c r="G10" s="32" t="s">
        <v>63</v>
      </c>
      <c r="I10" s="32">
        <v>30</v>
      </c>
    </row>
    <row r="11" spans="1:26" s="32" customFormat="1" x14ac:dyDescent="0.25">
      <c r="B11" s="32" t="s">
        <v>21</v>
      </c>
      <c r="D11" s="32" t="s">
        <v>79</v>
      </c>
      <c r="E11" s="32" t="s">
        <v>80</v>
      </c>
      <c r="G11" s="32" t="s">
        <v>61</v>
      </c>
      <c r="I11" s="32" t="s">
        <v>81</v>
      </c>
      <c r="J11" s="32" t="s">
        <v>83</v>
      </c>
    </row>
    <row r="12" spans="1:26" customFormat="1" x14ac:dyDescent="0.25">
      <c r="C12" s="32"/>
      <c r="F12" s="33"/>
      <c r="O12" s="3"/>
      <c r="P12" s="3"/>
      <c r="S12" s="1"/>
    </row>
    <row r="13" spans="1:26" customFormat="1" x14ac:dyDescent="0.25">
      <c r="C13" s="32"/>
      <c r="F13" s="33"/>
    </row>
    <row r="14" spans="1:26" customFormat="1" x14ac:dyDescent="0.25">
      <c r="C14" s="32"/>
      <c r="F14" s="33"/>
      <c r="O14" s="3"/>
      <c r="P14" s="3"/>
      <c r="S14" s="1"/>
    </row>
    <row r="15" spans="1:26" customFormat="1" x14ac:dyDescent="0.25">
      <c r="C15" s="32"/>
      <c r="F15" s="33"/>
    </row>
    <row r="16" spans="1:26" customFormat="1" x14ac:dyDescent="0.25">
      <c r="C16" s="32"/>
      <c r="F16" s="33"/>
      <c r="H16" s="1"/>
      <c r="O16" s="3"/>
      <c r="P16" s="3"/>
      <c r="S16" s="1"/>
    </row>
    <row r="17" spans="1:25" x14ac:dyDescent="0.25">
      <c r="A17"/>
      <c r="B17"/>
      <c r="C17" s="32"/>
      <c r="D17"/>
      <c r="E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 s="25"/>
      <c r="X17" s="25"/>
      <c r="Y17" s="25"/>
    </row>
    <row r="18" spans="1:25" customFormat="1" x14ac:dyDescent="0.25">
      <c r="C18" s="32"/>
      <c r="F18" s="33"/>
      <c r="O18" s="3"/>
      <c r="P18" s="3"/>
      <c r="Q18" s="1"/>
      <c r="R18" s="25"/>
      <c r="S18" s="25"/>
    </row>
    <row r="19" spans="1:25" x14ac:dyDescent="0.25">
      <c r="C19" s="33"/>
      <c r="I19" s="1"/>
      <c r="K19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C9" sqref="C9"/>
    </sheetView>
  </sheetViews>
  <sheetFormatPr defaultColWidth="11.42578125" defaultRowHeight="15" x14ac:dyDescent="0.25"/>
  <cols>
    <col min="1" max="1" width="23" style="1" bestFit="1" customWidth="1"/>
    <col min="2" max="2" width="27.28515625" style="33" bestFit="1" customWidth="1"/>
    <col min="3" max="3" width="24.140625" style="1" bestFit="1" customWidth="1"/>
    <col min="4" max="4" width="60.42578125" style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33" customFormat="1" ht="18.75" x14ac:dyDescent="0.3">
      <c r="A1" s="5"/>
      <c r="B1" s="5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75" x14ac:dyDescent="0.25">
      <c r="A2" s="8" t="s">
        <v>459</v>
      </c>
      <c r="B2" s="14" t="s">
        <v>638</v>
      </c>
      <c r="C2" s="14" t="s">
        <v>619</v>
      </c>
      <c r="D2" s="8" t="s">
        <v>460</v>
      </c>
      <c r="E2" s="8" t="s">
        <v>7</v>
      </c>
      <c r="F2" s="8" t="s">
        <v>11</v>
      </c>
      <c r="G2" s="8" t="s">
        <v>620</v>
      </c>
      <c r="H2" s="8" t="s">
        <v>621</v>
      </c>
      <c r="I2" s="8" t="s">
        <v>622</v>
      </c>
      <c r="J2" s="8" t="s">
        <v>623</v>
      </c>
      <c r="K2" s="8" t="s">
        <v>624</v>
      </c>
      <c r="L2" s="8" t="s">
        <v>625</v>
      </c>
    </row>
    <row r="3" spans="1:13" s="14" customFormat="1" ht="47.25" x14ac:dyDescent="0.25">
      <c r="A3" s="14" t="s">
        <v>626</v>
      </c>
      <c r="B3" s="14" t="s">
        <v>639</v>
      </c>
      <c r="C3" s="14" t="s">
        <v>627</v>
      </c>
      <c r="D3" s="10" t="s">
        <v>628</v>
      </c>
      <c r="E3" s="10"/>
      <c r="F3" s="10" t="s">
        <v>629</v>
      </c>
      <c r="G3" s="10" t="s">
        <v>461</v>
      </c>
      <c r="H3" s="10" t="s">
        <v>461</v>
      </c>
      <c r="I3" s="10" t="s">
        <v>461</v>
      </c>
      <c r="J3" s="10" t="s">
        <v>630</v>
      </c>
      <c r="K3" s="15" t="s">
        <v>630</v>
      </c>
      <c r="L3" s="10" t="s">
        <v>631</v>
      </c>
      <c r="M3" s="14" t="s">
        <v>632</v>
      </c>
    </row>
    <row r="4" spans="1:13" s="33" customFormat="1" x14ac:dyDescent="0.25">
      <c r="A4" s="32" t="s">
        <v>633</v>
      </c>
      <c r="B4" s="32" t="s">
        <v>680</v>
      </c>
      <c r="C4" s="32"/>
      <c r="D4" s="32" t="s">
        <v>722</v>
      </c>
      <c r="E4" s="32" t="s">
        <v>468</v>
      </c>
      <c r="F4" s="32" t="s">
        <v>63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 x14ac:dyDescent="0.25">
      <c r="A5" s="32" t="s">
        <v>634</v>
      </c>
      <c r="B5" s="32" t="s">
        <v>681</v>
      </c>
      <c r="C5" s="32"/>
      <c r="D5" s="32" t="s">
        <v>723</v>
      </c>
      <c r="E5" s="32" t="s">
        <v>468</v>
      </c>
      <c r="F5" s="32" t="s">
        <v>63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 x14ac:dyDescent="0.25">
      <c r="A6" s="32" t="s">
        <v>635</v>
      </c>
      <c r="B6" s="32" t="s">
        <v>682</v>
      </c>
      <c r="C6" s="32"/>
      <c r="D6" s="32" t="s">
        <v>724</v>
      </c>
      <c r="E6" s="32" t="s">
        <v>468</v>
      </c>
      <c r="F6" s="32" t="s">
        <v>63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 x14ac:dyDescent="0.25">
      <c r="A7" s="32" t="s">
        <v>636</v>
      </c>
      <c r="B7" s="32" t="s">
        <v>683</v>
      </c>
      <c r="C7" s="32"/>
      <c r="D7" s="32" t="s">
        <v>725</v>
      </c>
      <c r="E7" s="32" t="s">
        <v>468</v>
      </c>
      <c r="F7" s="32" t="s">
        <v>63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 x14ac:dyDescent="0.25">
      <c r="A8" s="32" t="s">
        <v>658</v>
      </c>
      <c r="B8" s="32"/>
      <c r="C8" s="32"/>
      <c r="D8" s="32" t="s">
        <v>684</v>
      </c>
      <c r="E8" s="32" t="s">
        <v>659</v>
      </c>
      <c r="F8" s="32" t="s">
        <v>63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 x14ac:dyDescent="0.25">
      <c r="A9" s="32" t="s">
        <v>660</v>
      </c>
      <c r="B9" s="32"/>
      <c r="C9" s="32"/>
      <c r="D9" s="32" t="s">
        <v>685</v>
      </c>
      <c r="E9" s="32" t="s">
        <v>659</v>
      </c>
      <c r="F9" s="32" t="s">
        <v>63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 x14ac:dyDescent="0.25">
      <c r="A10" s="32" t="s">
        <v>661</v>
      </c>
      <c r="B10" s="32"/>
      <c r="C10" s="32"/>
      <c r="D10" s="32" t="s">
        <v>686</v>
      </c>
      <c r="E10" s="32" t="s">
        <v>659</v>
      </c>
      <c r="F10" s="32" t="s">
        <v>63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 x14ac:dyDescent="0.25">
      <c r="A11" s="32" t="s">
        <v>662</v>
      </c>
      <c r="B11" s="32"/>
      <c r="C11" s="32"/>
      <c r="D11" s="32" t="s">
        <v>687</v>
      </c>
      <c r="E11" s="32" t="s">
        <v>663</v>
      </c>
      <c r="F11" s="32" t="s">
        <v>63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 x14ac:dyDescent="0.25">
      <c r="A12" s="32" t="s">
        <v>664</v>
      </c>
      <c r="B12" s="32"/>
      <c r="C12" s="32"/>
      <c r="D12" s="32" t="s">
        <v>739</v>
      </c>
      <c r="E12" s="32" t="s">
        <v>468</v>
      </c>
      <c r="F12" s="32" t="s">
        <v>63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 x14ac:dyDescent="0.25">
      <c r="A13" s="32" t="s">
        <v>665</v>
      </c>
      <c r="B13" s="32"/>
      <c r="C13" s="32"/>
      <c r="D13" s="32" t="s">
        <v>726</v>
      </c>
      <c r="E13" s="32" t="s">
        <v>468</v>
      </c>
      <c r="F13" s="32" t="s">
        <v>63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 x14ac:dyDescent="0.25">
      <c r="A14" s="32" t="s">
        <v>666</v>
      </c>
      <c r="B14" s="32"/>
      <c r="C14" s="32"/>
      <c r="D14" s="32" t="s">
        <v>727</v>
      </c>
      <c r="E14" s="32" t="s">
        <v>468</v>
      </c>
      <c r="F14" s="32" t="s">
        <v>63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 x14ac:dyDescent="0.25">
      <c r="A15" s="32" t="s">
        <v>667</v>
      </c>
      <c r="B15" s="32"/>
      <c r="C15" s="32"/>
      <c r="D15" s="32" t="s">
        <v>728</v>
      </c>
      <c r="E15" s="32" t="s">
        <v>468</v>
      </c>
      <c r="F15" s="32" t="s">
        <v>63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 x14ac:dyDescent="0.25">
      <c r="A16" s="32" t="s">
        <v>668</v>
      </c>
      <c r="B16" s="32"/>
      <c r="C16" s="32"/>
      <c r="D16" s="32" t="s">
        <v>729</v>
      </c>
      <c r="E16" s="32" t="s">
        <v>468</v>
      </c>
      <c r="F16" s="32" t="s">
        <v>63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 x14ac:dyDescent="0.25">
      <c r="A17" s="32" t="s">
        <v>669</v>
      </c>
      <c r="D17" s="32" t="s">
        <v>730</v>
      </c>
      <c r="E17" s="32" t="s">
        <v>468</v>
      </c>
      <c r="F17" s="32" t="s">
        <v>63</v>
      </c>
      <c r="G17" s="32" t="b">
        <v>0</v>
      </c>
      <c r="H17" s="32" t="b">
        <v>1</v>
      </c>
      <c r="I17" s="32" t="b">
        <v>0</v>
      </c>
    </row>
    <row r="18" spans="1:13" s="32" customFormat="1" x14ac:dyDescent="0.25">
      <c r="A18" s="32" t="s">
        <v>670</v>
      </c>
      <c r="D18" s="32" t="s">
        <v>731</v>
      </c>
      <c r="E18" s="32" t="s">
        <v>468</v>
      </c>
      <c r="F18" s="32" t="s">
        <v>63</v>
      </c>
      <c r="G18" s="32" t="b">
        <v>0</v>
      </c>
      <c r="H18" s="32" t="b">
        <v>1</v>
      </c>
      <c r="I18" s="32" t="b">
        <v>0</v>
      </c>
    </row>
    <row r="19" spans="1:13" s="32" customFormat="1" x14ac:dyDescent="0.25">
      <c r="A19" s="32" t="s">
        <v>671</v>
      </c>
      <c r="D19" s="32" t="s">
        <v>732</v>
      </c>
      <c r="E19" s="32" t="s">
        <v>468</v>
      </c>
      <c r="F19" s="32" t="s">
        <v>63</v>
      </c>
      <c r="G19" s="32" t="b">
        <v>0</v>
      </c>
      <c r="H19" s="32" t="b">
        <v>1</v>
      </c>
      <c r="I19" s="32" t="b">
        <v>0</v>
      </c>
    </row>
    <row r="20" spans="1:13" s="32" customFormat="1" x14ac:dyDescent="0.25">
      <c r="A20" s="32" t="s">
        <v>672</v>
      </c>
      <c r="D20" s="32" t="s">
        <v>733</v>
      </c>
      <c r="E20" s="32" t="s">
        <v>468</v>
      </c>
      <c r="F20" s="32" t="s">
        <v>63</v>
      </c>
      <c r="G20" s="32" t="b">
        <v>0</v>
      </c>
      <c r="H20" s="32" t="b">
        <v>1</v>
      </c>
      <c r="I20" s="32" t="b">
        <v>0</v>
      </c>
    </row>
    <row r="21" spans="1:13" s="32" customFormat="1" x14ac:dyDescent="0.25">
      <c r="A21" s="32" t="s">
        <v>673</v>
      </c>
      <c r="D21" s="32" t="s">
        <v>734</v>
      </c>
      <c r="E21" s="32" t="s">
        <v>468</v>
      </c>
      <c r="F21" s="32" t="s">
        <v>63</v>
      </c>
      <c r="G21" s="32" t="b">
        <v>0</v>
      </c>
      <c r="H21" s="32" t="b">
        <v>1</v>
      </c>
      <c r="I21" s="32" t="b">
        <v>0</v>
      </c>
    </row>
    <row r="22" spans="1:13" s="32" customFormat="1" x14ac:dyDescent="0.25">
      <c r="A22" s="32" t="s">
        <v>674</v>
      </c>
      <c r="D22" s="32" t="s">
        <v>735</v>
      </c>
      <c r="E22" s="32" t="s">
        <v>468</v>
      </c>
      <c r="F22" s="32" t="s">
        <v>63</v>
      </c>
      <c r="G22" s="32" t="b">
        <v>0</v>
      </c>
      <c r="H22" s="32" t="b">
        <v>1</v>
      </c>
      <c r="I22" s="32" t="b">
        <v>0</v>
      </c>
    </row>
    <row r="23" spans="1:13" s="33" customFormat="1" x14ac:dyDescent="0.25">
      <c r="A23" s="32" t="s">
        <v>675</v>
      </c>
      <c r="B23" s="32"/>
      <c r="C23" s="32"/>
      <c r="D23" s="32" t="s">
        <v>736</v>
      </c>
      <c r="E23" s="32" t="s">
        <v>468</v>
      </c>
      <c r="F23" s="32" t="s">
        <v>63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 x14ac:dyDescent="0.25">
      <c r="A24" s="32" t="s">
        <v>676</v>
      </c>
      <c r="B24" s="32"/>
      <c r="C24" s="32"/>
      <c r="D24" s="32" t="s">
        <v>737</v>
      </c>
      <c r="E24" s="32" t="s">
        <v>468</v>
      </c>
      <c r="F24" s="32" t="s">
        <v>63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 x14ac:dyDescent="0.25">
      <c r="A25" s="32" t="s">
        <v>677</v>
      </c>
      <c r="B25" s="32"/>
      <c r="C25" s="32"/>
      <c r="D25" s="32" t="s">
        <v>738</v>
      </c>
      <c r="E25" s="32" t="s">
        <v>468</v>
      </c>
      <c r="F25" s="32" t="s">
        <v>63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 x14ac:dyDescent="0.25">
      <c r="A26" s="32" t="s">
        <v>678</v>
      </c>
      <c r="B26" s="32"/>
      <c r="C26" s="32"/>
      <c r="D26" s="32" t="s">
        <v>740</v>
      </c>
      <c r="E26" s="32" t="s">
        <v>679</v>
      </c>
      <c r="F26" s="32" t="s">
        <v>63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 x14ac:dyDescent="0.25">
      <c r="C27" s="32"/>
    </row>
    <row r="28" spans="1:13" x14ac:dyDescent="0.25">
      <c r="B28" s="32"/>
    </row>
    <row r="29" spans="1:13" x14ac:dyDescent="0.25">
      <c r="B29" s="32"/>
    </row>
    <row r="30" spans="1:13" x14ac:dyDescent="0.25">
      <c r="B30" s="32"/>
    </row>
    <row r="31" spans="1:13" x14ac:dyDescent="0.25">
      <c r="B31" s="32"/>
    </row>
    <row r="32" spans="1:13" x14ac:dyDescent="0.25">
      <c r="B32" s="32"/>
    </row>
    <row r="33" spans="2:2" x14ac:dyDescent="0.25">
      <c r="B33" s="32"/>
    </row>
    <row r="34" spans="2:2" x14ac:dyDescent="0.25">
      <c r="B34" s="32"/>
    </row>
    <row r="35" spans="2:2" x14ac:dyDescent="0.25">
      <c r="B35" s="32"/>
    </row>
    <row r="36" spans="2:2" x14ac:dyDescent="0.25">
      <c r="B36" s="32"/>
    </row>
    <row r="37" spans="2:2" x14ac:dyDescent="0.25">
      <c r="B37" s="32"/>
    </row>
    <row r="38" spans="2:2" x14ac:dyDescent="0.25">
      <c r="B38" s="32"/>
    </row>
    <row r="39" spans="2:2" x14ac:dyDescent="0.25">
      <c r="B39" s="32"/>
    </row>
    <row r="40" spans="2:2" x14ac:dyDescent="0.25">
      <c r="B40" s="32"/>
    </row>
    <row r="41" spans="2:2" x14ac:dyDescent="0.25">
      <c r="B41" s="32"/>
    </row>
    <row r="42" spans="2:2" x14ac:dyDescent="0.25">
      <c r="B42" s="32"/>
    </row>
    <row r="43" spans="2:2" x14ac:dyDescent="0.25">
      <c r="B43" s="32"/>
    </row>
    <row r="44" spans="2:2" x14ac:dyDescent="0.25">
      <c r="B44" s="32"/>
    </row>
    <row r="45" spans="2:2" x14ac:dyDescent="0.25">
      <c r="B45" s="32"/>
    </row>
    <row r="46" spans="2:2" x14ac:dyDescent="0.25">
      <c r="B46" s="32"/>
    </row>
    <row r="47" spans="2:2" x14ac:dyDescent="0.25">
      <c r="B47" s="32"/>
    </row>
    <row r="48" spans="2:2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  <row r="63" spans="2:2" x14ac:dyDescent="0.25">
      <c r="B63" s="32"/>
    </row>
    <row r="64" spans="2:2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79"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75" x14ac:dyDescent="0.25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75" x14ac:dyDescent="0.25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75" x14ac:dyDescent="0.25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75" x14ac:dyDescent="0.25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75" x14ac:dyDescent="0.25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75" x14ac:dyDescent="0.25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75" x14ac:dyDescent="0.25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75" x14ac:dyDescent="0.25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75" x14ac:dyDescent="0.25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75" x14ac:dyDescent="0.25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75" x14ac:dyDescent="0.25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75" x14ac:dyDescent="0.25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75" x14ac:dyDescent="0.25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75" x14ac:dyDescent="0.25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75" x14ac:dyDescent="0.25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75" x14ac:dyDescent="0.25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75" x14ac:dyDescent="0.25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75" x14ac:dyDescent="0.25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75" x14ac:dyDescent="0.25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75" x14ac:dyDescent="0.25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75" x14ac:dyDescent="0.25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75" x14ac:dyDescent="0.25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75" x14ac:dyDescent="0.25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75" x14ac:dyDescent="0.25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75" x14ac:dyDescent="0.25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75" x14ac:dyDescent="0.25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75" x14ac:dyDescent="0.25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75" x14ac:dyDescent="0.25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75" x14ac:dyDescent="0.25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75" x14ac:dyDescent="0.25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67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61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63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61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61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67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61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61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7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F22" sqref="F2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654</v>
      </c>
      <c r="E1" t="s">
        <v>5</v>
      </c>
    </row>
    <row r="2" spans="1:7" s="32" customFormat="1" x14ac:dyDescent="0.25">
      <c r="A2" s="32" t="s">
        <v>640</v>
      </c>
      <c r="B2" s="32" t="s">
        <v>641</v>
      </c>
      <c r="C2" s="32" t="s">
        <v>642</v>
      </c>
      <c r="D2" s="32" t="s">
        <v>643</v>
      </c>
      <c r="E2" s="32" t="s">
        <v>651</v>
      </c>
    </row>
    <row r="3" spans="1:7" s="32" customFormat="1" x14ac:dyDescent="0.25">
      <c r="A3" s="32" t="s">
        <v>591</v>
      </c>
      <c r="B3" s="32" t="s">
        <v>444</v>
      </c>
      <c r="C3" s="32" t="s">
        <v>592</v>
      </c>
      <c r="D3" s="32" t="s">
        <v>644</v>
      </c>
      <c r="E3" s="32" t="s">
        <v>652</v>
      </c>
    </row>
    <row r="4" spans="1:7" s="32" customFormat="1" x14ac:dyDescent="0.25">
      <c r="A4" s="32" t="s">
        <v>593</v>
      </c>
      <c r="B4" s="32" t="s">
        <v>445</v>
      </c>
      <c r="C4" s="32" t="s">
        <v>594</v>
      </c>
      <c r="D4" s="32" t="s">
        <v>645</v>
      </c>
      <c r="E4" s="32" t="s">
        <v>652</v>
      </c>
    </row>
    <row r="5" spans="1:7" s="32" customFormat="1" x14ac:dyDescent="0.25">
      <c r="A5" s="32" t="s">
        <v>595</v>
      </c>
      <c r="B5" s="32" t="s">
        <v>446</v>
      </c>
      <c r="C5" s="32" t="s">
        <v>596</v>
      </c>
      <c r="D5" s="32" t="s">
        <v>646</v>
      </c>
      <c r="E5" s="32" t="s">
        <v>652</v>
      </c>
    </row>
    <row r="6" spans="1:7" s="32" customFormat="1" x14ac:dyDescent="0.25">
      <c r="A6" s="32" t="s">
        <v>597</v>
      </c>
      <c r="B6" s="32" t="s">
        <v>444</v>
      </c>
      <c r="C6" s="32" t="s">
        <v>598</v>
      </c>
      <c r="D6" s="32" t="s">
        <v>647</v>
      </c>
      <c r="E6" s="32" t="s">
        <v>694</v>
      </c>
    </row>
    <row r="7" spans="1:7" s="32" customFormat="1" x14ac:dyDescent="0.25">
      <c r="A7" s="32" t="s">
        <v>599</v>
      </c>
      <c r="B7" s="32" t="s">
        <v>445</v>
      </c>
      <c r="C7" s="32" t="s">
        <v>600</v>
      </c>
      <c r="D7" s="32" t="s">
        <v>645</v>
      </c>
      <c r="E7" s="32" t="s">
        <v>694</v>
      </c>
    </row>
    <row r="8" spans="1:7" s="32" customFormat="1" x14ac:dyDescent="0.25">
      <c r="A8" s="32" t="s">
        <v>439</v>
      </c>
      <c r="B8" s="32" t="s">
        <v>446</v>
      </c>
      <c r="C8" s="32" t="s">
        <v>601</v>
      </c>
      <c r="D8" s="32" t="s">
        <v>646</v>
      </c>
      <c r="E8" s="32" t="s">
        <v>695</v>
      </c>
    </row>
    <row r="9" spans="1:7" s="32" customFormat="1" x14ac:dyDescent="0.25">
      <c r="A9" s="32" t="s">
        <v>602</v>
      </c>
      <c r="B9" s="32" t="s">
        <v>447</v>
      </c>
      <c r="C9" s="32" t="s">
        <v>603</v>
      </c>
      <c r="D9" s="32" t="s">
        <v>648</v>
      </c>
      <c r="E9" s="32" t="s">
        <v>695</v>
      </c>
    </row>
    <row r="10" spans="1:7" x14ac:dyDescent="0.25">
      <c r="A10" s="32" t="s">
        <v>604</v>
      </c>
      <c r="B10" s="32" t="s">
        <v>649</v>
      </c>
      <c r="C10" s="32" t="s">
        <v>605</v>
      </c>
      <c r="D10" s="32" t="s">
        <v>650</v>
      </c>
      <c r="E10" s="32" t="s">
        <v>695</v>
      </c>
    </row>
    <row r="11" spans="1:7" s="32" customFormat="1" x14ac:dyDescent="0.25">
      <c r="A11" s="32" t="s">
        <v>696</v>
      </c>
      <c r="B11" s="32" t="s">
        <v>445</v>
      </c>
      <c r="C11" s="32" t="s">
        <v>697</v>
      </c>
      <c r="D11" s="32" t="s">
        <v>698</v>
      </c>
      <c r="E11" s="32" t="s">
        <v>653</v>
      </c>
    </row>
    <row r="12" spans="1:7" s="32" customFormat="1" x14ac:dyDescent="0.25">
      <c r="A12" s="32" t="s">
        <v>699</v>
      </c>
      <c r="B12" s="32" t="s">
        <v>446</v>
      </c>
      <c r="C12" s="32" t="s">
        <v>700</v>
      </c>
      <c r="D12" s="32" t="s">
        <v>698</v>
      </c>
      <c r="E12" s="32" t="s">
        <v>653</v>
      </c>
    </row>
    <row r="13" spans="1:7" s="32" customFormat="1" x14ac:dyDescent="0.25"/>
    <row r="14" spans="1:7" s="32" customFormat="1" x14ac:dyDescent="0.25"/>
    <row r="15" spans="1:7" x14ac:dyDescent="0.25">
      <c r="A15" t="s">
        <v>571</v>
      </c>
      <c r="C15" s="18" t="s">
        <v>555</v>
      </c>
      <c r="E15" t="s">
        <v>556</v>
      </c>
      <c r="G15" t="s">
        <v>573</v>
      </c>
    </row>
    <row r="16" spans="1:7" x14ac:dyDescent="0.25">
      <c r="A16" t="s">
        <v>454</v>
      </c>
      <c r="C16" t="b">
        <v>1</v>
      </c>
      <c r="E16" t="s">
        <v>557</v>
      </c>
      <c r="G16" t="s">
        <v>465</v>
      </c>
    </row>
    <row r="17" spans="1:21" x14ac:dyDescent="0.25">
      <c r="A17" t="s">
        <v>452</v>
      </c>
      <c r="C17" t="b">
        <v>0</v>
      </c>
      <c r="E17" t="s">
        <v>545</v>
      </c>
    </row>
    <row r="18" spans="1:21" s="32" customFormat="1" x14ac:dyDescent="0.25"/>
    <row r="20" spans="1:21" x14ac:dyDescent="0.25">
      <c r="A20" t="s">
        <v>549</v>
      </c>
      <c r="C20" t="s">
        <v>550</v>
      </c>
      <c r="F20" t="s">
        <v>15</v>
      </c>
      <c r="I20" t="s">
        <v>558</v>
      </c>
      <c r="L20" t="s">
        <v>561</v>
      </c>
      <c r="O20" t="s">
        <v>565</v>
      </c>
      <c r="R20" s="32" t="s">
        <v>553</v>
      </c>
      <c r="U20" s="32" t="s">
        <v>554</v>
      </c>
    </row>
    <row r="21" spans="1:21" x14ac:dyDescent="0.25">
      <c r="A21" t="s">
        <v>550</v>
      </c>
      <c r="F21" t="s">
        <v>572</v>
      </c>
      <c r="G21" t="s">
        <v>454</v>
      </c>
      <c r="H21" t="s">
        <v>574</v>
      </c>
      <c r="I21" s="1" t="s">
        <v>539</v>
      </c>
      <c r="J21" s="31">
        <v>0.01</v>
      </c>
      <c r="K21" s="33" t="s">
        <v>579</v>
      </c>
      <c r="L21" s="1" t="s">
        <v>563</v>
      </c>
      <c r="M21">
        <v>30</v>
      </c>
      <c r="N21" t="s">
        <v>581</v>
      </c>
      <c r="O21" t="s">
        <v>4</v>
      </c>
      <c r="P21">
        <v>30</v>
      </c>
      <c r="Q21" s="32" t="s">
        <v>581</v>
      </c>
    </row>
    <row r="22" spans="1:21" x14ac:dyDescent="0.25">
      <c r="A22" t="s">
        <v>15</v>
      </c>
      <c r="F22" t="s">
        <v>4</v>
      </c>
      <c r="G22">
        <v>30</v>
      </c>
      <c r="H22" t="s">
        <v>590</v>
      </c>
      <c r="I22" s="1" t="s">
        <v>544</v>
      </c>
      <c r="J22" s="31">
        <v>0.01</v>
      </c>
      <c r="K22" t="s">
        <v>578</v>
      </c>
      <c r="L22" s="33" t="s">
        <v>566</v>
      </c>
      <c r="M22">
        <v>5</v>
      </c>
      <c r="N22" s="32" t="s">
        <v>580</v>
      </c>
      <c r="O22" s="33" t="s">
        <v>566</v>
      </c>
      <c r="P22">
        <v>3</v>
      </c>
      <c r="Q22" t="s">
        <v>580</v>
      </c>
    </row>
    <row r="23" spans="1:21" x14ac:dyDescent="0.25">
      <c r="A23" t="s">
        <v>543</v>
      </c>
      <c r="I23" s="1" t="s">
        <v>559</v>
      </c>
      <c r="J23" s="31">
        <v>45036000000000</v>
      </c>
      <c r="K23" t="s">
        <v>577</v>
      </c>
      <c r="L23" s="1" t="s">
        <v>562</v>
      </c>
      <c r="M23">
        <v>2</v>
      </c>
      <c r="N23" t="s">
        <v>585</v>
      </c>
      <c r="O23" s="33" t="s">
        <v>567</v>
      </c>
      <c r="P23">
        <v>0.85</v>
      </c>
      <c r="Q23" t="s">
        <v>586</v>
      </c>
    </row>
    <row r="24" spans="1:21" x14ac:dyDescent="0.25">
      <c r="A24" t="s">
        <v>552</v>
      </c>
      <c r="I24" s="1" t="s">
        <v>560</v>
      </c>
      <c r="J24">
        <v>100</v>
      </c>
      <c r="K24" t="s">
        <v>576</v>
      </c>
      <c r="L24" t="s">
        <v>582</v>
      </c>
      <c r="M24">
        <v>2</v>
      </c>
      <c r="N24" t="s">
        <v>583</v>
      </c>
      <c r="O24" s="33" t="s">
        <v>568</v>
      </c>
      <c r="P24">
        <v>2</v>
      </c>
      <c r="Q24" t="s">
        <v>588</v>
      </c>
    </row>
    <row r="25" spans="1:21" x14ac:dyDescent="0.25">
      <c r="A25" t="s">
        <v>551</v>
      </c>
      <c r="I25" s="1" t="s">
        <v>540</v>
      </c>
      <c r="J25" s="33" t="s">
        <v>541</v>
      </c>
      <c r="L25" s="1" t="s">
        <v>564</v>
      </c>
      <c r="M25" s="31">
        <v>0.01</v>
      </c>
      <c r="N25" s="33" t="s">
        <v>584</v>
      </c>
      <c r="O25" s="33" t="s">
        <v>569</v>
      </c>
      <c r="P25">
        <v>2</v>
      </c>
      <c r="Q25" s="32" t="s">
        <v>589</v>
      </c>
    </row>
    <row r="26" spans="1:21" x14ac:dyDescent="0.25">
      <c r="A26" t="s">
        <v>553</v>
      </c>
      <c r="I26" s="1" t="s">
        <v>542</v>
      </c>
      <c r="J26" s="33">
        <v>2</v>
      </c>
      <c r="K26" t="s">
        <v>575</v>
      </c>
      <c r="L26" s="1" t="s">
        <v>539</v>
      </c>
      <c r="M26" s="31">
        <v>0.01</v>
      </c>
      <c r="N26" s="33" t="s">
        <v>579</v>
      </c>
      <c r="O26" s="33" t="s">
        <v>570</v>
      </c>
      <c r="P26">
        <v>0.8</v>
      </c>
      <c r="Q26" t="s">
        <v>587</v>
      </c>
    </row>
    <row r="27" spans="1:21" x14ac:dyDescent="0.25">
      <c r="A27" t="s">
        <v>554</v>
      </c>
      <c r="L27" s="1" t="s">
        <v>544</v>
      </c>
      <c r="M27" s="31">
        <v>0.01</v>
      </c>
      <c r="N27" s="32" t="s">
        <v>578</v>
      </c>
      <c r="O27" s="33" t="s">
        <v>540</v>
      </c>
      <c r="P27" s="33" t="s">
        <v>541</v>
      </c>
    </row>
    <row r="28" spans="1:21" x14ac:dyDescent="0.25">
      <c r="L28" s="1" t="s">
        <v>559</v>
      </c>
      <c r="M28" s="31">
        <v>45036000000000</v>
      </c>
      <c r="N28" s="32" t="s">
        <v>577</v>
      </c>
      <c r="O28" s="33" t="s">
        <v>542</v>
      </c>
      <c r="P28" s="33">
        <v>2</v>
      </c>
      <c r="Q28" s="32" t="s">
        <v>575</v>
      </c>
    </row>
    <row r="29" spans="1:21" x14ac:dyDescent="0.25">
      <c r="L29" s="1" t="s">
        <v>560</v>
      </c>
      <c r="M29" s="32">
        <v>100</v>
      </c>
      <c r="N29" s="32" t="s">
        <v>576</v>
      </c>
    </row>
    <row r="30" spans="1:21" x14ac:dyDescent="0.25">
      <c r="L30" s="1" t="s">
        <v>540</v>
      </c>
      <c r="M30" s="33" t="s">
        <v>541</v>
      </c>
    </row>
    <row r="31" spans="1:21" x14ac:dyDescent="0.25">
      <c r="L31" s="1" t="s">
        <v>542</v>
      </c>
      <c r="M31" s="33">
        <v>2</v>
      </c>
      <c r="N31" s="32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2014-11-12T19:22:54Z</dcterms:modified>
</cp:coreProperties>
</file>