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339D8A3B-3906-4ADF-A46E-454C782D71FE}" xr6:coauthVersionLast="47" xr6:coauthVersionMax="47" xr10:uidLastSave="{00000000-0000-0000-0000-000000000000}"/>
  <bookViews>
    <workbookView xWindow="28680" yWindow="-6405" windowWidth="29040" windowHeight="15840" activeTab="1" xr2:uid="{101BAE51-11A4-4817-B77F-32B77C54A859}"/>
  </bookViews>
  <sheets>
    <sheet name="input-Installs-Subset-CommUtili" sheetId="1" r:id="rId1"/>
    <sheet name="SectorInstalls" sheetId="3" r:id="rId2"/>
    <sheet name="raw and mat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3" l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4" i="3"/>
  <c r="P5" i="3"/>
  <c r="P6" i="3"/>
  <c r="P7" i="3"/>
  <c r="P4" i="3"/>
  <c r="R4" i="3"/>
  <c r="R5" i="3"/>
  <c r="R6" i="3"/>
  <c r="R7" i="3"/>
  <c r="R8" i="3"/>
  <c r="E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4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P23" i="3"/>
  <c r="P24" i="3"/>
  <c r="Q24" i="3"/>
  <c r="P25" i="3"/>
  <c r="P26" i="3"/>
  <c r="P27" i="3"/>
  <c r="P29" i="3"/>
  <c r="Q29" i="3"/>
  <c r="P30" i="3"/>
  <c r="Q8" i="3"/>
  <c r="P8" i="3"/>
  <c r="K30" i="3"/>
  <c r="Q30" i="3" s="1"/>
  <c r="K29" i="3"/>
  <c r="K28" i="3"/>
  <c r="Q28" i="3" s="1"/>
  <c r="K27" i="3"/>
  <c r="Q27" i="3" s="1"/>
  <c r="K26" i="3"/>
  <c r="Q26" i="3" s="1"/>
  <c r="K25" i="3"/>
  <c r="Q25" i="3" s="1"/>
  <c r="K24" i="3"/>
  <c r="K23" i="3"/>
  <c r="Q23" i="3" s="1"/>
  <c r="K22" i="3"/>
  <c r="Q22" i="3" s="1"/>
  <c r="AR17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16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16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P17" i="2"/>
  <c r="AQ17" i="2" s="1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16" i="2"/>
  <c r="AQ16" i="2" s="1"/>
  <c r="G7" i="3" l="1"/>
  <c r="H11" i="3"/>
  <c r="G17" i="3"/>
  <c r="G9" i="3"/>
  <c r="G4" i="3"/>
  <c r="H4" i="3"/>
  <c r="G5" i="3"/>
  <c r="H5" i="3"/>
  <c r="G6" i="3"/>
  <c r="H6" i="3"/>
  <c r="G8" i="3"/>
  <c r="H8" i="3"/>
  <c r="H9" i="3"/>
  <c r="G10" i="3"/>
  <c r="H10" i="3"/>
  <c r="G11" i="3"/>
  <c r="G12" i="3"/>
  <c r="H12" i="3"/>
  <c r="G13" i="3"/>
  <c r="H13" i="3"/>
  <c r="G14" i="3"/>
  <c r="H14" i="3"/>
  <c r="G15" i="3"/>
  <c r="H15" i="3"/>
  <c r="G16" i="3"/>
  <c r="H16" i="3"/>
  <c r="H17" i="3"/>
  <c r="G18" i="3"/>
  <c r="H18" i="3"/>
  <c r="AF18" i="2"/>
  <c r="AF19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5" i="2"/>
  <c r="AI5" i="2" s="1"/>
  <c r="AF6" i="2"/>
  <c r="AF7" i="2"/>
  <c r="AF8" i="2"/>
  <c r="AF9" i="2"/>
  <c r="AF10" i="2"/>
  <c r="AF11" i="2"/>
  <c r="AF12" i="2"/>
  <c r="AF13" i="2"/>
  <c r="AF14" i="2"/>
  <c r="AF15" i="2"/>
  <c r="AF16" i="2"/>
  <c r="AF17" i="2"/>
  <c r="AF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5" i="2"/>
  <c r="AI6" i="2"/>
  <c r="AJ4" i="2"/>
  <c r="AI4" i="2"/>
  <c r="AH5" i="2"/>
  <c r="AH4" i="2"/>
  <c r="AE4" i="2"/>
  <c r="AF4" i="2"/>
  <c r="AG4" i="2"/>
  <c r="AD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4" i="2"/>
  <c r="G20" i="3"/>
  <c r="G21" i="3"/>
  <c r="G22" i="3"/>
  <c r="G23" i="3"/>
  <c r="G24" i="3"/>
  <c r="G25" i="3"/>
  <c r="G26" i="3"/>
  <c r="G27" i="3"/>
  <c r="G28" i="3"/>
  <c r="G29" i="3"/>
  <c r="G30" i="3"/>
  <c r="G19" i="3"/>
  <c r="H20" i="3"/>
  <c r="H21" i="3"/>
  <c r="H22" i="3"/>
  <c r="H23" i="3"/>
  <c r="H24" i="3"/>
  <c r="H25" i="3"/>
  <c r="H26" i="3"/>
  <c r="H27" i="3"/>
  <c r="H28" i="3"/>
  <c r="H29" i="3"/>
  <c r="H30" i="3"/>
  <c r="H19" i="3"/>
  <c r="N3" i="1"/>
  <c r="L29" i="1"/>
  <c r="K29" i="1"/>
  <c r="I30" i="2"/>
  <c r="H7" i="3" l="1"/>
  <c r="AJ5" i="2"/>
  <c r="AI7" i="2"/>
  <c r="AI19" i="2"/>
  <c r="AI15" i="2"/>
  <c r="AH14" i="2"/>
  <c r="AH7" i="2"/>
  <c r="AJ7" i="2" s="1"/>
  <c r="AI14" i="2"/>
  <c r="AJ14" i="2" s="1"/>
  <c r="AI13" i="2"/>
  <c r="AI12" i="2"/>
  <c r="AH17" i="2"/>
  <c r="AI11" i="2"/>
  <c r="AI18" i="2"/>
  <c r="AI10" i="2"/>
  <c r="AH16" i="2"/>
  <c r="AI17" i="2"/>
  <c r="AI9" i="2"/>
  <c r="AH15" i="2"/>
  <c r="AI16" i="2"/>
  <c r="AI8" i="2"/>
  <c r="AH12" i="2"/>
  <c r="AJ12" i="2" s="1"/>
  <c r="AH11" i="2"/>
  <c r="AH8" i="2"/>
  <c r="AH6" i="2"/>
  <c r="AJ6" i="2" s="1"/>
  <c r="AH13" i="2"/>
  <c r="AH10" i="2"/>
  <c r="AD18" i="2"/>
  <c r="AH9" i="2"/>
  <c r="N4" i="1"/>
  <c r="N5" i="1"/>
  <c r="N6" i="1"/>
  <c r="O8" i="2"/>
  <c r="P8" i="2" s="1"/>
  <c r="E9" i="2"/>
  <c r="O9" i="2"/>
  <c r="P9" i="2" s="1"/>
  <c r="E10" i="2"/>
  <c r="M10" i="2"/>
  <c r="O10" i="2" s="1"/>
  <c r="N10" i="2"/>
  <c r="E11" i="2"/>
  <c r="M11" i="2"/>
  <c r="O11" i="2" s="1"/>
  <c r="P11" i="2" s="1"/>
  <c r="N11" i="2"/>
  <c r="E12" i="2"/>
  <c r="M12" i="2"/>
  <c r="N12" i="2"/>
  <c r="O12" i="2"/>
  <c r="P12" i="2"/>
  <c r="E13" i="2"/>
  <c r="M13" i="2"/>
  <c r="P13" i="2" s="1"/>
  <c r="N13" i="2"/>
  <c r="O13" i="2"/>
  <c r="E14" i="2"/>
  <c r="M14" i="2"/>
  <c r="O14" i="2" s="1"/>
  <c r="N14" i="2"/>
  <c r="E15" i="2"/>
  <c r="M15" i="2"/>
  <c r="O15" i="2" s="1"/>
  <c r="N15" i="2"/>
  <c r="E16" i="2"/>
  <c r="M16" i="2"/>
  <c r="N16" i="2"/>
  <c r="O16" i="2"/>
  <c r="P16" i="2"/>
  <c r="E17" i="2"/>
  <c r="M17" i="2"/>
  <c r="P17" i="2" s="1"/>
  <c r="N17" i="2"/>
  <c r="O17" i="2"/>
  <c r="E18" i="2"/>
  <c r="I18" i="2"/>
  <c r="T18" i="2"/>
  <c r="U18" i="2"/>
  <c r="V18" i="2" s="1"/>
  <c r="W18" i="2" s="1"/>
  <c r="B19" i="2"/>
  <c r="C19" i="2"/>
  <c r="D19" i="2"/>
  <c r="E19" i="2"/>
  <c r="I19" i="2"/>
  <c r="V19" i="2"/>
  <c r="W19" i="2" s="1"/>
  <c r="B20" i="2"/>
  <c r="C20" i="2"/>
  <c r="E20" i="2" s="1"/>
  <c r="D20" i="2"/>
  <c r="I20" i="2"/>
  <c r="V20" i="2"/>
  <c r="W20" i="2" s="1"/>
  <c r="B21" i="2"/>
  <c r="C21" i="2"/>
  <c r="E21" i="2" s="1"/>
  <c r="D21" i="2"/>
  <c r="I21" i="2"/>
  <c r="T21" i="2"/>
  <c r="U21" i="2"/>
  <c r="V21" i="2" s="1"/>
  <c r="W21" i="2" s="1"/>
  <c r="I22" i="2"/>
  <c r="Q22" i="2"/>
  <c r="U22" i="2"/>
  <c r="V22" i="2"/>
  <c r="W22" i="2"/>
  <c r="I23" i="2"/>
  <c r="I24" i="2"/>
  <c r="I25" i="2"/>
  <c r="I26" i="2"/>
  <c r="I27" i="2"/>
  <c r="I28" i="2"/>
  <c r="I29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G48" i="2"/>
  <c r="H48" i="2"/>
  <c r="I48" i="2"/>
  <c r="E49" i="2"/>
  <c r="F49" i="2"/>
  <c r="G49" i="2"/>
  <c r="H49" i="2"/>
  <c r="I49" i="2"/>
  <c r="E50" i="2"/>
  <c r="F50" i="2"/>
  <c r="G50" i="2"/>
  <c r="H50" i="2"/>
  <c r="I50" i="2"/>
  <c r="K17" i="1"/>
  <c r="N1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18" i="1"/>
  <c r="N18" i="1" s="1"/>
  <c r="K7" i="1"/>
  <c r="N7" i="1" s="1"/>
  <c r="AJ9" i="2" l="1"/>
  <c r="AJ15" i="2"/>
  <c r="AJ17" i="2"/>
  <c r="AJ13" i="2"/>
  <c r="AJ10" i="2"/>
  <c r="AJ8" i="2"/>
  <c r="AJ11" i="2"/>
  <c r="AJ16" i="2"/>
  <c r="AD19" i="2"/>
  <c r="AH19" i="2" s="1"/>
  <c r="AJ19" i="2" s="1"/>
  <c r="AH18" i="2"/>
  <c r="AJ18" i="2" s="1"/>
  <c r="J17" i="1"/>
  <c r="P14" i="2"/>
  <c r="P15" i="2"/>
  <c r="P10" i="2"/>
  <c r="L19" i="1"/>
  <c r="L20" i="1"/>
  <c r="L21" i="1"/>
  <c r="L22" i="1"/>
  <c r="L23" i="1"/>
  <c r="L24" i="1"/>
  <c r="L25" i="1"/>
  <c r="L26" i="1"/>
  <c r="L27" i="1"/>
  <c r="L28" i="1"/>
  <c r="L18" i="1"/>
  <c r="L17" i="1"/>
  <c r="L8" i="1"/>
  <c r="L9" i="1"/>
  <c r="L10" i="1"/>
  <c r="L11" i="1"/>
  <c r="L12" i="1"/>
  <c r="L13" i="1"/>
  <c r="L14" i="1"/>
  <c r="L15" i="1"/>
  <c r="L16" i="1"/>
  <c r="L4" i="1"/>
  <c r="L5" i="1"/>
  <c r="L6" i="1"/>
  <c r="L7" i="1"/>
  <c r="L3" i="1"/>
</calcChain>
</file>

<file path=xl/sharedStrings.xml><?xml version="1.0" encoding="utf-8"?>
<sst xmlns="http://schemas.openxmlformats.org/spreadsheetml/2006/main" count="181" uniqueCount="76">
  <si>
    <t>“U.S. Solar Market Insight Report: 2012 Year in Review Full Report,” Greentech Media Inc. &amp; SEIA, 2013.</t>
  </si>
  <si>
    <t>Sherwood, 2009, Fig. 2 bar digitized</t>
  </si>
  <si>
    <t>Wood Mackenzie</t>
  </si>
  <si>
    <t>Year</t>
  </si>
  <si>
    <t>MWdc</t>
  </si>
  <si>
    <t>PCT</t>
  </si>
  <si>
    <t>CALCULATED</t>
  </si>
  <si>
    <t>Sherwood 2013, Fig 2</t>
  </si>
  <si>
    <t>[1168]</t>
  </si>
  <si>
    <t>Utility</t>
  </si>
  <si>
    <t>Commercial</t>
  </si>
  <si>
    <t>Residential</t>
  </si>
  <si>
    <t>BAR</t>
  </si>
  <si>
    <t>Actual</t>
  </si>
  <si>
    <t>BAR CHART INCREMENT</t>
  </si>
  <si>
    <t>Comm+Utility</t>
  </si>
  <si>
    <t>Utilitty</t>
  </si>
  <si>
    <t>% comm+Utility</t>
  </si>
  <si>
    <t>TOTAL (MWdc)</t>
  </si>
  <si>
    <t>%Comm+Utility</t>
  </si>
  <si>
    <t>Total Installs</t>
  </si>
  <si>
    <t xml:space="preserve"> Non-Residential</t>
  </si>
  <si>
    <t>Annual Installed, Grid Connected MWdc</t>
  </si>
  <si>
    <t>Annual Installed Capacity MWdc</t>
  </si>
  <si>
    <t>Installations (MWdc)</t>
  </si>
  <si>
    <t>Sherwood, 2013</t>
  </si>
  <si>
    <t>c-Si Marketshare</t>
  </si>
  <si>
    <t>All_Marketshare</t>
  </si>
  <si>
    <t>Comm+Utility c-Si PV US Installs</t>
  </si>
  <si>
    <t>PCT of installs</t>
  </si>
  <si>
    <t>K. Bolcar and K. Ardani, “National Survey Report of PV Power Applications in the United States 2010,” IEA-PVPS, National Survey T1-19:2010, 2010. [Online]. Available: https://iea-pvps.org/national-survey-reports/.</t>
  </si>
  <si>
    <t>Total</t>
  </si>
  <si>
    <t>Source</t>
  </si>
  <si>
    <t>Wood Mackenzie Year in review 2021</t>
  </si>
  <si>
    <t>“U.S. Solar Market Insight Report: 2012 Year in Review Full Report,” Greentech Media Inc. &amp; SEIA, 2013. Fig. 2.1</t>
  </si>
  <si>
    <t>BAR CHART Fig 2.1</t>
  </si>
  <si>
    <t>Off Grid Residential</t>
  </si>
  <si>
    <t>Off Grid Non-Domestic</t>
  </si>
  <si>
    <t>On Grid Centralized Utility</t>
  </si>
  <si>
    <t>CUMULATIVE</t>
  </si>
  <si>
    <t>OnGrid Residential+comm</t>
  </si>
  <si>
    <t>Annual Additions</t>
  </si>
  <si>
    <t>Total OnGrid</t>
  </si>
  <si>
    <t>% on grid</t>
  </si>
  <si>
    <t>K. Bolcar and K. Ardani, “National Survey Report of PV Power Applications in the United States 2010,” IEA-PVPS, National Survey T1-19:2010, 2010. [Online]. Available: https://iea-pvps.org/national-survey-reports/. On grid only</t>
  </si>
  <si>
    <t>https://iea-pvps.org/wp-content/uploads/2020/01/tr_1995_01.pdf</t>
  </si>
  <si>
    <t>G. Barbose and N. Darghouth, “Tracking the Sun 2019,” LBNL, Oct. 2019. Accessed: Aug. 13, 2020. [Online]. Available: https://emp.lbl.gov/sites/default/files/tracking_the_sun_2019_report.pdf.</t>
  </si>
  <si>
    <t>Wood Mackenzie US PV leaderboard Q3 2022, First Solar Market Share</t>
  </si>
  <si>
    <t>Wood Mackenzie US PV Capacity Data Q3 2022</t>
  </si>
  <si>
    <t>Bolinger, Mark, Joachim Seel, Cody Warner, and Dana Robson. 2022. “Utility-Scale Solar, 2022 Edition: Empirical Trends in Deployment, Technology, Cost, Performance, PPA Pricing, and Value in the United States.” None, 1888246, ark:/13030/qt7496x1pc. https://doi.org/10.2172/1888246.</t>
  </si>
  <si>
    <t>Utility Scale c-Si</t>
  </si>
  <si>
    <t>Utility Scale TF</t>
  </si>
  <si>
    <t>Annual Installs MW AC</t>
  </si>
  <si>
    <t>Annual Installs GWAC</t>
  </si>
  <si>
    <t>Sum utility installs (less than utility installs column)</t>
  </si>
  <si>
    <t>% c-Si/total utility installs</t>
  </si>
  <si>
    <t>%c-Si utility-TF installs</t>
  </si>
  <si>
    <t>% c-Si of projects</t>
  </si>
  <si>
    <t xml:space="preserve"> </t>
  </si>
  <si>
    <t>Annual Installs [MWdc]</t>
  </si>
  <si>
    <t>the report uses this ratio for graphing</t>
  </si>
  <si>
    <t>all technologies</t>
  </si>
  <si>
    <t>Annual Installs, c-Si [MWdc]</t>
  </si>
  <si>
    <t>Residential c-Si</t>
  </si>
  <si>
    <t>Commercial c-Si</t>
  </si>
  <si>
    <t>Utility c-Si</t>
  </si>
  <si>
    <t>Reliability for each sector</t>
  </si>
  <si>
    <t>T50</t>
  </si>
  <si>
    <t>T90</t>
  </si>
  <si>
    <t>Silicon Marketshare [%]</t>
  </si>
  <si>
    <t>Residential MrktShr</t>
  </si>
  <si>
    <t>Commercial MrktShr</t>
  </si>
  <si>
    <t>Utility MrktShr</t>
  </si>
  <si>
    <t>year</t>
  </si>
  <si>
    <t>All Sector All Tech Installs_[MWdc]</t>
  </si>
  <si>
    <t>All Sector c-Si Installs_[MWdc]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</si>
</sst>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7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0"/>
      <color theme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10" fillId="0" borderId="0"/>
    <xf numFmtId="0" fontId="13" fillId="0" borderId="0" applyNumberFormat="0" applyFill="0" applyBorder="0" applyAlignment="0" applyProtection="0"/>
    <xf numFmtId="0" fontId="8" fillId="0" borderId="0"/>
    <xf numFmtId="0" fontId="14" fillId="0" borderId="0"/>
    <xf numFmtId="9" fontId="8" fillId="0" borderId="0" applyFont="0" applyFill="0" applyBorder="0" applyAlignment="0" applyProtection="0"/>
    <xf numFmtId="0" fontId="9" fillId="0" borderId="0"/>
    <xf numFmtId="0" fontId="9" fillId="0" borderId="0"/>
    <xf numFmtId="43" fontId="8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9" fontId="0" fillId="0" borderId="0" xfId="1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left" vertical="center" indent="1"/>
    </xf>
    <xf numFmtId="0" fontId="0" fillId="4" borderId="0" xfId="0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0" xfId="0" applyFont="1"/>
    <xf numFmtId="0" fontId="5" fillId="0" borderId="0" xfId="0" applyFont="1"/>
    <xf numFmtId="9" fontId="0" fillId="3" borderId="0" xfId="1" applyFont="1" applyFill="1"/>
    <xf numFmtId="0" fontId="6" fillId="0" borderId="0" xfId="0" applyFont="1"/>
    <xf numFmtId="9" fontId="7" fillId="3" borderId="0" xfId="1" applyFont="1" applyFill="1"/>
    <xf numFmtId="0" fontId="7" fillId="0" borderId="1" xfId="0" applyFont="1" applyBorder="1"/>
    <xf numFmtId="0" fontId="7" fillId="0" borderId="0" xfId="0" applyFont="1"/>
    <xf numFmtId="0" fontId="0" fillId="3" borderId="3" xfId="0" applyFill="1" applyBorder="1"/>
    <xf numFmtId="0" fontId="0" fillId="2" borderId="3" xfId="0" applyFill="1" applyBorder="1"/>
    <xf numFmtId="0" fontId="0" fillId="2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0" xfId="0" applyFill="1"/>
    <xf numFmtId="0" fontId="0" fillId="0" borderId="0" xfId="0"/>
    <xf numFmtId="0" fontId="12" fillId="0" borderId="0" xfId="0" applyFont="1"/>
    <xf numFmtId="3" fontId="0" fillId="0" borderId="0" xfId="0" applyNumberFormat="1"/>
    <xf numFmtId="0" fontId="12" fillId="6" borderId="0" xfId="0" applyFont="1" applyFill="1"/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</cellXfs>
  <cellStyles count="15">
    <cellStyle name="%" xfId="3" xr:uid="{7703D1DE-C9D6-45D8-8C50-E7B2CE43B757}"/>
    <cellStyle name="Comma 10 5" xfId="13" xr:uid="{59050062-C312-4C1E-B773-6FFA6CEF7F51}"/>
    <cellStyle name="Comma 11 4 4" xfId="2" xr:uid="{9466A59A-01AD-4A11-8AA9-F4B96D6B70AE}"/>
    <cellStyle name="Hyperlink 2" xfId="7" xr:uid="{EB17E677-C6A8-4EAE-84C6-24C0739A6E02}"/>
    <cellStyle name="Normal" xfId="0" builtinId="0"/>
    <cellStyle name="Normal 10 6 2 3" xfId="14" xr:uid="{65BBAC2E-819C-4C98-8AFE-3E93F4D7F7CD}"/>
    <cellStyle name="Normal 100" xfId="8" xr:uid="{C7302ABB-4FF6-4A97-8A6E-9486E19D327B}"/>
    <cellStyle name="Normal 237" xfId="6" xr:uid="{448964D2-0DB6-4A50-A029-41DE23AB43EF}"/>
    <cellStyle name="Normal 238" xfId="5" xr:uid="{D7F96CDB-E32B-448C-8644-92BE08C61A84}"/>
    <cellStyle name="Normal 239" xfId="4" xr:uid="{411D50A4-E670-4652-A72D-8F34D2DF97FF}"/>
    <cellStyle name="Normal 4 2 8" xfId="12" xr:uid="{43884C39-FCDB-4EA9-A515-C08A2290D7DC}"/>
    <cellStyle name="Normal 53 3 2" xfId="9" xr:uid="{58CC4F2B-4476-4C9A-84D6-E0F2B7B665FE}"/>
    <cellStyle name="Normal 9 2 8" xfId="11" xr:uid="{0E066FF1-94D0-4BA0-BA75-98BA666B816D}"/>
    <cellStyle name="Percent" xfId="1" builtinId="5"/>
    <cellStyle name="Percent 2 3 8" xfId="10" xr:uid="{B6DE18FF-CDA1-482C-A113-EF0DA634C2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'input-Installs-Subset-CommUtili'!$K$2</c:f>
              <c:strCache>
                <c:ptCount val="1"/>
                <c:pt idx="0">
                  <c:v>MWdc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'input-Installs-Subset-CommUtili'!$A$3:$A$28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xVal>
          <c:yVal>
            <c:numRef>
              <c:f>'input-Installs-Subset-CommUtili'!$K$3:$K$28</c:f>
              <c:numCache>
                <c:formatCode>General</c:formatCode>
                <c:ptCount val="2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3</c:v>
                </c:pt>
                <c:pt idx="5">
                  <c:v>3.5</c:v>
                </c:pt>
                <c:pt idx="6">
                  <c:v>6.3</c:v>
                </c:pt>
                <c:pt idx="7">
                  <c:v>11.5</c:v>
                </c:pt>
                <c:pt idx="8">
                  <c:v>30.199999999999996</c:v>
                </c:pt>
                <c:pt idx="9">
                  <c:v>33.299999999999997</c:v>
                </c:pt>
                <c:pt idx="10">
                  <c:v>50.999999999999993</c:v>
                </c:pt>
                <c:pt idx="11">
                  <c:v>66.7</c:v>
                </c:pt>
                <c:pt idx="12">
                  <c:v>102.60000000000001</c:v>
                </c:pt>
                <c:pt idx="13">
                  <c:v>212.50000000000003</c:v>
                </c:pt>
                <c:pt idx="14">
                  <c:v>288.10000000000002</c:v>
                </c:pt>
                <c:pt idx="15">
                  <c:v>598.38707499999998</c:v>
                </c:pt>
                <c:pt idx="16">
                  <c:v>1596.9187147970001</c:v>
                </c:pt>
                <c:pt idx="17">
                  <c:v>2870.8096344149399</c:v>
                </c:pt>
                <c:pt idx="18">
                  <c:v>3958.9226131057503</c:v>
                </c:pt>
                <c:pt idx="19">
                  <c:v>4957.5187404296503</c:v>
                </c:pt>
                <c:pt idx="20">
                  <c:v>5323.5927222003093</c:v>
                </c:pt>
                <c:pt idx="21">
                  <c:v>12424.388969584639</c:v>
                </c:pt>
                <c:pt idx="22">
                  <c:v>8718.5985456361705</c:v>
                </c:pt>
                <c:pt idx="23">
                  <c:v>8317.9550969831307</c:v>
                </c:pt>
                <c:pt idx="24">
                  <c:v>10538.67695379609</c:v>
                </c:pt>
                <c:pt idx="25">
                  <c:v>16027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3-4486-81FA-BC2B0BFE102E}"/>
            </c:ext>
          </c:extLst>
        </c:ser>
        <c:ser>
          <c:idx val="2"/>
          <c:order val="1"/>
          <c:tx>
            <c:strRef>
              <c:f>'input-Installs-Subset-CommUtili'!$N$1</c:f>
              <c:strCache>
                <c:ptCount val="1"/>
                <c:pt idx="0">
                  <c:v>Comm+Utility c-Si PV US Installs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'input-Installs-Subset-CommUtili'!$A$3:$A$28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xVal>
          <c:yVal>
            <c:numRef>
              <c:f>'input-Installs-Subset-CommUtili'!$N$3:$N$28</c:f>
              <c:numCache>
                <c:formatCode>General</c:formatCode>
                <c:ptCount val="2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2.9449999999999981</c:v>
                </c:pt>
                <c:pt idx="5">
                  <c:v>3.4066666666666658</c:v>
                </c:pt>
                <c:pt idx="6">
                  <c:v>6.0794999999999995</c:v>
                </c:pt>
                <c:pt idx="7">
                  <c:v>11.00166666666666</c:v>
                </c:pt>
                <c:pt idx="8">
                  <c:v>28.639666666666653</c:v>
                </c:pt>
                <c:pt idx="9">
                  <c:v>31.301999999999996</c:v>
                </c:pt>
                <c:pt idx="10">
                  <c:v>47.821745963399991</c:v>
                </c:pt>
                <c:pt idx="11">
                  <c:v>62.388684539559996</c:v>
                </c:pt>
                <c:pt idx="12">
                  <c:v>95.730302108520007</c:v>
                </c:pt>
                <c:pt idx="13">
                  <c:v>197.77909939000003</c:v>
                </c:pt>
                <c:pt idx="14">
                  <c:v>267.47390314270001</c:v>
                </c:pt>
                <c:pt idx="15">
                  <c:v>507.60275598089197</c:v>
                </c:pt>
                <c:pt idx="16">
                  <c:v>1481.2286290301854</c:v>
                </c:pt>
                <c:pt idx="17">
                  <c:v>2607.6232262581889</c:v>
                </c:pt>
                <c:pt idx="18">
                  <c:v>3353.8843182175783</c:v>
                </c:pt>
                <c:pt idx="19">
                  <c:v>2955.3569881658045</c:v>
                </c:pt>
                <c:pt idx="20">
                  <c:v>4850.6758664830877</c:v>
                </c:pt>
                <c:pt idx="21">
                  <c:v>10615.357717866022</c:v>
                </c:pt>
                <c:pt idx="22">
                  <c:v>7777.051848350131</c:v>
                </c:pt>
                <c:pt idx="23">
                  <c:v>7243.1254754457032</c:v>
                </c:pt>
                <c:pt idx="24">
                  <c:v>8620.7291817664536</c:v>
                </c:pt>
                <c:pt idx="25">
                  <c:v>13622.949999999999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1-449D-912C-4E5AB9C86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4360"/>
        <c:axId val="743196656"/>
      </c:scatterChart>
      <c:valAx>
        <c:axId val="743194360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96656"/>
        <c:crosses val="autoZero"/>
        <c:crossBetween val="midCat"/>
      </c:valAx>
      <c:valAx>
        <c:axId val="7431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Installed Capacity
 [MWdc]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9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Annual Installs c-Si Technology [MWdc]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0986326564990838E-2"/>
          <c:y val="0.14816037813009367"/>
          <c:w val="0.81802734687001832"/>
          <c:h val="0.67152443397903017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SectorInstalls!$B$3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SectorInstalls!$B$4:$B$30</c:f>
              <c:numCache>
                <c:formatCode>General</c:formatCode>
                <c:ptCount val="27"/>
                <c:pt idx="0">
                  <c:v>9.6999999999999993</c:v>
                </c:pt>
                <c:pt idx="1">
                  <c:v>1.3000000000000007</c:v>
                </c:pt>
                <c:pt idx="2">
                  <c:v>2.6999999999999993</c:v>
                </c:pt>
                <c:pt idx="3">
                  <c:v>2.2000000000000011</c:v>
                </c:pt>
                <c:pt idx="4">
                  <c:v>0</c:v>
                </c:pt>
                <c:pt idx="5">
                  <c:v>0</c:v>
                </c:pt>
                <c:pt idx="6">
                  <c:v>5.7</c:v>
                </c:pt>
                <c:pt idx="7">
                  <c:v>11.5</c:v>
                </c:pt>
                <c:pt idx="8">
                  <c:v>15.6</c:v>
                </c:pt>
                <c:pt idx="9">
                  <c:v>24.5</c:v>
                </c:pt>
                <c:pt idx="10">
                  <c:v>27.6</c:v>
                </c:pt>
                <c:pt idx="11">
                  <c:v>37.5</c:v>
                </c:pt>
                <c:pt idx="12">
                  <c:v>57.8</c:v>
                </c:pt>
                <c:pt idx="13">
                  <c:v>77.599999999999994</c:v>
                </c:pt>
                <c:pt idx="14">
                  <c:v>168.5</c:v>
                </c:pt>
                <c:pt idx="15">
                  <c:v>246</c:v>
                </c:pt>
                <c:pt idx="16">
                  <c:v>305</c:v>
                </c:pt>
                <c:pt idx="17">
                  <c:v>496</c:v>
                </c:pt>
                <c:pt idx="18">
                  <c:v>799</c:v>
                </c:pt>
                <c:pt idx="19" formatCode="#,##0">
                  <c:v>1268</c:v>
                </c:pt>
                <c:pt idx="20" formatCode="#,##0">
                  <c:v>2171</c:v>
                </c:pt>
                <c:pt idx="21" formatCode="#,##0">
                  <c:v>2638</c:v>
                </c:pt>
                <c:pt idx="22" formatCode="#,##0">
                  <c:v>2239</c:v>
                </c:pt>
                <c:pt idx="23" formatCode="#,##0">
                  <c:v>2418</c:v>
                </c:pt>
                <c:pt idx="24" formatCode="#,##0">
                  <c:v>2865</c:v>
                </c:pt>
                <c:pt idx="25" formatCode="#,##0">
                  <c:v>3242</c:v>
                </c:pt>
                <c:pt idx="26" formatCode="#,##0">
                  <c:v>4252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13-490D-93D0-66FB5E81F268}"/>
            </c:ext>
          </c:extLst>
        </c:ser>
        <c:ser>
          <c:idx val="4"/>
          <c:order val="1"/>
          <c:tx>
            <c:strRef>
              <c:f>SectorInstalls!$C$3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SectorInstalls!$C$4:$C$30</c:f>
              <c:numCache>
                <c:formatCode>General</c:formatCode>
                <c:ptCount val="27"/>
                <c:pt idx="4">
                  <c:v>3</c:v>
                </c:pt>
                <c:pt idx="5">
                  <c:v>3</c:v>
                </c:pt>
                <c:pt idx="6">
                  <c:v>2.6000000000000005</c:v>
                </c:pt>
                <c:pt idx="7">
                  <c:v>8.8000000000000007</c:v>
                </c:pt>
                <c:pt idx="8">
                  <c:v>26.6</c:v>
                </c:pt>
                <c:pt idx="9">
                  <c:v>31.200000000000003</c:v>
                </c:pt>
                <c:pt idx="10">
                  <c:v>50.999999999999993</c:v>
                </c:pt>
                <c:pt idx="11">
                  <c:v>66.7</c:v>
                </c:pt>
                <c:pt idx="12">
                  <c:v>93.2</c:v>
                </c:pt>
                <c:pt idx="13">
                  <c:v>189.6</c:v>
                </c:pt>
                <c:pt idx="14">
                  <c:v>208.2</c:v>
                </c:pt>
                <c:pt idx="15">
                  <c:v>337</c:v>
                </c:pt>
                <c:pt idx="16">
                  <c:v>850</c:v>
                </c:pt>
                <c:pt idx="17" formatCode="#,##0">
                  <c:v>1075</c:v>
                </c:pt>
                <c:pt idx="18" formatCode="#,##0">
                  <c:v>1109</c:v>
                </c:pt>
                <c:pt idx="19" formatCode="#,##0">
                  <c:v>1055</c:v>
                </c:pt>
                <c:pt idx="20" formatCode="#,##0">
                  <c:v>1070</c:v>
                </c:pt>
                <c:pt idx="21" formatCode="#,##0">
                  <c:v>1715</c:v>
                </c:pt>
                <c:pt idx="22" formatCode="#,##0">
                  <c:v>2366</c:v>
                </c:pt>
                <c:pt idx="23" formatCode="#,##0">
                  <c:v>2196</c:v>
                </c:pt>
                <c:pt idx="24" formatCode="#,##0">
                  <c:v>2184</c:v>
                </c:pt>
                <c:pt idx="25" formatCode="#,##0">
                  <c:v>2347</c:v>
                </c:pt>
                <c:pt idx="26" formatCode="#,##0">
                  <c:v>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13-490D-93D0-66FB5E81F268}"/>
            </c:ext>
          </c:extLst>
        </c:ser>
        <c:ser>
          <c:idx val="5"/>
          <c:order val="2"/>
          <c:tx>
            <c:strRef>
              <c:f>SectorInstalls!$D$3</c:f>
              <c:strCache>
                <c:ptCount val="1"/>
                <c:pt idx="0">
                  <c:v>Utility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SectorInstalls!$D$4:$D$30</c:f>
              <c:numCache>
                <c:formatCode>General</c:formatCode>
                <c:ptCount val="27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3.6999999999999993</c:v>
                </c:pt>
                <c:pt idx="7">
                  <c:v>2.6999999999999993</c:v>
                </c:pt>
                <c:pt idx="8">
                  <c:v>3.5999999999999943</c:v>
                </c:pt>
                <c:pt idx="9">
                  <c:v>2.0999999999999943</c:v>
                </c:pt>
                <c:pt idx="10">
                  <c:v>0</c:v>
                </c:pt>
                <c:pt idx="11">
                  <c:v>0</c:v>
                </c:pt>
                <c:pt idx="12">
                  <c:v>9.4000000000000057</c:v>
                </c:pt>
                <c:pt idx="13">
                  <c:v>22.900000000000034</c:v>
                </c:pt>
                <c:pt idx="14">
                  <c:v>59.600000000000023</c:v>
                </c:pt>
                <c:pt idx="15">
                  <c:v>267</c:v>
                </c:pt>
                <c:pt idx="16">
                  <c:v>786</c:v>
                </c:pt>
                <c:pt idx="17" formatCode="#,##0">
                  <c:v>1803</c:v>
                </c:pt>
                <c:pt idx="18" formatCode="#,##0">
                  <c:v>2858</c:v>
                </c:pt>
                <c:pt idx="19" formatCode="#,##0">
                  <c:v>3922</c:v>
                </c:pt>
                <c:pt idx="20" formatCode="#,##0">
                  <c:v>4268</c:v>
                </c:pt>
                <c:pt idx="21" formatCode="#,##0">
                  <c:v>10751</c:v>
                </c:pt>
                <c:pt idx="22" formatCode="#,##0">
                  <c:v>6476</c:v>
                </c:pt>
                <c:pt idx="23" formatCode="#,##0">
                  <c:v>6119</c:v>
                </c:pt>
                <c:pt idx="24" formatCode="#,##0">
                  <c:v>8462</c:v>
                </c:pt>
                <c:pt idx="25" formatCode="#,##0">
                  <c:v>14261</c:v>
                </c:pt>
                <c:pt idx="26" formatCode="#,##0">
                  <c:v>17164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13-490D-93D0-66FB5E81F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902741176"/>
        <c:axId val="902735928"/>
      </c:barChart>
      <c:barChart>
        <c:barDir val="col"/>
        <c:grouping val="stacked"/>
        <c:varyColors val="0"/>
        <c:ser>
          <c:idx val="0"/>
          <c:order val="3"/>
          <c:tx>
            <c:strRef>
              <c:f>SectorInstalls!$P$3</c:f>
              <c:strCache>
                <c:ptCount val="1"/>
                <c:pt idx="0">
                  <c:v>Residential c-Si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SectorInstalls!$P$4:$P$30</c:f>
              <c:numCache>
                <c:formatCode>General</c:formatCode>
                <c:ptCount val="27"/>
                <c:pt idx="0">
                  <c:v>9.6999999999999993</c:v>
                </c:pt>
                <c:pt idx="1">
                  <c:v>1.3000000000000007</c:v>
                </c:pt>
                <c:pt idx="2">
                  <c:v>2.6999999999999993</c:v>
                </c:pt>
                <c:pt idx="3">
                  <c:v>2.2000000000000011</c:v>
                </c:pt>
                <c:pt idx="4">
                  <c:v>0</c:v>
                </c:pt>
                <c:pt idx="5">
                  <c:v>0</c:v>
                </c:pt>
                <c:pt idx="6">
                  <c:v>5.7</c:v>
                </c:pt>
                <c:pt idx="7">
                  <c:v>11.5</c:v>
                </c:pt>
                <c:pt idx="8">
                  <c:v>15.6</c:v>
                </c:pt>
                <c:pt idx="9">
                  <c:v>24.5</c:v>
                </c:pt>
                <c:pt idx="10">
                  <c:v>27.6</c:v>
                </c:pt>
                <c:pt idx="11">
                  <c:v>37.5</c:v>
                </c:pt>
                <c:pt idx="12">
                  <c:v>57.8</c:v>
                </c:pt>
                <c:pt idx="13">
                  <c:v>77.599999999999994</c:v>
                </c:pt>
                <c:pt idx="14">
                  <c:v>168.5</c:v>
                </c:pt>
                <c:pt idx="15">
                  <c:v>246</c:v>
                </c:pt>
                <c:pt idx="16">
                  <c:v>305</c:v>
                </c:pt>
                <c:pt idx="17">
                  <c:v>496</c:v>
                </c:pt>
                <c:pt idx="18">
                  <c:v>799</c:v>
                </c:pt>
                <c:pt idx="19">
                  <c:v>1268</c:v>
                </c:pt>
                <c:pt idx="20">
                  <c:v>2171</c:v>
                </c:pt>
                <c:pt idx="21">
                  <c:v>2638</c:v>
                </c:pt>
                <c:pt idx="22">
                  <c:v>2239</c:v>
                </c:pt>
                <c:pt idx="23">
                  <c:v>2418</c:v>
                </c:pt>
                <c:pt idx="24">
                  <c:v>2865</c:v>
                </c:pt>
                <c:pt idx="25">
                  <c:v>3242</c:v>
                </c:pt>
                <c:pt idx="26">
                  <c:v>4252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3-490D-93D0-66FB5E81F268}"/>
            </c:ext>
          </c:extLst>
        </c:ser>
        <c:ser>
          <c:idx val="1"/>
          <c:order val="4"/>
          <c:tx>
            <c:strRef>
              <c:f>SectorInstalls!$Q$3</c:f>
              <c:strCache>
                <c:ptCount val="1"/>
                <c:pt idx="0">
                  <c:v>Commercial c-Si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SectorInstalls!$Q$4:$Q$30</c:f>
              <c:numCache>
                <c:formatCode>General</c:formatCode>
                <c:ptCount val="27"/>
                <c:pt idx="4">
                  <c:v>3</c:v>
                </c:pt>
                <c:pt idx="5">
                  <c:v>3</c:v>
                </c:pt>
                <c:pt idx="6">
                  <c:v>2.6000000000000005</c:v>
                </c:pt>
                <c:pt idx="7">
                  <c:v>8.8000000000000007</c:v>
                </c:pt>
                <c:pt idx="8">
                  <c:v>26.6</c:v>
                </c:pt>
                <c:pt idx="9">
                  <c:v>31.200000000000003</c:v>
                </c:pt>
                <c:pt idx="10">
                  <c:v>50.999999999999993</c:v>
                </c:pt>
                <c:pt idx="11">
                  <c:v>66.7</c:v>
                </c:pt>
                <c:pt idx="12">
                  <c:v>93.2</c:v>
                </c:pt>
                <c:pt idx="13">
                  <c:v>189.6</c:v>
                </c:pt>
                <c:pt idx="14">
                  <c:v>208.2</c:v>
                </c:pt>
                <c:pt idx="15">
                  <c:v>337</c:v>
                </c:pt>
                <c:pt idx="16">
                  <c:v>850</c:v>
                </c:pt>
                <c:pt idx="17">
                  <c:v>1075</c:v>
                </c:pt>
                <c:pt idx="18">
                  <c:v>1108.310750796436</c:v>
                </c:pt>
                <c:pt idx="19">
                  <c:v>1054.580360918437</c:v>
                </c:pt>
                <c:pt idx="20">
                  <c:v>1069.4063989390643</c:v>
                </c:pt>
                <c:pt idx="21">
                  <c:v>1708.8449050755867</c:v>
                </c:pt>
                <c:pt idx="22">
                  <c:v>2349.9184935725152</c:v>
                </c:pt>
                <c:pt idx="23">
                  <c:v>2173.8940385168253</c:v>
                </c:pt>
                <c:pt idx="24">
                  <c:v>2183.094583220417</c:v>
                </c:pt>
                <c:pt idx="25">
                  <c:v>2342.0568215961107</c:v>
                </c:pt>
                <c:pt idx="26">
                  <c:v>2674.0341633354983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13-490D-93D0-66FB5E81F268}"/>
            </c:ext>
          </c:extLst>
        </c:ser>
        <c:ser>
          <c:idx val="2"/>
          <c:order val="5"/>
          <c:tx>
            <c:strRef>
              <c:f>SectorInstalls!$R$3</c:f>
              <c:strCache>
                <c:ptCount val="1"/>
                <c:pt idx="0">
                  <c:v>Utility c-Si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SectorInstalls!$R$4:$R$30</c:f>
              <c:numCache>
                <c:formatCode>General</c:formatCode>
                <c:ptCount val="27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3.6999999999999993</c:v>
                </c:pt>
                <c:pt idx="7">
                  <c:v>2.6999999999999993</c:v>
                </c:pt>
                <c:pt idx="8">
                  <c:v>3.5999999999999943</c:v>
                </c:pt>
                <c:pt idx="9">
                  <c:v>2.0999999999999943</c:v>
                </c:pt>
                <c:pt idx="10">
                  <c:v>0</c:v>
                </c:pt>
                <c:pt idx="11">
                  <c:v>0</c:v>
                </c:pt>
                <c:pt idx="12">
                  <c:v>9.4000000000000057</c:v>
                </c:pt>
                <c:pt idx="13">
                  <c:v>0</c:v>
                </c:pt>
                <c:pt idx="14">
                  <c:v>29.800000000000011</c:v>
                </c:pt>
                <c:pt idx="15">
                  <c:v>89</c:v>
                </c:pt>
                <c:pt idx="16">
                  <c:v>589.5</c:v>
                </c:pt>
                <c:pt idx="17">
                  <c:v>1357.0967741935485</c:v>
                </c:pt>
                <c:pt idx="18">
                  <c:v>1799.4814814814815</c:v>
                </c:pt>
                <c:pt idx="19">
                  <c:v>1175.3627760252366</c:v>
                </c:pt>
                <c:pt idx="20">
                  <c:v>3464.9616724738676</c:v>
                </c:pt>
                <c:pt idx="21">
                  <c:v>8251.1034946236578</c:v>
                </c:pt>
                <c:pt idx="22">
                  <c:v>5031.5980392156862</c:v>
                </c:pt>
                <c:pt idx="23">
                  <c:v>4593.1032745591947</c:v>
                </c:pt>
                <c:pt idx="24">
                  <c:v>5451.6572668112794</c:v>
                </c:pt>
                <c:pt idx="25">
                  <c:v>10110.189189189188</c:v>
                </c:pt>
                <c:pt idx="26">
                  <c:v>11858.514376996804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13-490D-93D0-66FB5E81F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961580848"/>
        <c:axId val="961572976"/>
      </c:barChart>
      <c:catAx>
        <c:axId val="90274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02735928"/>
        <c:crosses val="autoZero"/>
        <c:auto val="1"/>
        <c:lblAlgn val="ctr"/>
        <c:lblOffset val="100"/>
        <c:noMultiLvlLbl val="0"/>
      </c:catAx>
      <c:valAx>
        <c:axId val="902735928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02741176"/>
        <c:crosses val="autoZero"/>
        <c:crossBetween val="between"/>
      </c:valAx>
      <c:valAx>
        <c:axId val="961572976"/>
        <c:scaling>
          <c:orientation val="minMax"/>
          <c:max val="25000"/>
        </c:scaling>
        <c:delete val="0"/>
        <c:axPos val="r"/>
        <c:numFmt formatCode="General" sourceLinked="1"/>
        <c:majorTickMark val="out"/>
        <c:minorTickMark val="none"/>
        <c:tickLblPos val="nextTo"/>
        <c:crossAx val="961580848"/>
        <c:crosses val="max"/>
        <c:crossBetween val="between"/>
      </c:valAx>
      <c:catAx>
        <c:axId val="96158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15729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213153924264176"/>
          <c:y val="0.1493148637809516"/>
          <c:w val="0.60232555998104809"/>
          <c:h val="0.1378301713901044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all Installs vs c-Si installs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SectorInstalls!$E$3</c:f>
              <c:strCache>
                <c:ptCount val="1"/>
                <c:pt idx="0">
                  <c:v>All Sector All Tech Installs_[MWdc]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xVal>
          <c:yVal>
            <c:numRef>
              <c:f>SectorInstalls!$E$4:$E$30</c:f>
              <c:numCache>
                <c:formatCode>General</c:formatCode>
                <c:ptCount val="27"/>
                <c:pt idx="0">
                  <c:v>21.7</c:v>
                </c:pt>
                <c:pt idx="1">
                  <c:v>1.3000000000000007</c:v>
                </c:pt>
                <c:pt idx="2">
                  <c:v>2.6999999999999993</c:v>
                </c:pt>
                <c:pt idx="3">
                  <c:v>2.2000000000000011</c:v>
                </c:pt>
                <c:pt idx="4">
                  <c:v>3</c:v>
                </c:pt>
                <c:pt idx="5">
                  <c:v>3.6</c:v>
                </c:pt>
                <c:pt idx="6">
                  <c:v>12</c:v>
                </c:pt>
                <c:pt idx="7">
                  <c:v>23</c:v>
                </c:pt>
                <c:pt idx="8">
                  <c:v>45.8</c:v>
                </c:pt>
                <c:pt idx="9">
                  <c:v>57.8</c:v>
                </c:pt>
                <c:pt idx="10">
                  <c:v>78.599999999999994</c:v>
                </c:pt>
                <c:pt idx="11">
                  <c:v>104.2</c:v>
                </c:pt>
                <c:pt idx="12">
                  <c:v>160.4</c:v>
                </c:pt>
                <c:pt idx="13">
                  <c:v>290.10000000000002</c:v>
                </c:pt>
                <c:pt idx="14">
                  <c:v>436.3</c:v>
                </c:pt>
                <c:pt idx="15">
                  <c:v>850</c:v>
                </c:pt>
                <c:pt idx="16">
                  <c:v>1941</c:v>
                </c:pt>
                <c:pt idx="17">
                  <c:v>3374</c:v>
                </c:pt>
                <c:pt idx="18">
                  <c:v>4766</c:v>
                </c:pt>
                <c:pt idx="19">
                  <c:v>6245</c:v>
                </c:pt>
                <c:pt idx="20">
                  <c:v>7509</c:v>
                </c:pt>
                <c:pt idx="21">
                  <c:v>15104</c:v>
                </c:pt>
                <c:pt idx="22">
                  <c:v>11081</c:v>
                </c:pt>
                <c:pt idx="23">
                  <c:v>10733</c:v>
                </c:pt>
                <c:pt idx="24">
                  <c:v>13511</c:v>
                </c:pt>
                <c:pt idx="25">
                  <c:v>19850</c:v>
                </c:pt>
                <c:pt idx="26" formatCode="#,##0">
                  <c:v>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4-4885-831E-3BF4AAF9AB47}"/>
            </c:ext>
          </c:extLst>
        </c:ser>
        <c:ser>
          <c:idx val="1"/>
          <c:order val="1"/>
          <c:tx>
            <c:strRef>
              <c:f>SectorInstalls!$S$3</c:f>
              <c:strCache>
                <c:ptCount val="1"/>
                <c:pt idx="0">
                  <c:v>All Sector c-Si Installs_[MWdc]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xVal>
          <c:yVal>
            <c:numRef>
              <c:f>SectorInstalls!$S$4:$S$30</c:f>
              <c:numCache>
                <c:formatCode>General</c:formatCode>
                <c:ptCount val="27"/>
                <c:pt idx="0">
                  <c:v>21.7</c:v>
                </c:pt>
                <c:pt idx="1">
                  <c:v>1.3000000000000007</c:v>
                </c:pt>
                <c:pt idx="2">
                  <c:v>2.6999999999999993</c:v>
                </c:pt>
                <c:pt idx="3">
                  <c:v>2.2000000000000011</c:v>
                </c:pt>
                <c:pt idx="4">
                  <c:v>3</c:v>
                </c:pt>
                <c:pt idx="5">
                  <c:v>3.6</c:v>
                </c:pt>
                <c:pt idx="6">
                  <c:v>12</c:v>
                </c:pt>
                <c:pt idx="7">
                  <c:v>23</c:v>
                </c:pt>
                <c:pt idx="8">
                  <c:v>45.8</c:v>
                </c:pt>
                <c:pt idx="9">
                  <c:v>57.8</c:v>
                </c:pt>
                <c:pt idx="10">
                  <c:v>78.599999999999994</c:v>
                </c:pt>
                <c:pt idx="11">
                  <c:v>104.2</c:v>
                </c:pt>
                <c:pt idx="12">
                  <c:v>160.4</c:v>
                </c:pt>
                <c:pt idx="13">
                  <c:v>267.2</c:v>
                </c:pt>
                <c:pt idx="14">
                  <c:v>406.5</c:v>
                </c:pt>
                <c:pt idx="15">
                  <c:v>672</c:v>
                </c:pt>
                <c:pt idx="16">
                  <c:v>1744.5</c:v>
                </c:pt>
                <c:pt idx="17">
                  <c:v>2928.0967741935483</c:v>
                </c:pt>
                <c:pt idx="18">
                  <c:v>3706.7922322779177</c:v>
                </c:pt>
                <c:pt idx="19">
                  <c:v>3497.9431369436734</c:v>
                </c:pt>
                <c:pt idx="20">
                  <c:v>6705.3680714129314</c:v>
                </c:pt>
                <c:pt idx="21">
                  <c:v>12597.948399699244</c:v>
                </c:pt>
                <c:pt idx="22">
                  <c:v>9620.5165327882023</c:v>
                </c:pt>
                <c:pt idx="23">
                  <c:v>9184.9973130760191</c:v>
                </c:pt>
                <c:pt idx="24">
                  <c:v>10499.751850031696</c:v>
                </c:pt>
                <c:pt idx="25">
                  <c:v>15694.246010785298</c:v>
                </c:pt>
                <c:pt idx="26">
                  <c:v>18784.548540332304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4-4885-831E-3BF4AAF9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73448"/>
        <c:axId val="959146224"/>
      </c:scatterChart>
      <c:valAx>
        <c:axId val="959173448"/>
        <c:scaling>
          <c:orientation val="minMax"/>
          <c:max val="2021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46224"/>
        <c:crosses val="autoZero"/>
        <c:crossBetween val="midCat"/>
      </c:valAx>
      <c:valAx>
        <c:axId val="959146224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7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209549</xdr:colOff>
      <xdr:row>1</xdr:row>
      <xdr:rowOff>15876</xdr:rowOff>
    </xdr:from>
    <xdr:to>
      <xdr:col>24</xdr:col>
      <xdr:colOff>450849</xdr:colOff>
      <xdr:row>23</xdr:row>
      <xdr:rowOff>30163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F77DD-EF49-4995-92E1-4842F7840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4</xdr:row>
      <xdr:rowOff>47624</xdr:rowOff>
    </xdr:from>
    <xdr:to>
      <xdr:col>8</xdr:col>
      <xdr:colOff>542925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FD95C-C8B9-F817-EAD8-9B207F18D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259898</xdr:colOff>
      <xdr:row>6</xdr:row>
      <xdr:rowOff>66901</xdr:rowOff>
    </xdr:from>
    <xdr:to>
      <xdr:col>17</xdr:col>
      <xdr:colOff>312965</xdr:colOff>
      <xdr:row>26</xdr:row>
      <xdr:rowOff>87539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072CD-B0C1-96AC-DE3F-8EA539DAE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doi.org/10.2172/1888246" TargetMode="External"/><Relationship Id="rId1" Type="http://schemas.openxmlformats.org/officeDocument/2006/relationships/hyperlink" Target="https://doi.org/10.2172/188824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2172/18882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D18A-621B-4AB9-828D-D7D18879DF38}">
  <dimension ref="A1:N32"/>
  <sheetViews>
    <sheetView workbookViewId="0">
      <selection activeCell="B3" sqref="B3:B18"/>
    </sheetView>
  </sheetViews>
  <sheetFormatPr defaultRowHeight="14.5" x14ac:dyDescent="0.35"/>
  <cols>
    <col min="2" max="2" width="8.7265625" style="22"/>
    <col min="12" max="12" width="12.81640625" bestFit="1" customWidth="1"/>
    <col min="13" max="13" width="15.08984375" bestFit="1" customWidth="1"/>
    <col min="14" max="14" width="8.7265625" style="2"/>
  </cols>
  <sheetData>
    <row r="1" spans="1:14" ht="15" thickBot="1" x14ac:dyDescent="0.4">
      <c r="B1" s="21" t="s">
        <v>30</v>
      </c>
      <c r="C1" s="5" t="s">
        <v>0</v>
      </c>
      <c r="D1" s="6"/>
      <c r="E1" s="4" t="s">
        <v>1</v>
      </c>
      <c r="F1" s="4"/>
      <c r="G1" s="4" t="s">
        <v>7</v>
      </c>
      <c r="H1" s="4"/>
      <c r="I1" s="3" t="s">
        <v>2</v>
      </c>
      <c r="J1" s="3"/>
      <c r="K1" t="s">
        <v>6</v>
      </c>
      <c r="M1" t="s">
        <v>26</v>
      </c>
      <c r="N1" s="2" t="s">
        <v>28</v>
      </c>
    </row>
    <row r="2" spans="1:14" x14ac:dyDescent="0.35">
      <c r="A2" t="s">
        <v>3</v>
      </c>
      <c r="B2" s="21" t="s">
        <v>4</v>
      </c>
      <c r="C2" s="6" t="s">
        <v>4</v>
      </c>
      <c r="D2" s="6" t="s">
        <v>5</v>
      </c>
      <c r="E2" s="4" t="s">
        <v>4</v>
      </c>
      <c r="F2" s="4" t="s">
        <v>5</v>
      </c>
      <c r="G2" s="4" t="s">
        <v>4</v>
      </c>
      <c r="H2" s="4" t="s">
        <v>5</v>
      </c>
      <c r="I2" s="3" t="s">
        <v>4</v>
      </c>
      <c r="J2" s="3" t="s">
        <v>5</v>
      </c>
      <c r="K2" s="19" t="s">
        <v>4</v>
      </c>
      <c r="L2" t="s">
        <v>29</v>
      </c>
      <c r="M2" t="s">
        <v>27</v>
      </c>
      <c r="N2" s="2" t="s">
        <v>4</v>
      </c>
    </row>
    <row r="3" spans="1:14" x14ac:dyDescent="0.35">
      <c r="A3">
        <v>1995</v>
      </c>
      <c r="B3" s="21">
        <v>66.8</v>
      </c>
      <c r="C3" s="6"/>
      <c r="D3" s="6"/>
      <c r="E3" s="4"/>
      <c r="F3" s="4">
        <v>1</v>
      </c>
      <c r="G3" s="4"/>
      <c r="H3" s="4"/>
      <c r="I3" s="3"/>
      <c r="J3" s="3"/>
      <c r="K3" s="20">
        <v>12.5</v>
      </c>
      <c r="L3" s="1">
        <f t="shared" ref="L3:L16" si="0">F3</f>
        <v>1</v>
      </c>
      <c r="M3">
        <v>1</v>
      </c>
      <c r="N3" s="2">
        <f>K3</f>
        <v>12.5</v>
      </c>
    </row>
    <row r="4" spans="1:14" x14ac:dyDescent="0.35">
      <c r="A4">
        <v>1996</v>
      </c>
      <c r="B4" s="21">
        <v>9.6999999999999993</v>
      </c>
      <c r="C4" s="6"/>
      <c r="D4" s="6"/>
      <c r="E4" s="4"/>
      <c r="F4" s="4">
        <v>1</v>
      </c>
      <c r="G4" s="4"/>
      <c r="H4" s="4"/>
      <c r="I4" s="3"/>
      <c r="J4" s="3"/>
      <c r="K4" s="20">
        <v>9.6676666670000007</v>
      </c>
      <c r="L4" s="1">
        <f t="shared" si="0"/>
        <v>1</v>
      </c>
      <c r="M4">
        <v>0.99666666666666603</v>
      </c>
      <c r="N4" s="2">
        <f>K4</f>
        <v>9.6676666670000007</v>
      </c>
    </row>
    <row r="5" spans="1:14" x14ac:dyDescent="0.35">
      <c r="A5">
        <v>1997</v>
      </c>
      <c r="B5" s="21">
        <v>11.7</v>
      </c>
      <c r="C5" s="6"/>
      <c r="D5" s="6"/>
      <c r="E5" s="4"/>
      <c r="F5" s="4">
        <v>1</v>
      </c>
      <c r="G5" s="4"/>
      <c r="H5" s="4"/>
      <c r="I5" s="3"/>
      <c r="J5" s="3"/>
      <c r="K5" s="20">
        <v>11.622</v>
      </c>
      <c r="L5" s="1">
        <f t="shared" si="0"/>
        <v>1</v>
      </c>
      <c r="M5">
        <v>0.99333333333333296</v>
      </c>
      <c r="N5" s="2">
        <f>K5</f>
        <v>11.622</v>
      </c>
    </row>
    <row r="6" spans="1:14" x14ac:dyDescent="0.35">
      <c r="A6">
        <v>1998</v>
      </c>
      <c r="B6" s="21">
        <v>11.900000000000004</v>
      </c>
      <c r="C6" s="6"/>
      <c r="D6" s="6"/>
      <c r="E6" s="4"/>
      <c r="F6" s="4">
        <v>1</v>
      </c>
      <c r="G6" s="4"/>
      <c r="H6" s="4"/>
      <c r="I6" s="3"/>
      <c r="J6" s="3"/>
      <c r="K6" s="20">
        <v>11.781000000000001</v>
      </c>
      <c r="L6" s="1">
        <f t="shared" si="0"/>
        <v>1</v>
      </c>
      <c r="M6">
        <v>0.99</v>
      </c>
      <c r="N6" s="2">
        <f>K6</f>
        <v>11.781000000000001</v>
      </c>
    </row>
    <row r="7" spans="1:14" x14ac:dyDescent="0.35">
      <c r="A7">
        <v>1999</v>
      </c>
      <c r="B7" s="22">
        <v>17.200000000000003</v>
      </c>
      <c r="C7" s="6"/>
      <c r="D7" s="6"/>
      <c r="E7" s="4">
        <v>3</v>
      </c>
      <c r="F7" s="4">
        <v>1</v>
      </c>
      <c r="G7" s="4"/>
      <c r="H7" s="4"/>
      <c r="I7" s="3"/>
      <c r="J7" s="3"/>
      <c r="K7" s="16">
        <f>E7</f>
        <v>3</v>
      </c>
      <c r="L7" s="1">
        <f t="shared" si="0"/>
        <v>1</v>
      </c>
      <c r="M7">
        <v>0.98166666666666602</v>
      </c>
      <c r="N7" s="2">
        <f t="shared" ref="N7:N28" si="1">K7*M7</f>
        <v>2.9449999999999981</v>
      </c>
    </row>
    <row r="8" spans="1:14" x14ac:dyDescent="0.35">
      <c r="A8">
        <v>2000</v>
      </c>
      <c r="B8" s="22">
        <v>21.5</v>
      </c>
      <c r="C8" s="6">
        <v>9.9</v>
      </c>
      <c r="D8" s="6">
        <v>1</v>
      </c>
      <c r="E8" s="4">
        <v>3.5</v>
      </c>
      <c r="F8" s="4">
        <v>1</v>
      </c>
      <c r="G8" s="4"/>
      <c r="H8" s="4"/>
      <c r="I8" s="3"/>
      <c r="J8" s="3"/>
      <c r="K8" s="16">
        <f t="shared" ref="K8:K16" si="2">E8</f>
        <v>3.5</v>
      </c>
      <c r="L8" s="1">
        <f t="shared" si="0"/>
        <v>1</v>
      </c>
      <c r="M8">
        <v>0.97333333333333305</v>
      </c>
      <c r="N8" s="2">
        <f t="shared" si="1"/>
        <v>3.4066666666666658</v>
      </c>
    </row>
    <row r="9" spans="1:14" x14ac:dyDescent="0.35">
      <c r="A9">
        <v>2001</v>
      </c>
      <c r="B9" s="22">
        <v>29</v>
      </c>
      <c r="C9" s="6">
        <v>5</v>
      </c>
      <c r="D9" s="6">
        <v>0.33557046979865773</v>
      </c>
      <c r="E9" s="4">
        <v>6.3</v>
      </c>
      <c r="F9" s="4">
        <v>0.52500000000000002</v>
      </c>
      <c r="G9" s="4"/>
      <c r="H9" s="4"/>
      <c r="I9" s="3"/>
      <c r="J9" s="3"/>
      <c r="K9" s="16">
        <f t="shared" si="2"/>
        <v>6.3</v>
      </c>
      <c r="L9" s="1">
        <f t="shared" si="0"/>
        <v>0.52500000000000002</v>
      </c>
      <c r="M9">
        <v>0.96499999999999997</v>
      </c>
      <c r="N9" s="2">
        <f t="shared" si="1"/>
        <v>6.0794999999999995</v>
      </c>
    </row>
    <row r="10" spans="1:14" x14ac:dyDescent="0.35">
      <c r="A10">
        <v>2002</v>
      </c>
      <c r="B10" s="22">
        <v>44.4</v>
      </c>
      <c r="C10" s="6">
        <v>19.799999999999997</v>
      </c>
      <c r="D10" s="6">
        <v>0.66666666666666663</v>
      </c>
      <c r="E10" s="4">
        <v>11.5</v>
      </c>
      <c r="F10" s="4">
        <v>0.5</v>
      </c>
      <c r="G10" s="4"/>
      <c r="H10" s="4"/>
      <c r="I10" s="3"/>
      <c r="J10" s="3"/>
      <c r="K10" s="16">
        <f t="shared" si="2"/>
        <v>11.5</v>
      </c>
      <c r="L10" s="1">
        <f t="shared" si="0"/>
        <v>0.5</v>
      </c>
      <c r="M10">
        <v>0.956666666666666</v>
      </c>
      <c r="N10" s="2">
        <f t="shared" si="1"/>
        <v>11.00166666666666</v>
      </c>
    </row>
    <row r="11" spans="1:14" x14ac:dyDescent="0.35">
      <c r="A11">
        <v>2003</v>
      </c>
      <c r="B11" s="22">
        <v>63</v>
      </c>
      <c r="C11" s="6">
        <v>29.8</v>
      </c>
      <c r="D11" s="6">
        <v>0.60080645161290325</v>
      </c>
      <c r="E11" s="4">
        <v>30.199999999999996</v>
      </c>
      <c r="F11" s="4">
        <v>0.65938864628820959</v>
      </c>
      <c r="G11" s="4"/>
      <c r="H11" s="4"/>
      <c r="I11" s="3"/>
      <c r="J11" s="3"/>
      <c r="K11" s="16">
        <f t="shared" si="2"/>
        <v>30.199999999999996</v>
      </c>
      <c r="L11" s="1">
        <f t="shared" si="0"/>
        <v>0.65938864628820959</v>
      </c>
      <c r="M11">
        <v>0.94833333333333303</v>
      </c>
      <c r="N11" s="2">
        <f t="shared" si="1"/>
        <v>28.639666666666653</v>
      </c>
    </row>
    <row r="12" spans="1:14" x14ac:dyDescent="0.35">
      <c r="A12">
        <v>2004</v>
      </c>
      <c r="B12" s="22">
        <v>100.8</v>
      </c>
      <c r="C12" s="6">
        <v>29.8</v>
      </c>
      <c r="D12" s="6">
        <v>0.50084033613445378</v>
      </c>
      <c r="E12" s="4">
        <v>33.299999999999997</v>
      </c>
      <c r="F12" s="4">
        <v>0.57612456747404839</v>
      </c>
      <c r="G12" s="4"/>
      <c r="H12" s="4"/>
      <c r="I12" s="3"/>
      <c r="J12" s="3"/>
      <c r="K12" s="16">
        <f t="shared" si="2"/>
        <v>33.299999999999997</v>
      </c>
      <c r="L12" s="1">
        <f t="shared" si="0"/>
        <v>0.57612456747404839</v>
      </c>
      <c r="M12">
        <v>0.94</v>
      </c>
      <c r="N12" s="2">
        <f t="shared" si="1"/>
        <v>31.301999999999996</v>
      </c>
    </row>
    <row r="13" spans="1:14" x14ac:dyDescent="0.35">
      <c r="A13">
        <v>2005</v>
      </c>
      <c r="B13" s="22">
        <v>103</v>
      </c>
      <c r="C13" s="6">
        <v>49.599999999999994</v>
      </c>
      <c r="D13" s="6">
        <v>0.58837485172004744</v>
      </c>
      <c r="E13" s="4">
        <v>50.999999999999993</v>
      </c>
      <c r="F13" s="4">
        <v>0.64885496183206104</v>
      </c>
      <c r="G13" s="4"/>
      <c r="H13" s="4"/>
      <c r="I13" s="3"/>
      <c r="J13" s="3"/>
      <c r="K13" s="16">
        <f t="shared" si="2"/>
        <v>50.999999999999993</v>
      </c>
      <c r="L13" s="1">
        <f t="shared" si="0"/>
        <v>0.64885496183206104</v>
      </c>
      <c r="M13">
        <v>0.93768129339999995</v>
      </c>
      <c r="N13" s="2">
        <f t="shared" si="1"/>
        <v>47.821745963399991</v>
      </c>
    </row>
    <row r="14" spans="1:14" x14ac:dyDescent="0.35">
      <c r="A14">
        <v>2006</v>
      </c>
      <c r="B14" s="22">
        <v>144</v>
      </c>
      <c r="C14" s="6">
        <v>69.3</v>
      </c>
      <c r="D14" s="6">
        <v>0.63577981651376148</v>
      </c>
      <c r="E14" s="4">
        <v>66.7</v>
      </c>
      <c r="F14" s="4">
        <v>0.64011516314779271</v>
      </c>
      <c r="G14" s="4"/>
      <c r="H14" s="4"/>
      <c r="I14" s="3"/>
      <c r="J14" s="3"/>
      <c r="K14" s="16">
        <f t="shared" si="2"/>
        <v>66.7</v>
      </c>
      <c r="L14" s="1">
        <f t="shared" si="0"/>
        <v>0.64011516314779271</v>
      </c>
      <c r="M14">
        <v>0.93536258679999995</v>
      </c>
      <c r="N14" s="2">
        <f t="shared" si="1"/>
        <v>62.388684539559996</v>
      </c>
    </row>
    <row r="15" spans="1:14" x14ac:dyDescent="0.35">
      <c r="A15">
        <v>2007</v>
      </c>
      <c r="B15" s="22">
        <v>207.5</v>
      </c>
      <c r="C15" s="6">
        <v>109</v>
      </c>
      <c r="D15" s="6">
        <v>0.64688427299703266</v>
      </c>
      <c r="E15" s="4">
        <v>102.60000000000001</v>
      </c>
      <c r="F15" s="4">
        <v>0.63965087281795519</v>
      </c>
      <c r="G15" s="4"/>
      <c r="H15" s="4"/>
      <c r="I15" s="3"/>
      <c r="J15" s="3"/>
      <c r="K15" s="16">
        <f t="shared" si="2"/>
        <v>102.60000000000001</v>
      </c>
      <c r="L15" s="1">
        <f t="shared" si="0"/>
        <v>0.63965087281795519</v>
      </c>
      <c r="M15">
        <v>0.93304388019999995</v>
      </c>
      <c r="N15" s="2">
        <f t="shared" si="1"/>
        <v>95.730302108520007</v>
      </c>
    </row>
    <row r="16" spans="1:14" x14ac:dyDescent="0.35">
      <c r="A16">
        <v>2008</v>
      </c>
      <c r="B16" s="22">
        <v>338</v>
      </c>
      <c r="C16" s="6">
        <v>218.09999999999997</v>
      </c>
      <c r="D16" s="6">
        <v>0.72123015873015872</v>
      </c>
      <c r="E16" s="4">
        <v>212.50000000000003</v>
      </c>
      <c r="F16" s="4">
        <v>0.7325060324026198</v>
      </c>
      <c r="G16" s="4"/>
      <c r="H16" s="4"/>
      <c r="I16" s="3"/>
      <c r="J16" s="3"/>
      <c r="K16" s="16">
        <f t="shared" si="2"/>
        <v>212.50000000000003</v>
      </c>
      <c r="L16" s="1">
        <f t="shared" si="0"/>
        <v>0.7325060324026198</v>
      </c>
      <c r="M16">
        <v>0.93072517359999996</v>
      </c>
      <c r="N16" s="2">
        <f t="shared" si="1"/>
        <v>197.77909939000003</v>
      </c>
    </row>
    <row r="17" spans="1:14" x14ac:dyDescent="0.35">
      <c r="A17">
        <v>2009</v>
      </c>
      <c r="B17" s="22">
        <v>790.09999999999991</v>
      </c>
      <c r="C17" s="6">
        <v>267.8</v>
      </c>
      <c r="D17" s="6">
        <v>0.61379784551913819</v>
      </c>
      <c r="E17" s="4"/>
      <c r="F17" s="4"/>
      <c r="G17" s="4">
        <v>288.10000000000002</v>
      </c>
      <c r="H17" s="4">
        <v>0.64164810690423169</v>
      </c>
      <c r="I17" s="7" t="s">
        <v>8</v>
      </c>
      <c r="J17" s="8">
        <f>SUM(K3:K17)</f>
        <v>854.270666667</v>
      </c>
      <c r="K17" s="16">
        <f>G17</f>
        <v>288.10000000000002</v>
      </c>
      <c r="L17" s="1">
        <f>D17</f>
        <v>0.61379784551913819</v>
      </c>
      <c r="M17">
        <v>0.92840646699999996</v>
      </c>
      <c r="N17" s="2">
        <f t="shared" si="1"/>
        <v>267.47390314270001</v>
      </c>
    </row>
    <row r="18" spans="1:14" x14ac:dyDescent="0.35">
      <c r="A18">
        <v>2010</v>
      </c>
      <c r="B18" s="22">
        <v>960.40000000000009</v>
      </c>
      <c r="C18" s="6">
        <v>602</v>
      </c>
      <c r="D18" s="6">
        <v>0.70990566037735847</v>
      </c>
      <c r="E18" s="4"/>
      <c r="F18" s="4"/>
      <c r="G18" s="4">
        <v>631</v>
      </c>
      <c r="H18" s="4">
        <v>0.70660694288913772</v>
      </c>
      <c r="I18" s="3">
        <v>598.38707499999998</v>
      </c>
      <c r="J18" s="3">
        <v>0.70494853288536619</v>
      </c>
      <c r="K18" s="17">
        <f>I18</f>
        <v>598.38707499999998</v>
      </c>
      <c r="L18" s="1">
        <f>J18</f>
        <v>0.70494853288536619</v>
      </c>
      <c r="M18">
        <v>0.84828495999999998</v>
      </c>
      <c r="N18" s="2">
        <f t="shared" si="1"/>
        <v>507.60275598089197</v>
      </c>
    </row>
    <row r="19" spans="1:14" x14ac:dyDescent="0.35">
      <c r="A19">
        <v>2011</v>
      </c>
      <c r="C19" s="6">
        <v>1586</v>
      </c>
      <c r="D19" s="6">
        <v>0.83959767072525149</v>
      </c>
      <c r="E19" s="4"/>
      <c r="F19" s="4"/>
      <c r="G19" s="4">
        <v>1520</v>
      </c>
      <c r="H19" s="4">
        <v>0.824295010845987</v>
      </c>
      <c r="I19" s="3">
        <v>1596.9187147970001</v>
      </c>
      <c r="J19" s="3">
        <v>0.82284129514024529</v>
      </c>
      <c r="K19" s="17">
        <f t="shared" ref="K19:K29" si="3">I19</f>
        <v>1596.9187147970001</v>
      </c>
      <c r="L19" s="1">
        <f t="shared" ref="L19:L28" si="4">J19</f>
        <v>0.82284129514024529</v>
      </c>
      <c r="M19">
        <v>0.92755418000000001</v>
      </c>
      <c r="N19" s="2">
        <f t="shared" si="1"/>
        <v>1481.2286290301854</v>
      </c>
    </row>
    <row r="20" spans="1:14" x14ac:dyDescent="0.35">
      <c r="A20">
        <v>2012</v>
      </c>
      <c r="C20" s="6">
        <v>2825</v>
      </c>
      <c r="D20" s="6">
        <v>0.85244417622208812</v>
      </c>
      <c r="E20" s="4"/>
      <c r="F20" s="4"/>
      <c r="G20" s="4">
        <v>2922.2</v>
      </c>
      <c r="H20" s="4">
        <v>0.84659732885244954</v>
      </c>
      <c r="I20" s="3">
        <v>2870.8096344149399</v>
      </c>
      <c r="J20" s="3">
        <v>0.85089893560969032</v>
      </c>
      <c r="K20" s="17">
        <f t="shared" si="3"/>
        <v>2870.8096344149399</v>
      </c>
      <c r="L20" s="1">
        <f t="shared" si="4"/>
        <v>0.85089893560969032</v>
      </c>
      <c r="M20">
        <v>0.90832328100000004</v>
      </c>
      <c r="N20" s="2">
        <f t="shared" si="1"/>
        <v>2607.6232262581889</v>
      </c>
    </row>
    <row r="21" spans="1:14" x14ac:dyDescent="0.35">
      <c r="A21">
        <v>2013</v>
      </c>
      <c r="E21" s="4"/>
      <c r="F21" s="4"/>
      <c r="G21" s="4">
        <v>3734.6000000000004</v>
      </c>
      <c r="H21" s="4">
        <v>0.80580848401156524</v>
      </c>
      <c r="I21" s="3">
        <v>3958.9226131057503</v>
      </c>
      <c r="J21" s="3">
        <v>0.83069388701174662</v>
      </c>
      <c r="K21" s="17">
        <f t="shared" si="3"/>
        <v>3958.9226131057503</v>
      </c>
      <c r="L21" s="1">
        <f t="shared" si="4"/>
        <v>0.83069388701174662</v>
      </c>
      <c r="M21">
        <v>0.84717097200000002</v>
      </c>
      <c r="N21" s="2">
        <f t="shared" si="1"/>
        <v>3353.8843182175783</v>
      </c>
    </row>
    <row r="22" spans="1:14" x14ac:dyDescent="0.35">
      <c r="A22">
        <v>2014</v>
      </c>
      <c r="I22" s="3">
        <v>4957.5187404296503</v>
      </c>
      <c r="J22" s="3">
        <v>0.79385719157050227</v>
      </c>
      <c r="K22" s="17">
        <f t="shared" si="3"/>
        <v>4957.5187404296503</v>
      </c>
      <c r="L22" s="1">
        <f t="shared" si="4"/>
        <v>0.79385719157050227</v>
      </c>
      <c r="M22">
        <v>0.596136322</v>
      </c>
      <c r="N22" s="2">
        <f t="shared" si="1"/>
        <v>2955.3569881658045</v>
      </c>
    </row>
    <row r="23" spans="1:14" x14ac:dyDescent="0.35">
      <c r="A23">
        <v>2015</v>
      </c>
      <c r="I23" s="3">
        <v>5323.5927222003093</v>
      </c>
      <c r="J23" s="3">
        <v>0.70895614431880372</v>
      </c>
      <c r="K23" s="17">
        <f t="shared" si="3"/>
        <v>5323.5927222003093</v>
      </c>
      <c r="L23" s="1">
        <f t="shared" si="4"/>
        <v>0.70895614431880372</v>
      </c>
      <c r="M23">
        <v>0.91116584599999995</v>
      </c>
      <c r="N23" s="2">
        <f t="shared" si="1"/>
        <v>4850.6758664830877</v>
      </c>
    </row>
    <row r="24" spans="1:14" x14ac:dyDescent="0.35">
      <c r="A24">
        <v>2016</v>
      </c>
      <c r="I24" s="3">
        <v>12424.388969584639</v>
      </c>
      <c r="J24" s="3">
        <v>0.82259236143177517</v>
      </c>
      <c r="K24" s="17">
        <f t="shared" si="3"/>
        <v>12424.388969584639</v>
      </c>
      <c r="L24" s="1">
        <f t="shared" si="4"/>
        <v>0.82259236143177517</v>
      </c>
      <c r="M24">
        <v>0.854396763</v>
      </c>
      <c r="N24" s="2">
        <f t="shared" si="1"/>
        <v>10615.357717866022</v>
      </c>
    </row>
    <row r="25" spans="1:14" x14ac:dyDescent="0.35">
      <c r="A25">
        <v>2017</v>
      </c>
      <c r="I25" s="3">
        <v>8718.5985456361705</v>
      </c>
      <c r="J25" s="3">
        <v>0.78687254978114662</v>
      </c>
      <c r="K25" s="17">
        <f t="shared" si="3"/>
        <v>8718.5985456361705</v>
      </c>
      <c r="L25" s="1">
        <f t="shared" si="4"/>
        <v>0.78687254978114662</v>
      </c>
      <c r="M25">
        <v>0.89200710500000002</v>
      </c>
      <c r="N25" s="2">
        <f t="shared" si="1"/>
        <v>7777.051848350131</v>
      </c>
    </row>
    <row r="26" spans="1:14" x14ac:dyDescent="0.35">
      <c r="A26">
        <v>2018</v>
      </c>
      <c r="I26" s="3">
        <v>8317.9550969831307</v>
      </c>
      <c r="J26" s="3">
        <v>0.77328917803719699</v>
      </c>
      <c r="K26" s="17">
        <f t="shared" si="3"/>
        <v>8317.9550969831307</v>
      </c>
      <c r="L26" s="1">
        <f t="shared" si="4"/>
        <v>0.77328917803719699</v>
      </c>
      <c r="M26">
        <v>0.87078198799999995</v>
      </c>
      <c r="N26" s="2">
        <f t="shared" si="1"/>
        <v>7243.1254754457032</v>
      </c>
    </row>
    <row r="27" spans="1:14" x14ac:dyDescent="0.35">
      <c r="A27">
        <v>2019</v>
      </c>
      <c r="I27" s="3">
        <v>10538.67695379609</v>
      </c>
      <c r="J27" s="3">
        <v>0.77982783875477768</v>
      </c>
      <c r="K27" s="17">
        <f t="shared" si="3"/>
        <v>10538.67695379609</v>
      </c>
      <c r="L27" s="1">
        <f t="shared" si="4"/>
        <v>0.77982783875477768</v>
      </c>
      <c r="M27">
        <v>0.81800867600000005</v>
      </c>
      <c r="N27" s="2">
        <f t="shared" si="1"/>
        <v>8620.7291817664536</v>
      </c>
    </row>
    <row r="28" spans="1:14" ht="15" thickBot="1" x14ac:dyDescent="0.4">
      <c r="A28">
        <v>2020</v>
      </c>
      <c r="I28" s="3">
        <v>16027</v>
      </c>
      <c r="J28" s="3">
        <v>0.8239738534260812</v>
      </c>
      <c r="K28" s="18">
        <f t="shared" si="3"/>
        <v>16027</v>
      </c>
      <c r="L28" s="1">
        <f t="shared" si="4"/>
        <v>0.8239738534260812</v>
      </c>
      <c r="M28">
        <v>0.85</v>
      </c>
      <c r="N28" s="2">
        <f t="shared" si="1"/>
        <v>13622.949999999999</v>
      </c>
    </row>
    <row r="29" spans="1:14" ht="15" thickBot="1" x14ac:dyDescent="0.4">
      <c r="A29" s="22">
        <v>2021</v>
      </c>
      <c r="I29" s="3">
        <v>23564.62880112612</v>
      </c>
      <c r="J29" s="3">
        <v>0.82151828368770219</v>
      </c>
      <c r="K29" s="18">
        <f t="shared" si="3"/>
        <v>23564.62880112612</v>
      </c>
      <c r="L29" s="1">
        <f>J29</f>
        <v>0.82151828368770219</v>
      </c>
    </row>
    <row r="30" spans="1:14" x14ac:dyDescent="0.35">
      <c r="A30" s="22">
        <v>2022</v>
      </c>
    </row>
    <row r="31" spans="1:14" x14ac:dyDescent="0.35">
      <c r="A31" s="22">
        <v>2023</v>
      </c>
    </row>
    <row r="32" spans="1:14" x14ac:dyDescent="0.35">
      <c r="A32" s="22">
        <v>2024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C5DA-D656-4E74-BD20-592539DB4636}">
  <dimension ref="A1:AG34"/>
  <sheetViews>
    <sheetView tabSelected="1" zoomScaleNormal="100" workbookViewId="0">
      <selection activeCell="R30" sqref="R30"/>
    </sheetView>
  </sheetViews>
  <sheetFormatPr defaultRowHeight="14.5" x14ac:dyDescent="0.35"/>
  <cols>
    <col min="1" max="1" width="5.1796875" style="22" bestFit="1" customWidth="1"/>
    <col min="2" max="2" width="10.453125" bestFit="1" customWidth="1"/>
    <col min="3" max="3" width="11" bestFit="1" customWidth="1"/>
    <col min="4" max="4" width="6.08984375" bestFit="1" customWidth="1"/>
    <col min="5" max="5" width="30.26953125" style="28" bestFit="1" customWidth="1"/>
    <col min="6" max="6" width="1.7265625" style="27" customWidth="1"/>
    <col min="7" max="7" width="12.6328125" style="27" bestFit="1" customWidth="1"/>
    <col min="8" max="8" width="6.90625" customWidth="1"/>
    <col min="9" max="9" width="12.08984375" customWidth="1"/>
    <col min="10" max="10" width="10.453125" bestFit="1" customWidth="1"/>
    <col min="11" max="11" width="11" bestFit="1" customWidth="1"/>
    <col min="12" max="12" width="11" style="28" customWidth="1"/>
    <col min="13" max="13" width="6.08984375" bestFit="1" customWidth="1"/>
    <col min="14" max="14" width="17.453125" customWidth="1"/>
    <col min="15" max="15" width="2" customWidth="1"/>
    <col min="16" max="16" width="12.7265625" customWidth="1"/>
    <col min="17" max="17" width="11" bestFit="1" customWidth="1"/>
    <col min="18" max="18" width="6.08984375" bestFit="1" customWidth="1"/>
    <col min="19" max="19" width="26.453125" bestFit="1" customWidth="1"/>
    <col min="20" max="20" width="0.90625" customWidth="1"/>
    <col min="21" max="21" width="10.36328125" customWidth="1"/>
    <col min="22" max="22" width="11" bestFit="1" customWidth="1"/>
    <col min="23" max="23" width="6.08984375" bestFit="1" customWidth="1"/>
    <col min="24" max="24" width="10.453125" bestFit="1" customWidth="1"/>
    <col min="25" max="25" width="11" bestFit="1" customWidth="1"/>
    <col min="26" max="26" width="6.08984375" bestFit="1" customWidth="1"/>
    <col min="27" max="27" width="17.08984375" customWidth="1"/>
  </cols>
  <sheetData>
    <row r="1" spans="1:33" s="22" customFormat="1" x14ac:dyDescent="0.35">
      <c r="B1" s="22" t="s">
        <v>59</v>
      </c>
      <c r="E1" s="28"/>
      <c r="F1" s="27"/>
      <c r="G1" s="27"/>
      <c r="I1"/>
      <c r="J1" t="s">
        <v>69</v>
      </c>
      <c r="K1"/>
      <c r="L1" s="28"/>
      <c r="M1"/>
      <c r="N1"/>
      <c r="O1"/>
      <c r="P1" t="s">
        <v>62</v>
      </c>
      <c r="Q1"/>
      <c r="R1"/>
      <c r="S1"/>
      <c r="T1"/>
      <c r="U1" t="s">
        <v>66</v>
      </c>
      <c r="V1"/>
      <c r="W1"/>
      <c r="X1"/>
      <c r="Y1"/>
      <c r="Z1"/>
      <c r="AA1"/>
      <c r="AB1"/>
      <c r="AC1"/>
      <c r="AD1"/>
      <c r="AE1"/>
      <c r="AF1"/>
      <c r="AG1"/>
    </row>
    <row r="2" spans="1:33" x14ac:dyDescent="0.35">
      <c r="B2" t="s">
        <v>61</v>
      </c>
      <c r="J2" t="s">
        <v>46</v>
      </c>
      <c r="K2" t="s">
        <v>58</v>
      </c>
      <c r="U2" t="s">
        <v>67</v>
      </c>
      <c r="X2" t="s">
        <v>68</v>
      </c>
    </row>
    <row r="3" spans="1:33" x14ac:dyDescent="0.35">
      <c r="A3" s="22" t="s">
        <v>73</v>
      </c>
      <c r="B3" t="s">
        <v>11</v>
      </c>
      <c r="C3" t="s">
        <v>10</v>
      </c>
      <c r="D3" t="s">
        <v>9</v>
      </c>
      <c r="E3" s="28" t="s">
        <v>74</v>
      </c>
      <c r="G3" s="27" t="s">
        <v>15</v>
      </c>
      <c r="H3" t="s">
        <v>31</v>
      </c>
      <c r="I3" t="s">
        <v>32</v>
      </c>
      <c r="J3" s="27" t="s">
        <v>70</v>
      </c>
      <c r="K3" s="27" t="s">
        <v>71</v>
      </c>
      <c r="L3" s="28" t="s">
        <v>32</v>
      </c>
      <c r="M3" s="27" t="s">
        <v>72</v>
      </c>
      <c r="N3" t="s">
        <v>32</v>
      </c>
      <c r="P3" s="28" t="s">
        <v>63</v>
      </c>
      <c r="Q3" s="28" t="s">
        <v>64</v>
      </c>
      <c r="R3" s="28" t="s">
        <v>65</v>
      </c>
      <c r="S3" t="s">
        <v>75</v>
      </c>
      <c r="U3" s="28" t="s">
        <v>11</v>
      </c>
      <c r="V3" s="28" t="s">
        <v>10</v>
      </c>
      <c r="W3" s="28" t="s">
        <v>9</v>
      </c>
      <c r="X3" s="28" t="s">
        <v>11</v>
      </c>
      <c r="Y3" s="28" t="s">
        <v>10</v>
      </c>
      <c r="Z3" s="28" t="s">
        <v>9</v>
      </c>
      <c r="AA3" t="s">
        <v>32</v>
      </c>
    </row>
    <row r="4" spans="1:33" x14ac:dyDescent="0.35">
      <c r="A4" s="22">
        <v>1995</v>
      </c>
      <c r="B4" s="30">
        <v>9.6999999999999993</v>
      </c>
      <c r="C4" s="30"/>
      <c r="D4" s="27">
        <v>12</v>
      </c>
      <c r="E4" s="28">
        <f>SUM(B4:D4)</f>
        <v>21.7</v>
      </c>
      <c r="G4" s="27">
        <f t="shared" ref="G4:G18" si="0">SUM(C4:D4)</f>
        <v>12</v>
      </c>
      <c r="H4" s="27">
        <f t="shared" ref="H4:H18" si="1">SUM(B4:D4)</f>
        <v>21.7</v>
      </c>
      <c r="I4" s="27" t="s">
        <v>44</v>
      </c>
      <c r="J4">
        <v>1</v>
      </c>
      <c r="K4">
        <v>1</v>
      </c>
      <c r="M4">
        <v>1</v>
      </c>
      <c r="N4" t="s">
        <v>45</v>
      </c>
      <c r="P4" s="30">
        <f>B4*J4</f>
        <v>9.6999999999999993</v>
      </c>
      <c r="Q4" s="30"/>
      <c r="R4" s="28">
        <f t="shared" ref="R4:R8" si="2">D4*M4</f>
        <v>12</v>
      </c>
      <c r="S4">
        <f>SUM(P4:R4)</f>
        <v>21.7</v>
      </c>
    </row>
    <row r="5" spans="1:33" x14ac:dyDescent="0.35">
      <c r="A5" s="22">
        <v>1996</v>
      </c>
      <c r="B5" s="30">
        <v>1.3000000000000007</v>
      </c>
      <c r="C5" s="30"/>
      <c r="D5" s="27">
        <v>0</v>
      </c>
      <c r="E5" s="28">
        <f t="shared" ref="E5:E29" si="3">SUM(B5:D5)</f>
        <v>1.3000000000000007</v>
      </c>
      <c r="G5" s="27">
        <f t="shared" si="0"/>
        <v>0</v>
      </c>
      <c r="H5" s="27">
        <f t="shared" si="1"/>
        <v>1.3000000000000007</v>
      </c>
      <c r="I5" s="27" t="s">
        <v>44</v>
      </c>
      <c r="J5" s="27">
        <v>1</v>
      </c>
      <c r="K5" s="28">
        <v>1</v>
      </c>
      <c r="M5" s="28">
        <v>1</v>
      </c>
      <c r="P5" s="30">
        <f t="shared" ref="P5:P7" si="4">B5*J5</f>
        <v>1.3000000000000007</v>
      </c>
      <c r="Q5" s="30"/>
      <c r="R5" s="28">
        <f t="shared" si="2"/>
        <v>0</v>
      </c>
      <c r="S5" s="28">
        <f t="shared" ref="S5:S30" si="5">SUM(P5:R5)</f>
        <v>1.3000000000000007</v>
      </c>
    </row>
    <row r="6" spans="1:33" x14ac:dyDescent="0.35">
      <c r="A6" s="22">
        <v>1997</v>
      </c>
      <c r="B6" s="30">
        <v>2.6999999999999993</v>
      </c>
      <c r="C6" s="30"/>
      <c r="D6" s="27">
        <v>0</v>
      </c>
      <c r="E6" s="28">
        <f t="shared" si="3"/>
        <v>2.6999999999999993</v>
      </c>
      <c r="G6" s="27">
        <f t="shared" si="0"/>
        <v>0</v>
      </c>
      <c r="H6" s="27">
        <f t="shared" si="1"/>
        <v>2.6999999999999993</v>
      </c>
      <c r="I6" s="27" t="s">
        <v>44</v>
      </c>
      <c r="J6" s="27">
        <v>1</v>
      </c>
      <c r="K6" s="28">
        <v>1</v>
      </c>
      <c r="M6" s="28">
        <v>1</v>
      </c>
      <c r="P6" s="30">
        <f t="shared" si="4"/>
        <v>2.6999999999999993</v>
      </c>
      <c r="Q6" s="30"/>
      <c r="R6" s="28">
        <f t="shared" si="2"/>
        <v>0</v>
      </c>
      <c r="S6" s="28">
        <f t="shared" si="5"/>
        <v>2.6999999999999993</v>
      </c>
    </row>
    <row r="7" spans="1:33" x14ac:dyDescent="0.35">
      <c r="A7" s="22">
        <v>1998</v>
      </c>
      <c r="B7" s="30">
        <v>2.2000000000000011</v>
      </c>
      <c r="C7" s="30"/>
      <c r="D7" s="27">
        <v>0</v>
      </c>
      <c r="E7" s="28">
        <f t="shared" si="3"/>
        <v>2.2000000000000011</v>
      </c>
      <c r="G7" s="27">
        <f t="shared" si="0"/>
        <v>0</v>
      </c>
      <c r="H7" s="27">
        <f t="shared" si="1"/>
        <v>2.2000000000000011</v>
      </c>
      <c r="I7" s="27" t="s">
        <v>44</v>
      </c>
      <c r="J7" s="27">
        <v>1</v>
      </c>
      <c r="K7" s="28">
        <v>1</v>
      </c>
      <c r="M7" s="28">
        <v>1</v>
      </c>
      <c r="P7" s="30">
        <f t="shared" si="4"/>
        <v>2.2000000000000011</v>
      </c>
      <c r="Q7" s="30"/>
      <c r="R7" s="28">
        <f t="shared" si="2"/>
        <v>0</v>
      </c>
      <c r="S7" s="28">
        <f t="shared" si="5"/>
        <v>2.2000000000000011</v>
      </c>
    </row>
    <row r="8" spans="1:33" x14ac:dyDescent="0.35">
      <c r="A8" s="22">
        <v>1999</v>
      </c>
      <c r="B8">
        <v>0</v>
      </c>
      <c r="C8">
        <v>3</v>
      </c>
      <c r="D8">
        <v>0</v>
      </c>
      <c r="E8" s="28">
        <f t="shared" si="3"/>
        <v>3</v>
      </c>
      <c r="G8" s="27">
        <f t="shared" si="0"/>
        <v>3</v>
      </c>
      <c r="H8" s="27">
        <f t="shared" si="1"/>
        <v>3</v>
      </c>
      <c r="I8" s="27" t="s">
        <v>1</v>
      </c>
      <c r="J8" s="27">
        <v>1</v>
      </c>
      <c r="K8" s="28">
        <v>1</v>
      </c>
      <c r="M8" s="28">
        <v>1</v>
      </c>
      <c r="P8">
        <f>B8*J8</f>
        <v>0</v>
      </c>
      <c r="Q8" s="28">
        <f>C8*K8</f>
        <v>3</v>
      </c>
      <c r="R8" s="28">
        <f t="shared" si="2"/>
        <v>0</v>
      </c>
      <c r="S8" s="28">
        <f t="shared" si="5"/>
        <v>3</v>
      </c>
    </row>
    <row r="9" spans="1:33" x14ac:dyDescent="0.35">
      <c r="A9" s="22">
        <v>2000</v>
      </c>
      <c r="B9">
        <v>0</v>
      </c>
      <c r="C9">
        <v>3</v>
      </c>
      <c r="D9">
        <v>0.6</v>
      </c>
      <c r="E9" s="28">
        <f t="shared" si="3"/>
        <v>3.6</v>
      </c>
      <c r="G9" s="27">
        <f>SUM(C9:D9)</f>
        <v>3.6</v>
      </c>
      <c r="H9" s="27">
        <f t="shared" si="1"/>
        <v>3.6</v>
      </c>
      <c r="I9" s="27" t="s">
        <v>1</v>
      </c>
      <c r="J9" s="27">
        <v>1</v>
      </c>
      <c r="K9" s="28">
        <v>1</v>
      </c>
      <c r="M9" s="28">
        <v>1</v>
      </c>
      <c r="P9" s="28">
        <f t="shared" ref="P9:P30" si="6">B9*J9</f>
        <v>0</v>
      </c>
      <c r="Q9" s="28">
        <f t="shared" ref="Q9:Q30" si="7">C9*K9</f>
        <v>3</v>
      </c>
      <c r="R9" s="28">
        <f t="shared" ref="R9:R30" si="8">D9*M9</f>
        <v>0.6</v>
      </c>
      <c r="S9" s="28">
        <f t="shared" si="5"/>
        <v>3.6</v>
      </c>
    </row>
    <row r="10" spans="1:33" x14ac:dyDescent="0.35">
      <c r="A10" s="22">
        <v>2001</v>
      </c>
      <c r="B10">
        <v>5.7</v>
      </c>
      <c r="C10">
        <v>2.6000000000000005</v>
      </c>
      <c r="D10">
        <v>3.6999999999999993</v>
      </c>
      <c r="E10" s="28">
        <f t="shared" si="3"/>
        <v>12</v>
      </c>
      <c r="G10" s="27">
        <f t="shared" si="0"/>
        <v>6.3</v>
      </c>
      <c r="H10" s="27">
        <f t="shared" si="1"/>
        <v>12</v>
      </c>
      <c r="I10" s="27" t="s">
        <v>1</v>
      </c>
      <c r="J10" s="27">
        <v>1</v>
      </c>
      <c r="K10" s="28">
        <v>1</v>
      </c>
      <c r="M10" s="28">
        <v>1</v>
      </c>
      <c r="P10" s="28">
        <f t="shared" si="6"/>
        <v>5.7</v>
      </c>
      <c r="Q10" s="28">
        <f t="shared" si="7"/>
        <v>2.6000000000000005</v>
      </c>
      <c r="R10" s="28">
        <f t="shared" si="8"/>
        <v>3.6999999999999993</v>
      </c>
      <c r="S10" s="28">
        <f t="shared" si="5"/>
        <v>12</v>
      </c>
    </row>
    <row r="11" spans="1:33" x14ac:dyDescent="0.35">
      <c r="A11" s="22">
        <v>2002</v>
      </c>
      <c r="B11">
        <v>11.5</v>
      </c>
      <c r="C11">
        <v>8.8000000000000007</v>
      </c>
      <c r="D11">
        <v>2.6999999999999993</v>
      </c>
      <c r="E11" s="28">
        <f t="shared" si="3"/>
        <v>23</v>
      </c>
      <c r="G11" s="27">
        <f t="shared" si="0"/>
        <v>11.5</v>
      </c>
      <c r="H11" s="27">
        <f>SUM(B11:D11)</f>
        <v>23</v>
      </c>
      <c r="I11" s="27" t="s">
        <v>1</v>
      </c>
      <c r="J11" s="27">
        <v>1</v>
      </c>
      <c r="K11" s="28">
        <v>1</v>
      </c>
      <c r="M11" s="28">
        <v>1</v>
      </c>
      <c r="P11" s="28">
        <f t="shared" si="6"/>
        <v>11.5</v>
      </c>
      <c r="Q11" s="28">
        <f t="shared" si="7"/>
        <v>8.8000000000000007</v>
      </c>
      <c r="R11" s="28">
        <f t="shared" si="8"/>
        <v>2.6999999999999993</v>
      </c>
      <c r="S11" s="28">
        <f t="shared" si="5"/>
        <v>23</v>
      </c>
    </row>
    <row r="12" spans="1:33" x14ac:dyDescent="0.35">
      <c r="A12" s="22">
        <v>2003</v>
      </c>
      <c r="B12">
        <v>15.6</v>
      </c>
      <c r="C12">
        <v>26.6</v>
      </c>
      <c r="D12">
        <v>3.5999999999999943</v>
      </c>
      <c r="E12" s="28">
        <f t="shared" si="3"/>
        <v>45.8</v>
      </c>
      <c r="G12" s="27">
        <f t="shared" si="0"/>
        <v>30.199999999999996</v>
      </c>
      <c r="H12" s="27">
        <f t="shared" si="1"/>
        <v>45.8</v>
      </c>
      <c r="I12" s="27" t="s">
        <v>1</v>
      </c>
      <c r="J12" s="27">
        <v>1</v>
      </c>
      <c r="K12" s="28">
        <v>1</v>
      </c>
      <c r="M12" s="28">
        <v>1</v>
      </c>
      <c r="P12" s="28">
        <f t="shared" si="6"/>
        <v>15.6</v>
      </c>
      <c r="Q12" s="28">
        <f t="shared" si="7"/>
        <v>26.6</v>
      </c>
      <c r="R12" s="28">
        <f t="shared" si="8"/>
        <v>3.5999999999999943</v>
      </c>
      <c r="S12" s="28">
        <f t="shared" si="5"/>
        <v>45.8</v>
      </c>
    </row>
    <row r="13" spans="1:33" x14ac:dyDescent="0.35">
      <c r="A13" s="22">
        <v>2004</v>
      </c>
      <c r="B13">
        <v>24.5</v>
      </c>
      <c r="C13">
        <v>31.200000000000003</v>
      </c>
      <c r="D13">
        <v>2.0999999999999943</v>
      </c>
      <c r="E13" s="28">
        <f t="shared" si="3"/>
        <v>57.8</v>
      </c>
      <c r="G13" s="27">
        <f t="shared" si="0"/>
        <v>33.299999999999997</v>
      </c>
      <c r="H13" s="27">
        <f t="shared" si="1"/>
        <v>57.8</v>
      </c>
      <c r="I13" s="27" t="s">
        <v>1</v>
      </c>
      <c r="J13" s="27">
        <v>1</v>
      </c>
      <c r="K13" s="28">
        <v>1</v>
      </c>
      <c r="M13" s="28">
        <v>1</v>
      </c>
      <c r="P13" s="28">
        <f t="shared" si="6"/>
        <v>24.5</v>
      </c>
      <c r="Q13" s="28">
        <f t="shared" si="7"/>
        <v>31.200000000000003</v>
      </c>
      <c r="R13" s="28">
        <f t="shared" si="8"/>
        <v>2.0999999999999943</v>
      </c>
      <c r="S13" s="28">
        <f t="shared" si="5"/>
        <v>57.8</v>
      </c>
    </row>
    <row r="14" spans="1:33" x14ac:dyDescent="0.35">
      <c r="A14" s="22">
        <v>2005</v>
      </c>
      <c r="B14">
        <v>27.6</v>
      </c>
      <c r="C14">
        <v>50.999999999999993</v>
      </c>
      <c r="D14">
        <v>0</v>
      </c>
      <c r="E14" s="28">
        <f t="shared" si="3"/>
        <v>78.599999999999994</v>
      </c>
      <c r="G14" s="27">
        <f t="shared" si="0"/>
        <v>50.999999999999993</v>
      </c>
      <c r="H14" s="27">
        <f t="shared" si="1"/>
        <v>78.599999999999994</v>
      </c>
      <c r="I14" s="27" t="s">
        <v>1</v>
      </c>
      <c r="J14" s="27">
        <v>1</v>
      </c>
      <c r="K14" s="28">
        <v>1</v>
      </c>
      <c r="M14" s="28">
        <v>1</v>
      </c>
      <c r="P14" s="28">
        <f t="shared" si="6"/>
        <v>27.6</v>
      </c>
      <c r="Q14" s="28">
        <f t="shared" si="7"/>
        <v>50.999999999999993</v>
      </c>
      <c r="R14" s="28">
        <f t="shared" si="8"/>
        <v>0</v>
      </c>
      <c r="S14" s="28">
        <f t="shared" si="5"/>
        <v>78.599999999999994</v>
      </c>
    </row>
    <row r="15" spans="1:33" x14ac:dyDescent="0.35">
      <c r="A15" s="22">
        <v>2006</v>
      </c>
      <c r="B15">
        <v>37.5</v>
      </c>
      <c r="C15">
        <v>66.7</v>
      </c>
      <c r="D15">
        <v>0</v>
      </c>
      <c r="E15" s="28">
        <f t="shared" si="3"/>
        <v>104.2</v>
      </c>
      <c r="G15" s="27">
        <f t="shared" si="0"/>
        <v>66.7</v>
      </c>
      <c r="H15" s="27">
        <f t="shared" si="1"/>
        <v>104.2</v>
      </c>
      <c r="I15" s="27" t="s">
        <v>1</v>
      </c>
      <c r="J15" s="27">
        <v>1</v>
      </c>
      <c r="K15" s="28">
        <v>1</v>
      </c>
      <c r="M15" s="28">
        <v>1</v>
      </c>
      <c r="P15" s="28">
        <f t="shared" si="6"/>
        <v>37.5</v>
      </c>
      <c r="Q15" s="28">
        <f t="shared" si="7"/>
        <v>66.7</v>
      </c>
      <c r="R15" s="28">
        <f t="shared" si="8"/>
        <v>0</v>
      </c>
      <c r="S15" s="28">
        <f t="shared" si="5"/>
        <v>104.2</v>
      </c>
    </row>
    <row r="16" spans="1:33" x14ac:dyDescent="0.35">
      <c r="A16" s="22">
        <v>2007</v>
      </c>
      <c r="B16">
        <v>57.8</v>
      </c>
      <c r="C16">
        <v>93.2</v>
      </c>
      <c r="D16">
        <v>9.4000000000000057</v>
      </c>
      <c r="E16" s="28">
        <f t="shared" si="3"/>
        <v>160.4</v>
      </c>
      <c r="G16" s="27">
        <f t="shared" si="0"/>
        <v>102.60000000000001</v>
      </c>
      <c r="H16" s="27">
        <f t="shared" si="1"/>
        <v>160.4</v>
      </c>
      <c r="I16" s="27" t="s">
        <v>1</v>
      </c>
      <c r="J16" s="27">
        <v>1</v>
      </c>
      <c r="K16" s="28">
        <v>1</v>
      </c>
      <c r="M16">
        <v>1</v>
      </c>
      <c r="N16" s="28" t="s">
        <v>49</v>
      </c>
      <c r="P16" s="28">
        <f t="shared" si="6"/>
        <v>57.8</v>
      </c>
      <c r="Q16" s="28">
        <f t="shared" si="7"/>
        <v>93.2</v>
      </c>
      <c r="R16" s="28">
        <f t="shared" si="8"/>
        <v>9.4000000000000057</v>
      </c>
      <c r="S16" s="28">
        <f t="shared" si="5"/>
        <v>160.4</v>
      </c>
    </row>
    <row r="17" spans="1:19" x14ac:dyDescent="0.35">
      <c r="A17" s="22">
        <v>2008</v>
      </c>
      <c r="B17">
        <v>77.599999999999994</v>
      </c>
      <c r="C17">
        <v>189.6</v>
      </c>
      <c r="D17">
        <v>22.900000000000034</v>
      </c>
      <c r="E17" s="28">
        <f t="shared" si="3"/>
        <v>290.10000000000002</v>
      </c>
      <c r="G17" s="27">
        <f>SUM(C17:D17)</f>
        <v>212.50000000000003</v>
      </c>
      <c r="H17" s="27">
        <f t="shared" si="1"/>
        <v>290.10000000000002</v>
      </c>
      <c r="I17" s="27" t="s">
        <v>1</v>
      </c>
      <c r="J17" s="27">
        <v>1</v>
      </c>
      <c r="K17" s="28">
        <v>1</v>
      </c>
      <c r="M17">
        <v>0</v>
      </c>
      <c r="N17" s="28" t="s">
        <v>49</v>
      </c>
      <c r="P17" s="28">
        <f t="shared" si="6"/>
        <v>77.599999999999994</v>
      </c>
      <c r="Q17" s="28">
        <f t="shared" si="7"/>
        <v>189.6</v>
      </c>
      <c r="R17" s="28">
        <f t="shared" si="8"/>
        <v>0</v>
      </c>
      <c r="S17" s="28">
        <f t="shared" si="5"/>
        <v>267.2</v>
      </c>
    </row>
    <row r="18" spans="1:19" x14ac:dyDescent="0.35">
      <c r="A18" s="22">
        <v>2009</v>
      </c>
      <c r="B18" s="12">
        <v>168.5</v>
      </c>
      <c r="C18" s="12">
        <v>208.2</v>
      </c>
      <c r="D18" s="12">
        <v>59.600000000000023</v>
      </c>
      <c r="E18" s="28">
        <f t="shared" si="3"/>
        <v>436.3</v>
      </c>
      <c r="G18" s="27">
        <f t="shared" si="0"/>
        <v>267.8</v>
      </c>
      <c r="H18" s="27">
        <f t="shared" si="1"/>
        <v>436.3</v>
      </c>
      <c r="I18" s="26" t="s">
        <v>34</v>
      </c>
      <c r="J18" s="27">
        <v>1</v>
      </c>
      <c r="K18" s="28">
        <v>1</v>
      </c>
      <c r="M18">
        <v>0.5</v>
      </c>
      <c r="N18" s="28" t="s">
        <v>49</v>
      </c>
      <c r="P18" s="28">
        <f t="shared" si="6"/>
        <v>168.5</v>
      </c>
      <c r="Q18" s="28">
        <f t="shared" si="7"/>
        <v>208.2</v>
      </c>
      <c r="R18" s="28">
        <f t="shared" si="8"/>
        <v>29.800000000000011</v>
      </c>
      <c r="S18" s="28">
        <f t="shared" si="5"/>
        <v>406.5</v>
      </c>
    </row>
    <row r="19" spans="1:19" x14ac:dyDescent="0.35">
      <c r="A19" s="22">
        <v>2010</v>
      </c>
      <c r="B19" s="27">
        <v>246</v>
      </c>
      <c r="C19" s="27">
        <v>337</v>
      </c>
      <c r="D19" s="27">
        <v>267</v>
      </c>
      <c r="E19" s="28">
        <f t="shared" si="3"/>
        <v>850</v>
      </c>
      <c r="G19" s="27">
        <f>SUM(C19:D19)</f>
        <v>604</v>
      </c>
      <c r="H19">
        <f>SUM(B19:D19)</f>
        <v>850</v>
      </c>
      <c r="I19" t="s">
        <v>33</v>
      </c>
      <c r="J19">
        <v>1</v>
      </c>
      <c r="K19" s="28">
        <v>1</v>
      </c>
      <c r="M19">
        <v>0.33333333333333331</v>
      </c>
      <c r="N19" s="28" t="s">
        <v>49</v>
      </c>
      <c r="P19" s="28">
        <f t="shared" si="6"/>
        <v>246</v>
      </c>
      <c r="Q19" s="28">
        <f t="shared" si="7"/>
        <v>337</v>
      </c>
      <c r="R19" s="28">
        <f t="shared" si="8"/>
        <v>89</v>
      </c>
      <c r="S19" s="28">
        <f t="shared" si="5"/>
        <v>672</v>
      </c>
    </row>
    <row r="20" spans="1:19" x14ac:dyDescent="0.35">
      <c r="A20" s="22">
        <v>2011</v>
      </c>
      <c r="B20" s="27">
        <v>305</v>
      </c>
      <c r="C20" s="27">
        <v>850</v>
      </c>
      <c r="D20" s="27">
        <v>786</v>
      </c>
      <c r="E20" s="28">
        <f t="shared" si="3"/>
        <v>1941</v>
      </c>
      <c r="G20" s="27">
        <f t="shared" ref="G20:G30" si="9">SUM(C20:D20)</f>
        <v>1636</v>
      </c>
      <c r="H20" s="27">
        <f t="shared" ref="H20:H30" si="10">SUM(B20:D20)</f>
        <v>1941</v>
      </c>
      <c r="I20" s="27" t="s">
        <v>33</v>
      </c>
      <c r="J20">
        <v>1</v>
      </c>
      <c r="K20" s="28">
        <v>1</v>
      </c>
      <c r="M20">
        <v>0.75</v>
      </c>
      <c r="N20" s="28" t="s">
        <v>49</v>
      </c>
      <c r="P20" s="28">
        <f t="shared" si="6"/>
        <v>305</v>
      </c>
      <c r="Q20" s="28">
        <f t="shared" si="7"/>
        <v>850</v>
      </c>
      <c r="R20" s="28">
        <f t="shared" si="8"/>
        <v>589.5</v>
      </c>
      <c r="S20" s="28">
        <f t="shared" si="5"/>
        <v>1744.5</v>
      </c>
    </row>
    <row r="21" spans="1:19" x14ac:dyDescent="0.35">
      <c r="A21" s="22">
        <v>2012</v>
      </c>
      <c r="B21" s="27">
        <v>496</v>
      </c>
      <c r="C21" s="24">
        <v>1075</v>
      </c>
      <c r="D21" s="24">
        <v>1803</v>
      </c>
      <c r="E21" s="28">
        <f t="shared" si="3"/>
        <v>3374</v>
      </c>
      <c r="F21" s="24"/>
      <c r="G21" s="27">
        <f t="shared" si="9"/>
        <v>2878</v>
      </c>
      <c r="H21" s="27">
        <f t="shared" si="10"/>
        <v>3374</v>
      </c>
      <c r="I21" s="27" t="s">
        <v>33</v>
      </c>
      <c r="J21">
        <v>1</v>
      </c>
      <c r="K21" s="28">
        <v>1</v>
      </c>
      <c r="M21">
        <v>0.75268817204301086</v>
      </c>
      <c r="N21" s="28" t="s">
        <v>49</v>
      </c>
      <c r="P21" s="28">
        <f t="shared" si="6"/>
        <v>496</v>
      </c>
      <c r="Q21" s="28">
        <f t="shared" si="7"/>
        <v>1075</v>
      </c>
      <c r="R21" s="28">
        <f t="shared" si="8"/>
        <v>1357.0967741935485</v>
      </c>
      <c r="S21" s="28">
        <f t="shared" si="5"/>
        <v>2928.0967741935483</v>
      </c>
    </row>
    <row r="22" spans="1:19" x14ac:dyDescent="0.35">
      <c r="A22" s="22">
        <v>2013</v>
      </c>
      <c r="B22" s="27">
        <v>799</v>
      </c>
      <c r="C22" s="24">
        <v>1109</v>
      </c>
      <c r="D22" s="24">
        <v>2858</v>
      </c>
      <c r="E22" s="28">
        <f t="shared" si="3"/>
        <v>4766</v>
      </c>
      <c r="F22" s="24"/>
      <c r="G22" s="27">
        <f t="shared" si="9"/>
        <v>3967</v>
      </c>
      <c r="H22" s="27">
        <f t="shared" si="10"/>
        <v>4766</v>
      </c>
      <c r="I22" s="27" t="s">
        <v>33</v>
      </c>
      <c r="J22">
        <v>1</v>
      </c>
      <c r="K22">
        <f>1-0.000621505142979328</f>
        <v>0.99937849485702068</v>
      </c>
      <c r="L22" t="s">
        <v>47</v>
      </c>
      <c r="M22">
        <v>0.62962962962962965</v>
      </c>
      <c r="N22" s="28" t="s">
        <v>49</v>
      </c>
      <c r="P22" s="28">
        <f t="shared" si="6"/>
        <v>799</v>
      </c>
      <c r="Q22" s="28">
        <f t="shared" si="7"/>
        <v>1108.310750796436</v>
      </c>
      <c r="R22" s="28">
        <f t="shared" si="8"/>
        <v>1799.4814814814815</v>
      </c>
      <c r="S22" s="28">
        <f t="shared" si="5"/>
        <v>3706.7922322779177</v>
      </c>
    </row>
    <row r="23" spans="1:19" x14ac:dyDescent="0.35">
      <c r="A23" s="22">
        <v>2014</v>
      </c>
      <c r="B23" s="24">
        <v>1268</v>
      </c>
      <c r="C23" s="24">
        <v>1055</v>
      </c>
      <c r="D23" s="24">
        <v>3922</v>
      </c>
      <c r="E23" s="28">
        <f t="shared" si="3"/>
        <v>6245</v>
      </c>
      <c r="F23" s="24"/>
      <c r="G23" s="27">
        <f t="shared" si="9"/>
        <v>4977</v>
      </c>
      <c r="H23" s="27">
        <f t="shared" si="10"/>
        <v>6245</v>
      </c>
      <c r="I23" s="27" t="s">
        <v>33</v>
      </c>
      <c r="J23">
        <v>1</v>
      </c>
      <c r="K23">
        <f>1-0.000397762162618945</f>
        <v>0.999602237837381</v>
      </c>
      <c r="L23" s="28" t="s">
        <v>47</v>
      </c>
      <c r="M23">
        <v>0.29968454258675081</v>
      </c>
      <c r="N23" s="28" t="s">
        <v>49</v>
      </c>
      <c r="P23" s="28">
        <f t="shared" si="6"/>
        <v>1268</v>
      </c>
      <c r="Q23" s="28">
        <f t="shared" si="7"/>
        <v>1054.580360918437</v>
      </c>
      <c r="R23" s="28">
        <f t="shared" si="8"/>
        <v>1175.3627760252366</v>
      </c>
      <c r="S23" s="28">
        <f t="shared" si="5"/>
        <v>3497.9431369436734</v>
      </c>
    </row>
    <row r="24" spans="1:19" x14ac:dyDescent="0.35">
      <c r="A24" s="22">
        <v>2015</v>
      </c>
      <c r="B24" s="24">
        <v>2171</v>
      </c>
      <c r="C24" s="24">
        <v>1070</v>
      </c>
      <c r="D24" s="24">
        <v>4268</v>
      </c>
      <c r="E24" s="28">
        <f t="shared" si="3"/>
        <v>7509</v>
      </c>
      <c r="F24" s="24"/>
      <c r="G24" s="27">
        <f t="shared" si="9"/>
        <v>5338</v>
      </c>
      <c r="H24" s="27">
        <f t="shared" si="10"/>
        <v>7509</v>
      </c>
      <c r="I24" s="27" t="s">
        <v>33</v>
      </c>
      <c r="J24">
        <v>1</v>
      </c>
      <c r="K24">
        <f>1-0.000554767346668965</f>
        <v>0.99944523265333107</v>
      </c>
      <c r="L24" s="28" t="s">
        <v>47</v>
      </c>
      <c r="M24">
        <v>0.81184668989547037</v>
      </c>
      <c r="N24" s="28" t="s">
        <v>49</v>
      </c>
      <c r="P24" s="28">
        <f t="shared" si="6"/>
        <v>2171</v>
      </c>
      <c r="Q24" s="28">
        <f t="shared" si="7"/>
        <v>1069.4063989390643</v>
      </c>
      <c r="R24" s="28">
        <f t="shared" si="8"/>
        <v>3464.9616724738676</v>
      </c>
      <c r="S24" s="28">
        <f t="shared" si="5"/>
        <v>6705.3680714129314</v>
      </c>
    </row>
    <row r="25" spans="1:19" x14ac:dyDescent="0.35">
      <c r="A25" s="22">
        <v>2016</v>
      </c>
      <c r="B25" s="24">
        <v>2638</v>
      </c>
      <c r="C25" s="24">
        <v>1715</v>
      </c>
      <c r="D25" s="24">
        <v>10751</v>
      </c>
      <c r="E25" s="28">
        <f t="shared" si="3"/>
        <v>15104</v>
      </c>
      <c r="F25" s="24"/>
      <c r="G25" s="27">
        <f t="shared" si="9"/>
        <v>12466</v>
      </c>
      <c r="H25" s="27">
        <f t="shared" si="10"/>
        <v>15104</v>
      </c>
      <c r="I25" s="27" t="s">
        <v>33</v>
      </c>
      <c r="J25">
        <v>1</v>
      </c>
      <c r="K25">
        <f>1-0.00358897663231095</f>
        <v>0.99641102336768905</v>
      </c>
      <c r="L25" s="28" t="s">
        <v>47</v>
      </c>
      <c r="M25">
        <v>0.76747311827956999</v>
      </c>
      <c r="N25" s="28" t="s">
        <v>49</v>
      </c>
      <c r="P25" s="28">
        <f t="shared" si="6"/>
        <v>2638</v>
      </c>
      <c r="Q25" s="28">
        <f t="shared" si="7"/>
        <v>1708.8449050755867</v>
      </c>
      <c r="R25" s="28">
        <f t="shared" si="8"/>
        <v>8251.1034946236578</v>
      </c>
      <c r="S25" s="28">
        <f t="shared" si="5"/>
        <v>12597.948399699244</v>
      </c>
    </row>
    <row r="26" spans="1:19" x14ac:dyDescent="0.35">
      <c r="A26" s="22">
        <v>2017</v>
      </c>
      <c r="B26" s="24">
        <v>2239</v>
      </c>
      <c r="C26" s="24">
        <v>2366</v>
      </c>
      <c r="D26" s="24">
        <v>6476</v>
      </c>
      <c r="E26" s="28">
        <f t="shared" si="3"/>
        <v>11081</v>
      </c>
      <c r="F26" s="24"/>
      <c r="G26" s="27">
        <f t="shared" si="9"/>
        <v>8842</v>
      </c>
      <c r="H26" s="27">
        <f t="shared" si="10"/>
        <v>11081</v>
      </c>
      <c r="I26" s="27" t="s">
        <v>33</v>
      </c>
      <c r="J26">
        <v>1</v>
      </c>
      <c r="K26">
        <f>1-0.00679691734044147</f>
        <v>0.99320308265955848</v>
      </c>
      <c r="L26" s="28" t="s">
        <v>47</v>
      </c>
      <c r="M26">
        <v>0.77696078431372551</v>
      </c>
      <c r="N26" s="28" t="s">
        <v>49</v>
      </c>
      <c r="P26" s="28">
        <f t="shared" si="6"/>
        <v>2239</v>
      </c>
      <c r="Q26" s="28">
        <f t="shared" si="7"/>
        <v>2349.9184935725152</v>
      </c>
      <c r="R26" s="28">
        <f t="shared" si="8"/>
        <v>5031.5980392156862</v>
      </c>
      <c r="S26" s="28">
        <f t="shared" si="5"/>
        <v>9620.5165327882023</v>
      </c>
    </row>
    <row r="27" spans="1:19" x14ac:dyDescent="0.35">
      <c r="A27" s="22">
        <v>2018</v>
      </c>
      <c r="B27" s="24">
        <v>2418</v>
      </c>
      <c r="C27" s="24">
        <v>2196</v>
      </c>
      <c r="D27" s="24">
        <v>6119</v>
      </c>
      <c r="E27" s="28">
        <f t="shared" si="3"/>
        <v>10733</v>
      </c>
      <c r="F27" s="24"/>
      <c r="G27" s="27">
        <f t="shared" si="9"/>
        <v>8315</v>
      </c>
      <c r="H27" s="27">
        <f t="shared" si="10"/>
        <v>10733</v>
      </c>
      <c r="I27" s="27" t="s">
        <v>33</v>
      </c>
      <c r="J27">
        <v>1</v>
      </c>
      <c r="K27">
        <f>1-0.0100664669777662</f>
        <v>0.98993353302223375</v>
      </c>
      <c r="L27" s="28" t="s">
        <v>47</v>
      </c>
      <c r="M27">
        <v>0.75062972292191443</v>
      </c>
      <c r="N27" s="28" t="s">
        <v>49</v>
      </c>
      <c r="P27" s="28">
        <f t="shared" si="6"/>
        <v>2418</v>
      </c>
      <c r="Q27" s="28">
        <f t="shared" si="7"/>
        <v>2173.8940385168253</v>
      </c>
      <c r="R27" s="28">
        <f t="shared" si="8"/>
        <v>4593.1032745591947</v>
      </c>
      <c r="S27" s="28">
        <f t="shared" si="5"/>
        <v>9184.9973130760191</v>
      </c>
    </row>
    <row r="28" spans="1:19" x14ac:dyDescent="0.35">
      <c r="A28" s="22">
        <v>2019</v>
      </c>
      <c r="B28" s="24">
        <v>2865</v>
      </c>
      <c r="C28" s="24">
        <v>2184</v>
      </c>
      <c r="D28" s="24">
        <v>8462</v>
      </c>
      <c r="E28" s="28">
        <f t="shared" si="3"/>
        <v>13511</v>
      </c>
      <c r="F28" s="24"/>
      <c r="G28" s="27">
        <f t="shared" si="9"/>
        <v>10646</v>
      </c>
      <c r="H28" s="27">
        <f t="shared" si="10"/>
        <v>13511</v>
      </c>
      <c r="I28" s="27" t="s">
        <v>33</v>
      </c>
      <c r="J28">
        <v>1</v>
      </c>
      <c r="K28">
        <f>1-0.000414568122519654</f>
        <v>0.99958543187748039</v>
      </c>
      <c r="L28" s="28" t="s">
        <v>47</v>
      </c>
      <c r="M28">
        <v>0.64425162689804771</v>
      </c>
      <c r="N28" s="28" t="s">
        <v>49</v>
      </c>
      <c r="P28" s="28">
        <f>B28*J28</f>
        <v>2865</v>
      </c>
      <c r="Q28" s="28">
        <f t="shared" si="7"/>
        <v>2183.094583220417</v>
      </c>
      <c r="R28" s="28">
        <f t="shared" si="8"/>
        <v>5451.6572668112794</v>
      </c>
      <c r="S28" s="28">
        <f t="shared" si="5"/>
        <v>10499.751850031696</v>
      </c>
    </row>
    <row r="29" spans="1:19" x14ac:dyDescent="0.35">
      <c r="A29" s="22">
        <v>2020</v>
      </c>
      <c r="B29" s="24">
        <v>3242</v>
      </c>
      <c r="C29" s="24">
        <v>2347</v>
      </c>
      <c r="D29" s="24">
        <v>14261</v>
      </c>
      <c r="E29" s="28">
        <f t="shared" si="3"/>
        <v>19850</v>
      </c>
      <c r="F29" s="24"/>
      <c r="G29" s="27">
        <f t="shared" si="9"/>
        <v>16608</v>
      </c>
      <c r="H29" s="27">
        <f t="shared" si="10"/>
        <v>19850</v>
      </c>
      <c r="I29" s="27" t="s">
        <v>33</v>
      </c>
      <c r="J29">
        <v>1</v>
      </c>
      <c r="K29">
        <f>1-0.00210616889812066</f>
        <v>0.99789383110187935</v>
      </c>
      <c r="L29" s="28" t="s">
        <v>47</v>
      </c>
      <c r="M29">
        <v>0.70893970893970881</v>
      </c>
      <c r="N29" s="28" t="s">
        <v>49</v>
      </c>
      <c r="P29" s="28">
        <f t="shared" si="6"/>
        <v>3242</v>
      </c>
      <c r="Q29" s="28">
        <f t="shared" si="7"/>
        <v>2342.0568215961107</v>
      </c>
      <c r="R29" s="28">
        <f t="shared" si="8"/>
        <v>10110.189189189188</v>
      </c>
      <c r="S29" s="28">
        <f t="shared" si="5"/>
        <v>15694.246010785298</v>
      </c>
    </row>
    <row r="30" spans="1:19" x14ac:dyDescent="0.35">
      <c r="A30" s="22">
        <v>2021</v>
      </c>
      <c r="B30" s="24">
        <v>4252</v>
      </c>
      <c r="C30" s="24">
        <v>2679</v>
      </c>
      <c r="D30" s="24">
        <v>17164</v>
      </c>
      <c r="E30" s="24">
        <f>SUM(B30:D30)</f>
        <v>24095</v>
      </c>
      <c r="F30" s="24"/>
      <c r="G30" s="27">
        <f t="shared" si="9"/>
        <v>19843</v>
      </c>
      <c r="H30" s="27">
        <f t="shared" si="10"/>
        <v>24095</v>
      </c>
      <c r="I30" s="27" t="s">
        <v>48</v>
      </c>
      <c r="J30">
        <v>1</v>
      </c>
      <c r="K30">
        <f>1-0.00185361577622313</f>
        <v>0.99814638422377688</v>
      </c>
      <c r="L30" s="28" t="s">
        <v>47</v>
      </c>
      <c r="M30">
        <v>0.6908945686900958</v>
      </c>
      <c r="N30" s="28" t="s">
        <v>49</v>
      </c>
      <c r="P30" s="28">
        <f t="shared" si="6"/>
        <v>4252</v>
      </c>
      <c r="Q30" s="28">
        <f t="shared" si="7"/>
        <v>2674.0341633354983</v>
      </c>
      <c r="R30" s="28">
        <f t="shared" si="8"/>
        <v>11858.514376996804</v>
      </c>
      <c r="S30" s="28">
        <f t="shared" si="5"/>
        <v>18784.548540332304</v>
      </c>
    </row>
    <row r="32" spans="1:19" x14ac:dyDescent="0.35">
      <c r="B32" s="24"/>
    </row>
    <row r="33" spans="2:2" x14ac:dyDescent="0.35">
      <c r="B33" s="24"/>
    </row>
    <row r="34" spans="2:2" x14ac:dyDescent="0.35">
      <c r="B34" s="24"/>
    </row>
  </sheetData>
  <mergeCells count="8">
    <mergeCell ref="B4:C4"/>
    <mergeCell ref="B5:C5"/>
    <mergeCell ref="B6:C6"/>
    <mergeCell ref="B7:C7"/>
    <mergeCell ref="P4:Q4"/>
    <mergeCell ref="P5:Q5"/>
    <mergeCell ref="P6:Q6"/>
    <mergeCell ref="P7:Q7"/>
  </mergeCells>
  <phoneticPr fontId="11" type="noConversion"/>
  <hyperlinks>
    <hyperlink ref="N16" r:id="rId1" display="https://doi.org/10.2172/1888246" xr:uid="{5704C64A-81FF-4033-B482-53EF8A23AC07}"/>
    <hyperlink ref="N17:N30" r:id="rId2" display="https://doi.org/10.2172/1888246" xr:uid="{F0D70B23-EA9A-4B18-A7BE-5CAF13D7A606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3016-2799-46F8-A7F1-1692A33A287D}">
  <dimension ref="A1:AT51"/>
  <sheetViews>
    <sheetView workbookViewId="0">
      <pane xSplit="1" topLeftCell="AD1" activePane="topRight" state="frozen"/>
      <selection pane="topRight" activeCell="AR30" sqref="AR30"/>
    </sheetView>
  </sheetViews>
  <sheetFormatPr defaultRowHeight="14.5" x14ac:dyDescent="0.35"/>
  <cols>
    <col min="5" max="5" width="7.1796875" customWidth="1"/>
    <col min="6" max="7" width="11.81640625" bestFit="1" customWidth="1"/>
    <col min="8" max="8" width="11.81640625" customWidth="1"/>
    <col min="9" max="9" width="8.6328125" customWidth="1"/>
    <col min="10" max="10" width="11" customWidth="1"/>
    <col min="11" max="11" width="17.6328125" customWidth="1"/>
    <col min="12" max="12" width="6.08984375" bestFit="1" customWidth="1"/>
    <col min="13" max="13" width="11" bestFit="1" customWidth="1"/>
    <col min="14" max="14" width="6.26953125" bestFit="1" customWidth="1"/>
    <col min="15" max="15" width="13.453125" bestFit="1" customWidth="1"/>
    <col min="16" max="16" width="9.1796875" customWidth="1"/>
    <col min="25" max="25" width="17.81640625" bestFit="1" customWidth="1"/>
    <col min="26" max="26" width="20.54296875" bestFit="1" customWidth="1"/>
    <col min="27" max="27" width="17.1796875" bestFit="1" customWidth="1"/>
    <col min="28" max="28" width="23.453125" bestFit="1" customWidth="1"/>
    <col min="30" max="30" width="17.81640625" bestFit="1" customWidth="1"/>
    <col min="31" max="31" width="20.54296875" bestFit="1" customWidth="1"/>
    <col min="32" max="33" width="23.453125" bestFit="1" customWidth="1"/>
    <col min="34" max="34" width="5.1796875" bestFit="1" customWidth="1"/>
    <col min="35" max="35" width="11.54296875" bestFit="1" customWidth="1"/>
    <col min="37" max="37" width="11.7265625" customWidth="1"/>
    <col min="38" max="38" width="11" bestFit="1" customWidth="1"/>
    <col min="39" max="39" width="7.36328125" bestFit="1" customWidth="1"/>
    <col min="40" max="40" width="14.453125" bestFit="1" customWidth="1"/>
    <col min="41" max="41" width="13.36328125" bestFit="1" customWidth="1"/>
    <col min="44" max="44" width="15.36328125" bestFit="1" customWidth="1"/>
    <col min="45" max="45" width="22.90625" bestFit="1" customWidth="1"/>
    <col min="46" max="46" width="20.1796875" bestFit="1" customWidth="1"/>
  </cols>
  <sheetData>
    <row r="1" spans="1:46" x14ac:dyDescent="0.35">
      <c r="B1" s="26" t="s">
        <v>34</v>
      </c>
      <c r="F1" t="s">
        <v>2</v>
      </c>
      <c r="J1" t="s">
        <v>1</v>
      </c>
      <c r="Q1" t="s">
        <v>25</v>
      </c>
      <c r="X1" t="s">
        <v>30</v>
      </c>
      <c r="AK1" t="s">
        <v>49</v>
      </c>
    </row>
    <row r="2" spans="1:46" x14ac:dyDescent="0.35">
      <c r="B2" t="s">
        <v>24</v>
      </c>
      <c r="F2" t="s">
        <v>23</v>
      </c>
      <c r="J2" t="s">
        <v>22</v>
      </c>
      <c r="X2" s="22" t="s">
        <v>4</v>
      </c>
      <c r="Y2" s="31" t="s">
        <v>39</v>
      </c>
      <c r="Z2" s="31"/>
      <c r="AA2" s="31"/>
      <c r="AB2" s="31"/>
      <c r="AC2" s="23"/>
      <c r="AD2" s="30" t="s">
        <v>41</v>
      </c>
      <c r="AE2" s="30"/>
      <c r="AF2" s="30"/>
      <c r="AG2" s="30"/>
      <c r="AH2" s="30"/>
      <c r="AK2" t="s">
        <v>52</v>
      </c>
      <c r="AN2" t="s">
        <v>53</v>
      </c>
    </row>
    <row r="3" spans="1:46" x14ac:dyDescent="0.35">
      <c r="A3" t="s">
        <v>3</v>
      </c>
      <c r="B3" t="s">
        <v>11</v>
      </c>
      <c r="C3" t="s">
        <v>10</v>
      </c>
      <c r="D3" t="s">
        <v>9</v>
      </c>
      <c r="E3" s="4" t="s">
        <v>19</v>
      </c>
      <c r="F3" t="s">
        <v>21</v>
      </c>
      <c r="G3" t="s">
        <v>9</v>
      </c>
      <c r="H3" t="s">
        <v>20</v>
      </c>
      <c r="I3" s="4" t="s">
        <v>19</v>
      </c>
      <c r="J3" s="2" t="s">
        <v>11</v>
      </c>
      <c r="K3" t="s">
        <v>10</v>
      </c>
      <c r="L3" t="s">
        <v>9</v>
      </c>
      <c r="M3" s="2" t="s">
        <v>10</v>
      </c>
      <c r="N3" s="2" t="s">
        <v>9</v>
      </c>
      <c r="O3" t="s">
        <v>18</v>
      </c>
      <c r="P3" s="4" t="s">
        <v>17</v>
      </c>
      <c r="Q3" t="s">
        <v>11</v>
      </c>
      <c r="R3" t="s">
        <v>10</v>
      </c>
      <c r="S3" t="s">
        <v>16</v>
      </c>
      <c r="T3" t="s">
        <v>10</v>
      </c>
      <c r="U3" t="s">
        <v>16</v>
      </c>
      <c r="V3" t="s">
        <v>15</v>
      </c>
      <c r="W3" t="s">
        <v>5</v>
      </c>
      <c r="X3" t="s">
        <v>31</v>
      </c>
      <c r="Y3" s="23" t="s">
        <v>36</v>
      </c>
      <c r="Z3" s="23" t="s">
        <v>37</v>
      </c>
      <c r="AA3" s="23" t="s">
        <v>40</v>
      </c>
      <c r="AB3" s="23" t="s">
        <v>38</v>
      </c>
      <c r="AC3" s="23" t="s">
        <v>31</v>
      </c>
      <c r="AD3" s="27" t="s">
        <v>36</v>
      </c>
      <c r="AE3" s="27" t="s">
        <v>37</v>
      </c>
      <c r="AF3" s="27" t="s">
        <v>40</v>
      </c>
      <c r="AG3" s="27" t="s">
        <v>38</v>
      </c>
      <c r="AH3" s="27" t="s">
        <v>31</v>
      </c>
      <c r="AI3" t="s">
        <v>42</v>
      </c>
      <c r="AJ3" t="s">
        <v>43</v>
      </c>
      <c r="AK3" t="s">
        <v>11</v>
      </c>
      <c r="AL3" t="s">
        <v>10</v>
      </c>
      <c r="AM3" t="s">
        <v>9</v>
      </c>
      <c r="AN3" t="s">
        <v>50</v>
      </c>
      <c r="AO3" t="s">
        <v>51</v>
      </c>
      <c r="AP3" t="s">
        <v>54</v>
      </c>
      <c r="AR3" t="s">
        <v>57</v>
      </c>
      <c r="AS3" t="s">
        <v>55</v>
      </c>
      <c r="AT3" t="s">
        <v>56</v>
      </c>
    </row>
    <row r="4" spans="1:46" x14ac:dyDescent="0.35">
      <c r="A4">
        <v>1995</v>
      </c>
      <c r="P4" s="4"/>
      <c r="X4" s="22">
        <v>12.5</v>
      </c>
      <c r="Y4" s="23">
        <v>19.3</v>
      </c>
      <c r="Z4" s="23">
        <v>25.8</v>
      </c>
      <c r="AA4" s="23">
        <v>9.6999999999999993</v>
      </c>
      <c r="AB4" s="23">
        <v>12</v>
      </c>
      <c r="AC4" s="23">
        <f>SUM(Y4:AB4)</f>
        <v>66.8</v>
      </c>
      <c r="AD4">
        <f>Y4</f>
        <v>19.3</v>
      </c>
      <c r="AE4" s="27">
        <f t="shared" ref="AE4:AG4" si="0">Z4</f>
        <v>25.8</v>
      </c>
      <c r="AF4" s="27">
        <f t="shared" si="0"/>
        <v>9.6999999999999993</v>
      </c>
      <c r="AG4" s="27">
        <f t="shared" si="0"/>
        <v>12</v>
      </c>
      <c r="AH4" s="27">
        <f>SUM(AD4:AG4)</f>
        <v>66.8</v>
      </c>
      <c r="AI4">
        <f>SUM(AF4:AG4)</f>
        <v>21.7</v>
      </c>
      <c r="AJ4" s="1">
        <f>AI4/AH4</f>
        <v>0.32485029940119758</v>
      </c>
    </row>
    <row r="5" spans="1:46" x14ac:dyDescent="0.35">
      <c r="A5">
        <v>1996</v>
      </c>
      <c r="P5" s="4"/>
      <c r="X5" s="22">
        <v>9.6999999999999993</v>
      </c>
      <c r="Y5" s="23">
        <v>23.3</v>
      </c>
      <c r="Z5" s="23">
        <v>30.2</v>
      </c>
      <c r="AA5" s="23">
        <v>11</v>
      </c>
      <c r="AB5" s="23">
        <v>12</v>
      </c>
      <c r="AC5" s="23">
        <f t="shared" ref="AC5:AC19" si="1">SUM(Y5:AB5)</f>
        <v>76.5</v>
      </c>
      <c r="AD5">
        <f>Y5-Y4</f>
        <v>4</v>
      </c>
      <c r="AE5" s="27">
        <f>Z5-Z4</f>
        <v>4.3999999999999986</v>
      </c>
      <c r="AF5" s="27">
        <f>AA5-AA4</f>
        <v>1.3000000000000007</v>
      </c>
      <c r="AG5" s="27">
        <f>AB5-AB4</f>
        <v>0</v>
      </c>
      <c r="AH5" s="27">
        <f t="shared" ref="AH5:AH19" si="2">SUM(AD5:AG5)</f>
        <v>9.6999999999999993</v>
      </c>
      <c r="AI5" s="27">
        <f t="shared" ref="AI5:AI19" si="3">SUM(AF5:AG5)</f>
        <v>1.3000000000000007</v>
      </c>
      <c r="AJ5" s="1">
        <f t="shared" ref="AJ5:AJ19" si="4">AI5/AH5</f>
        <v>0.13402061855670111</v>
      </c>
    </row>
    <row r="6" spans="1:46" x14ac:dyDescent="0.35">
      <c r="A6">
        <v>1997</v>
      </c>
      <c r="P6" s="4"/>
      <c r="X6" s="22">
        <v>11.7</v>
      </c>
      <c r="Y6" s="23">
        <v>27.5</v>
      </c>
      <c r="Z6" s="23">
        <v>35</v>
      </c>
      <c r="AA6" s="23">
        <v>13.7</v>
      </c>
      <c r="AB6" s="23">
        <v>12</v>
      </c>
      <c r="AC6" s="23">
        <f t="shared" si="1"/>
        <v>88.2</v>
      </c>
      <c r="AD6" s="27">
        <f t="shared" ref="AD6:AD17" si="5">Y6-Y5</f>
        <v>4.1999999999999993</v>
      </c>
      <c r="AE6" s="27">
        <f t="shared" ref="AE6:AE17" si="6">Z6-Z5</f>
        <v>4.8000000000000007</v>
      </c>
      <c r="AF6" s="27">
        <f t="shared" ref="AF6:AF19" si="7">AA6-AA5</f>
        <v>2.6999999999999993</v>
      </c>
      <c r="AG6" s="27">
        <f t="shared" ref="AG6:AG19" si="8">AB6-AB5</f>
        <v>0</v>
      </c>
      <c r="AH6" s="27">
        <f t="shared" si="2"/>
        <v>11.7</v>
      </c>
      <c r="AI6" s="27">
        <f t="shared" si="3"/>
        <v>2.6999999999999993</v>
      </c>
      <c r="AJ6" s="1">
        <f t="shared" si="4"/>
        <v>0.23076923076923073</v>
      </c>
    </row>
    <row r="7" spans="1:46" x14ac:dyDescent="0.35">
      <c r="A7">
        <v>1998</v>
      </c>
      <c r="P7" s="4"/>
      <c r="X7" s="22">
        <v>11.9</v>
      </c>
      <c r="Y7" s="23">
        <v>32</v>
      </c>
      <c r="Z7" s="23">
        <v>40.200000000000003</v>
      </c>
      <c r="AA7" s="23">
        <v>15.9</v>
      </c>
      <c r="AB7" s="23">
        <v>12</v>
      </c>
      <c r="AC7" s="23">
        <f t="shared" si="1"/>
        <v>100.10000000000001</v>
      </c>
      <c r="AD7" s="27">
        <f t="shared" si="5"/>
        <v>4.5</v>
      </c>
      <c r="AE7" s="27">
        <f t="shared" si="6"/>
        <v>5.2000000000000028</v>
      </c>
      <c r="AF7" s="27">
        <f t="shared" si="7"/>
        <v>2.2000000000000011</v>
      </c>
      <c r="AG7" s="27">
        <f t="shared" si="8"/>
        <v>0</v>
      </c>
      <c r="AH7" s="27">
        <f t="shared" si="2"/>
        <v>11.900000000000004</v>
      </c>
      <c r="AI7" s="27">
        <f t="shared" si="3"/>
        <v>2.2000000000000011</v>
      </c>
      <c r="AJ7" s="1">
        <f t="shared" si="4"/>
        <v>0.18487394957983197</v>
      </c>
    </row>
    <row r="8" spans="1:46" ht="13.5" customHeight="1" x14ac:dyDescent="0.35">
      <c r="A8">
        <v>1999</v>
      </c>
      <c r="J8" s="2">
        <v>0</v>
      </c>
      <c r="K8">
        <v>2.6</v>
      </c>
      <c r="L8">
        <v>3.1</v>
      </c>
      <c r="M8" s="2">
        <v>3</v>
      </c>
      <c r="N8" s="2">
        <v>0</v>
      </c>
      <c r="O8">
        <f t="shared" ref="O8:O17" si="9">SUM(J8,M8:N8)</f>
        <v>3</v>
      </c>
      <c r="P8" s="11">
        <f t="shared" ref="P8:P17" si="10">(M8+N8)/O8</f>
        <v>1</v>
      </c>
      <c r="Y8" s="23">
        <v>37.5</v>
      </c>
      <c r="Z8" s="23">
        <v>46.7</v>
      </c>
      <c r="AA8" s="23">
        <v>21.1</v>
      </c>
      <c r="AB8" s="23">
        <v>12</v>
      </c>
      <c r="AC8" s="23">
        <f t="shared" si="1"/>
        <v>117.30000000000001</v>
      </c>
      <c r="AD8" s="27">
        <f t="shared" si="5"/>
        <v>5.5</v>
      </c>
      <c r="AE8" s="27">
        <f t="shared" si="6"/>
        <v>6.5</v>
      </c>
      <c r="AF8" s="27">
        <f t="shared" si="7"/>
        <v>5.2000000000000011</v>
      </c>
      <c r="AG8" s="27">
        <f t="shared" si="8"/>
        <v>0</v>
      </c>
      <c r="AH8" s="27">
        <f t="shared" si="2"/>
        <v>17.200000000000003</v>
      </c>
      <c r="AI8" s="27">
        <f t="shared" si="3"/>
        <v>5.2000000000000011</v>
      </c>
      <c r="AJ8" s="1">
        <f t="shared" si="4"/>
        <v>0.30232558139534887</v>
      </c>
    </row>
    <row r="9" spans="1:46" x14ac:dyDescent="0.35">
      <c r="A9">
        <v>2000</v>
      </c>
      <c r="B9" s="12">
        <v>0</v>
      </c>
      <c r="C9" s="12">
        <v>9.9</v>
      </c>
      <c r="D9" s="12">
        <v>0</v>
      </c>
      <c r="E9" s="11">
        <f t="shared" ref="E9:E21" si="11">(C9+D9)/SUM(B9:D9)</f>
        <v>1</v>
      </c>
      <c r="J9" s="2">
        <v>0</v>
      </c>
      <c r="K9">
        <v>3.1</v>
      </c>
      <c r="L9">
        <v>3.6</v>
      </c>
      <c r="M9" s="2">
        <v>3</v>
      </c>
      <c r="N9" s="2">
        <v>0.6</v>
      </c>
      <c r="O9">
        <f t="shared" si="9"/>
        <v>3.6</v>
      </c>
      <c r="P9" s="11">
        <f t="shared" si="10"/>
        <v>1</v>
      </c>
      <c r="Y9" s="23">
        <v>43.5</v>
      </c>
      <c r="Z9" s="23">
        <v>55.2</v>
      </c>
      <c r="AA9" s="23">
        <v>28.1</v>
      </c>
      <c r="AB9" s="23">
        <v>12</v>
      </c>
      <c r="AC9" s="23">
        <f t="shared" si="1"/>
        <v>138.80000000000001</v>
      </c>
      <c r="AD9" s="27">
        <f t="shared" si="5"/>
        <v>6</v>
      </c>
      <c r="AE9" s="27">
        <f t="shared" si="6"/>
        <v>8.5</v>
      </c>
      <c r="AF9" s="27">
        <f t="shared" si="7"/>
        <v>7</v>
      </c>
      <c r="AG9" s="27">
        <f t="shared" si="8"/>
        <v>0</v>
      </c>
      <c r="AH9" s="27">
        <f t="shared" si="2"/>
        <v>21.5</v>
      </c>
      <c r="AI9" s="27">
        <f t="shared" si="3"/>
        <v>7</v>
      </c>
      <c r="AJ9" s="1">
        <f t="shared" si="4"/>
        <v>0.32558139534883723</v>
      </c>
    </row>
    <row r="10" spans="1:46" x14ac:dyDescent="0.35">
      <c r="A10">
        <v>2001</v>
      </c>
      <c r="B10" s="12">
        <v>9.9</v>
      </c>
      <c r="C10" s="12">
        <v>5</v>
      </c>
      <c r="D10" s="12">
        <v>0</v>
      </c>
      <c r="E10" s="11">
        <f t="shared" si="11"/>
        <v>0.33557046979865773</v>
      </c>
      <c r="J10" s="2">
        <v>5.7</v>
      </c>
      <c r="K10">
        <v>8.3000000000000007</v>
      </c>
      <c r="L10">
        <v>12</v>
      </c>
      <c r="M10" s="2">
        <f t="shared" ref="M10:N17" si="12">K10-J10</f>
        <v>2.6000000000000005</v>
      </c>
      <c r="N10" s="2">
        <f t="shared" si="12"/>
        <v>3.6999999999999993</v>
      </c>
      <c r="O10">
        <f t="shared" si="9"/>
        <v>12</v>
      </c>
      <c r="P10" s="11">
        <f t="shared" si="10"/>
        <v>0.52500000000000002</v>
      </c>
      <c r="Y10" s="23">
        <v>50.5</v>
      </c>
      <c r="Z10" s="23">
        <v>64.7</v>
      </c>
      <c r="AA10" s="23">
        <v>40.6</v>
      </c>
      <c r="AB10" s="23">
        <v>12</v>
      </c>
      <c r="AC10" s="23">
        <f t="shared" si="1"/>
        <v>167.8</v>
      </c>
      <c r="AD10" s="27">
        <f t="shared" si="5"/>
        <v>7</v>
      </c>
      <c r="AE10" s="27">
        <f t="shared" si="6"/>
        <v>9.5</v>
      </c>
      <c r="AF10" s="27">
        <f t="shared" si="7"/>
        <v>12.5</v>
      </c>
      <c r="AG10" s="27">
        <f t="shared" si="8"/>
        <v>0</v>
      </c>
      <c r="AH10" s="27">
        <f t="shared" si="2"/>
        <v>29</v>
      </c>
      <c r="AI10" s="27">
        <f t="shared" si="3"/>
        <v>12.5</v>
      </c>
      <c r="AJ10" s="1">
        <f t="shared" si="4"/>
        <v>0.43103448275862066</v>
      </c>
    </row>
    <row r="11" spans="1:46" x14ac:dyDescent="0.35">
      <c r="A11">
        <v>2002</v>
      </c>
      <c r="B11" s="12">
        <v>9.9</v>
      </c>
      <c r="C11" s="12">
        <v>9.9</v>
      </c>
      <c r="D11" s="12">
        <v>9.8999999999999986</v>
      </c>
      <c r="E11" s="11">
        <f t="shared" si="11"/>
        <v>0.66666666666666663</v>
      </c>
      <c r="J11" s="2">
        <v>11.5</v>
      </c>
      <c r="K11">
        <v>20.3</v>
      </c>
      <c r="L11">
        <v>23</v>
      </c>
      <c r="M11" s="2">
        <f t="shared" si="12"/>
        <v>8.8000000000000007</v>
      </c>
      <c r="N11" s="2">
        <f t="shared" si="12"/>
        <v>2.6999999999999993</v>
      </c>
      <c r="O11">
        <f t="shared" si="9"/>
        <v>23</v>
      </c>
      <c r="P11" s="11">
        <f t="shared" si="10"/>
        <v>0.5</v>
      </c>
      <c r="Y11" s="23">
        <v>58.9</v>
      </c>
      <c r="Z11" s="23">
        <v>77.7</v>
      </c>
      <c r="AA11" s="23">
        <v>63.6</v>
      </c>
      <c r="AB11" s="23">
        <v>12</v>
      </c>
      <c r="AC11" s="23">
        <f t="shared" si="1"/>
        <v>212.2</v>
      </c>
      <c r="AD11" s="27">
        <f t="shared" si="5"/>
        <v>8.3999999999999986</v>
      </c>
      <c r="AE11" s="27">
        <f t="shared" si="6"/>
        <v>13</v>
      </c>
      <c r="AF11" s="27">
        <f t="shared" si="7"/>
        <v>23</v>
      </c>
      <c r="AG11" s="27">
        <f t="shared" si="8"/>
        <v>0</v>
      </c>
      <c r="AH11" s="27">
        <f t="shared" si="2"/>
        <v>44.4</v>
      </c>
      <c r="AI11" s="27">
        <f t="shared" si="3"/>
        <v>23</v>
      </c>
      <c r="AJ11" s="1">
        <f t="shared" si="4"/>
        <v>0.51801801801801806</v>
      </c>
    </row>
    <row r="12" spans="1:46" x14ac:dyDescent="0.35">
      <c r="A12">
        <v>2003</v>
      </c>
      <c r="B12" s="12">
        <v>19.8</v>
      </c>
      <c r="C12" s="12">
        <v>24.8</v>
      </c>
      <c r="D12" s="12">
        <v>5</v>
      </c>
      <c r="E12" s="11">
        <f t="shared" si="11"/>
        <v>0.60080645161290325</v>
      </c>
      <c r="J12" s="2">
        <v>15.6</v>
      </c>
      <c r="K12">
        <v>42.2</v>
      </c>
      <c r="L12">
        <v>45.8</v>
      </c>
      <c r="M12" s="2">
        <f t="shared" si="12"/>
        <v>26.6</v>
      </c>
      <c r="N12" s="2">
        <f t="shared" si="12"/>
        <v>3.5999999999999943</v>
      </c>
      <c r="O12">
        <f t="shared" si="9"/>
        <v>45.8</v>
      </c>
      <c r="P12" s="11">
        <f t="shared" si="10"/>
        <v>0.65938864628820959</v>
      </c>
      <c r="Y12" s="23">
        <v>67.900000000000006</v>
      </c>
      <c r="Z12" s="23">
        <v>93.7</v>
      </c>
      <c r="AA12" s="23">
        <v>95.6</v>
      </c>
      <c r="AB12" s="23">
        <v>18</v>
      </c>
      <c r="AC12" s="23">
        <f t="shared" si="1"/>
        <v>275.20000000000005</v>
      </c>
      <c r="AD12" s="27">
        <f t="shared" si="5"/>
        <v>9.0000000000000071</v>
      </c>
      <c r="AE12" s="27">
        <f t="shared" si="6"/>
        <v>16</v>
      </c>
      <c r="AF12" s="27">
        <f t="shared" si="7"/>
        <v>31.999999999999993</v>
      </c>
      <c r="AG12" s="27">
        <f t="shared" si="8"/>
        <v>6</v>
      </c>
      <c r="AH12" s="27">
        <f t="shared" si="2"/>
        <v>63</v>
      </c>
      <c r="AI12" s="27">
        <f t="shared" si="3"/>
        <v>37.999999999999993</v>
      </c>
      <c r="AJ12" s="1">
        <f t="shared" si="4"/>
        <v>0.60317460317460303</v>
      </c>
    </row>
    <row r="13" spans="1:46" x14ac:dyDescent="0.35">
      <c r="A13">
        <v>2004</v>
      </c>
      <c r="B13" s="12">
        <v>29.7</v>
      </c>
      <c r="C13" s="12">
        <v>29.8</v>
      </c>
      <c r="D13" s="12">
        <v>0</v>
      </c>
      <c r="E13" s="11">
        <f t="shared" si="11"/>
        <v>0.50084033613445378</v>
      </c>
      <c r="J13" s="2">
        <v>24.5</v>
      </c>
      <c r="K13">
        <v>55.7</v>
      </c>
      <c r="L13">
        <v>57.8</v>
      </c>
      <c r="M13" s="2">
        <f t="shared" si="12"/>
        <v>31.200000000000003</v>
      </c>
      <c r="N13" s="2">
        <f t="shared" si="12"/>
        <v>2.0999999999999943</v>
      </c>
      <c r="O13">
        <f t="shared" si="9"/>
        <v>57.8</v>
      </c>
      <c r="P13" s="11">
        <f t="shared" si="10"/>
        <v>0.57612456747404839</v>
      </c>
      <c r="Y13" s="23">
        <v>88</v>
      </c>
      <c r="Z13" s="23">
        <v>112</v>
      </c>
      <c r="AA13" s="23">
        <v>154</v>
      </c>
      <c r="AB13" s="23">
        <v>22</v>
      </c>
      <c r="AC13" s="23">
        <f t="shared" si="1"/>
        <v>376</v>
      </c>
      <c r="AD13" s="27">
        <f t="shared" si="5"/>
        <v>20.099999999999994</v>
      </c>
      <c r="AE13" s="27">
        <f t="shared" si="6"/>
        <v>18.299999999999997</v>
      </c>
      <c r="AF13" s="27">
        <f t="shared" si="7"/>
        <v>58.400000000000006</v>
      </c>
      <c r="AG13" s="27">
        <f t="shared" si="8"/>
        <v>4</v>
      </c>
      <c r="AH13" s="27">
        <f t="shared" si="2"/>
        <v>100.8</v>
      </c>
      <c r="AI13" s="27">
        <f t="shared" si="3"/>
        <v>62.400000000000006</v>
      </c>
      <c r="AJ13" s="1">
        <f t="shared" si="4"/>
        <v>0.61904761904761907</v>
      </c>
    </row>
    <row r="14" spans="1:46" x14ac:dyDescent="0.35">
      <c r="A14">
        <v>2005</v>
      </c>
      <c r="B14" s="12">
        <v>34.700000000000003</v>
      </c>
      <c r="C14" s="12">
        <v>49.599999999999994</v>
      </c>
      <c r="D14" s="12">
        <v>0</v>
      </c>
      <c r="E14" s="11">
        <f t="shared" si="11"/>
        <v>0.58837485172004744</v>
      </c>
      <c r="J14" s="2">
        <v>27.6</v>
      </c>
      <c r="K14">
        <v>78.599999999999994</v>
      </c>
      <c r="L14">
        <v>78.599999999999994</v>
      </c>
      <c r="M14" s="2">
        <f t="shared" si="12"/>
        <v>50.999999999999993</v>
      </c>
      <c r="N14" s="2">
        <f t="shared" si="12"/>
        <v>0</v>
      </c>
      <c r="O14">
        <f t="shared" si="9"/>
        <v>78.599999999999994</v>
      </c>
      <c r="P14" s="11">
        <f t="shared" si="10"/>
        <v>0.64885496183206104</v>
      </c>
      <c r="Y14" s="23">
        <v>100</v>
      </c>
      <c r="Z14" s="23">
        <v>133</v>
      </c>
      <c r="AA14" s="23">
        <v>219</v>
      </c>
      <c r="AB14" s="23">
        <v>27</v>
      </c>
      <c r="AC14" s="23">
        <f t="shared" si="1"/>
        <v>479</v>
      </c>
      <c r="AD14" s="27">
        <f t="shared" si="5"/>
        <v>12</v>
      </c>
      <c r="AE14" s="27">
        <f t="shared" si="6"/>
        <v>21</v>
      </c>
      <c r="AF14" s="27">
        <f t="shared" si="7"/>
        <v>65</v>
      </c>
      <c r="AG14" s="27">
        <f t="shared" si="8"/>
        <v>5</v>
      </c>
      <c r="AH14" s="27">
        <f t="shared" si="2"/>
        <v>103</v>
      </c>
      <c r="AI14" s="27">
        <f t="shared" si="3"/>
        <v>70</v>
      </c>
      <c r="AJ14" s="1">
        <f t="shared" si="4"/>
        <v>0.67961165048543692</v>
      </c>
    </row>
    <row r="15" spans="1:46" x14ac:dyDescent="0.35">
      <c r="A15">
        <v>2006</v>
      </c>
      <c r="B15" s="12">
        <v>39.700000000000003</v>
      </c>
      <c r="C15" s="12">
        <v>69.3</v>
      </c>
      <c r="D15" s="12">
        <v>0</v>
      </c>
      <c r="E15" s="11">
        <f t="shared" si="11"/>
        <v>0.63577981651376148</v>
      </c>
      <c r="J15" s="2">
        <v>37.5</v>
      </c>
      <c r="K15">
        <v>104.2</v>
      </c>
      <c r="L15">
        <v>104.2</v>
      </c>
      <c r="M15" s="2">
        <f t="shared" si="12"/>
        <v>66.7</v>
      </c>
      <c r="N15" s="2">
        <f t="shared" si="12"/>
        <v>0</v>
      </c>
      <c r="O15">
        <f t="shared" si="9"/>
        <v>104.2</v>
      </c>
      <c r="P15" s="11">
        <f t="shared" si="10"/>
        <v>0.64011516314779271</v>
      </c>
      <c r="Y15" s="23">
        <v>114</v>
      </c>
      <c r="Z15" s="25">
        <v>155</v>
      </c>
      <c r="AA15" s="23">
        <v>322</v>
      </c>
      <c r="AB15" s="23">
        <v>32</v>
      </c>
      <c r="AC15" s="23">
        <f t="shared" si="1"/>
        <v>623</v>
      </c>
      <c r="AD15" s="27">
        <f t="shared" si="5"/>
        <v>14</v>
      </c>
      <c r="AE15" s="27">
        <f t="shared" si="6"/>
        <v>22</v>
      </c>
      <c r="AF15" s="27">
        <f t="shared" si="7"/>
        <v>103</v>
      </c>
      <c r="AG15" s="27">
        <f t="shared" si="8"/>
        <v>5</v>
      </c>
      <c r="AH15" s="27">
        <f t="shared" si="2"/>
        <v>144</v>
      </c>
      <c r="AI15" s="27">
        <f t="shared" si="3"/>
        <v>108</v>
      </c>
      <c r="AJ15" s="1">
        <f t="shared" si="4"/>
        <v>0.75</v>
      </c>
      <c r="AR15" t="s">
        <v>60</v>
      </c>
    </row>
    <row r="16" spans="1:46" x14ac:dyDescent="0.35">
      <c r="A16">
        <v>2007</v>
      </c>
      <c r="B16" s="12">
        <v>59.5</v>
      </c>
      <c r="C16" s="12">
        <v>94.199999999999989</v>
      </c>
      <c r="D16" s="12">
        <v>14.800000000000011</v>
      </c>
      <c r="E16" s="11">
        <f t="shared" si="11"/>
        <v>0.64688427299703266</v>
      </c>
      <c r="J16" s="2">
        <v>57.8</v>
      </c>
      <c r="K16">
        <v>151</v>
      </c>
      <c r="L16">
        <v>160.4</v>
      </c>
      <c r="M16" s="2">
        <f t="shared" si="12"/>
        <v>93.2</v>
      </c>
      <c r="N16" s="2">
        <f t="shared" si="12"/>
        <v>9.4000000000000057</v>
      </c>
      <c r="O16">
        <f t="shared" si="9"/>
        <v>160.4</v>
      </c>
      <c r="P16" s="11">
        <f t="shared" si="10"/>
        <v>0.63965087281795519</v>
      </c>
      <c r="Y16" s="23">
        <v>134</v>
      </c>
      <c r="Z16" s="23">
        <v>191</v>
      </c>
      <c r="AA16" s="23">
        <v>465</v>
      </c>
      <c r="AB16" s="23">
        <v>40.5</v>
      </c>
      <c r="AC16" s="23">
        <f t="shared" si="1"/>
        <v>830.5</v>
      </c>
      <c r="AD16" s="27">
        <f t="shared" si="5"/>
        <v>20</v>
      </c>
      <c r="AE16" s="27">
        <f t="shared" si="6"/>
        <v>36</v>
      </c>
      <c r="AF16" s="27">
        <f t="shared" si="7"/>
        <v>143</v>
      </c>
      <c r="AG16" s="27">
        <f t="shared" si="8"/>
        <v>8.5</v>
      </c>
      <c r="AH16" s="27">
        <f t="shared" si="2"/>
        <v>207.5</v>
      </c>
      <c r="AI16" s="27">
        <f t="shared" si="3"/>
        <v>151.5</v>
      </c>
      <c r="AJ16" s="1">
        <f t="shared" si="4"/>
        <v>0.73012048192771084</v>
      </c>
      <c r="AK16">
        <v>58</v>
      </c>
      <c r="AL16">
        <v>93</v>
      </c>
      <c r="AM16">
        <v>9</v>
      </c>
      <c r="AN16">
        <v>0.01</v>
      </c>
      <c r="AO16">
        <v>0</v>
      </c>
      <c r="AP16">
        <f>(AN16+AO16)*1000</f>
        <v>10</v>
      </c>
      <c r="AQ16">
        <f>AP16/AM16</f>
        <v>1.1111111111111112</v>
      </c>
      <c r="AR16" s="1">
        <f>(AN16*1000)/AP16</f>
        <v>1</v>
      </c>
      <c r="AS16" s="1">
        <f>(AN16*1000)/AM16</f>
        <v>1.1111111111111112</v>
      </c>
      <c r="AT16" s="1">
        <f>1-((AO16*1000)/AM16)</f>
        <v>1</v>
      </c>
    </row>
    <row r="17" spans="1:46" ht="15" thickBot="1" x14ac:dyDescent="0.4">
      <c r="A17">
        <v>2008</v>
      </c>
      <c r="B17" s="12">
        <v>84.3</v>
      </c>
      <c r="C17" s="12">
        <v>198.3</v>
      </c>
      <c r="D17" s="12">
        <v>19.799999999999955</v>
      </c>
      <c r="E17" s="11">
        <f t="shared" si="11"/>
        <v>0.72123015873015872</v>
      </c>
      <c r="J17" s="2">
        <v>77.599999999999994</v>
      </c>
      <c r="K17">
        <v>267.2</v>
      </c>
      <c r="L17">
        <v>290.10000000000002</v>
      </c>
      <c r="M17" s="2">
        <f t="shared" si="12"/>
        <v>189.6</v>
      </c>
      <c r="N17" s="2">
        <f t="shared" si="12"/>
        <v>22.900000000000034</v>
      </c>
      <c r="O17">
        <f t="shared" si="9"/>
        <v>290.10000000000002</v>
      </c>
      <c r="P17" s="11">
        <f t="shared" si="10"/>
        <v>0.7325060324026198</v>
      </c>
      <c r="Y17" s="23">
        <v>154</v>
      </c>
      <c r="Z17" s="23">
        <v>216</v>
      </c>
      <c r="AA17" s="23">
        <v>735</v>
      </c>
      <c r="AB17" s="23">
        <v>63.5</v>
      </c>
      <c r="AC17" s="23">
        <f t="shared" si="1"/>
        <v>1168.5</v>
      </c>
      <c r="AD17" s="27">
        <f t="shared" si="5"/>
        <v>20</v>
      </c>
      <c r="AE17" s="27">
        <f t="shared" si="6"/>
        <v>25</v>
      </c>
      <c r="AF17" s="27">
        <f t="shared" si="7"/>
        <v>270</v>
      </c>
      <c r="AG17" s="27">
        <f t="shared" si="8"/>
        <v>23</v>
      </c>
      <c r="AH17" s="27">
        <f t="shared" si="2"/>
        <v>338</v>
      </c>
      <c r="AI17" s="27">
        <f t="shared" si="3"/>
        <v>293</v>
      </c>
      <c r="AJ17" s="1">
        <f t="shared" si="4"/>
        <v>0.86686390532544377</v>
      </c>
      <c r="AK17">
        <v>77</v>
      </c>
      <c r="AL17">
        <v>190</v>
      </c>
      <c r="AM17">
        <v>21.5</v>
      </c>
      <c r="AN17">
        <v>0</v>
      </c>
      <c r="AO17">
        <v>0.01</v>
      </c>
      <c r="AP17" s="28">
        <f t="shared" ref="AP17:AP30" si="13">(AN17+AO17)*1000</f>
        <v>10</v>
      </c>
      <c r="AQ17" s="28">
        <f t="shared" ref="AQ17:AQ30" si="14">AP17/AM17</f>
        <v>0.46511627906976744</v>
      </c>
      <c r="AR17" s="1">
        <f>(AN17*1000)/AP17</f>
        <v>0</v>
      </c>
      <c r="AS17" s="1">
        <f t="shared" ref="AS17:AS30" si="15">(AN17*1000)/AM17</f>
        <v>0</v>
      </c>
      <c r="AT17" s="1">
        <f t="shared" ref="AT17:AT30" si="16">1-((AO17*1000)/AM17)</f>
        <v>0.53488372093023262</v>
      </c>
    </row>
    <row r="18" spans="1:46" ht="15" thickBot="1" x14ac:dyDescent="0.4">
      <c r="A18">
        <v>2009</v>
      </c>
      <c r="B18" s="12">
        <v>168.5</v>
      </c>
      <c r="C18" s="12">
        <v>208.2</v>
      </c>
      <c r="D18" s="12">
        <v>59.600000000000023</v>
      </c>
      <c r="E18" s="11">
        <f t="shared" si="11"/>
        <v>0.61379784551913819</v>
      </c>
      <c r="F18" s="15">
        <v>680.09627</v>
      </c>
      <c r="G18" s="15">
        <v>101.1</v>
      </c>
      <c r="H18" s="14">
        <v>1168.0478000000003</v>
      </c>
      <c r="I18" s="13">
        <f t="shared" ref="I18:I30" si="17">(F18+G18)/H18</f>
        <v>0.66880505232748166</v>
      </c>
      <c r="J18" s="2" t="s">
        <v>13</v>
      </c>
      <c r="K18" t="s">
        <v>14</v>
      </c>
      <c r="M18" s="2" t="s">
        <v>13</v>
      </c>
      <c r="N18" t="s">
        <v>13</v>
      </c>
      <c r="Q18">
        <v>160.9</v>
      </c>
      <c r="R18" s="12">
        <v>375.3</v>
      </c>
      <c r="S18" s="12">
        <v>449</v>
      </c>
      <c r="T18">
        <f>R18-Q18</f>
        <v>214.4</v>
      </c>
      <c r="U18">
        <f>S18-R18</f>
        <v>73.699999999999989</v>
      </c>
      <c r="V18">
        <f>U18+T18</f>
        <v>288.10000000000002</v>
      </c>
      <c r="W18" s="1">
        <f>V18/SUM(Q18,V18)</f>
        <v>0.64164810690423169</v>
      </c>
      <c r="Y18" s="31">
        <v>400</v>
      </c>
      <c r="Z18" s="31"/>
      <c r="AA18" s="23">
        <v>1103.5999999999999</v>
      </c>
      <c r="AB18" s="23">
        <v>130</v>
      </c>
      <c r="AC18" s="23">
        <f t="shared" si="1"/>
        <v>1633.6</v>
      </c>
      <c r="AD18" s="30">
        <f>Y18-(AD17+AE17)</f>
        <v>355</v>
      </c>
      <c r="AE18" s="30"/>
      <c r="AF18" s="27">
        <f t="shared" si="7"/>
        <v>368.59999999999991</v>
      </c>
      <c r="AG18" s="27">
        <f t="shared" si="8"/>
        <v>66.5</v>
      </c>
      <c r="AH18" s="27">
        <f t="shared" si="2"/>
        <v>790.09999999999991</v>
      </c>
      <c r="AI18" s="27">
        <f t="shared" si="3"/>
        <v>435.09999999999991</v>
      </c>
      <c r="AJ18" s="1">
        <f t="shared" si="4"/>
        <v>0.55068978610302488</v>
      </c>
      <c r="AK18">
        <v>157</v>
      </c>
      <c r="AL18">
        <v>208</v>
      </c>
      <c r="AM18">
        <v>69.5</v>
      </c>
      <c r="AN18">
        <v>0.02</v>
      </c>
      <c r="AO18">
        <v>0.02</v>
      </c>
      <c r="AP18" s="28">
        <f t="shared" si="13"/>
        <v>40</v>
      </c>
      <c r="AQ18" s="28">
        <f t="shared" si="14"/>
        <v>0.57553956834532372</v>
      </c>
      <c r="AR18" s="1">
        <f t="shared" ref="AR18:AR30" si="18">(AN18*1000)/AP18</f>
        <v>0.5</v>
      </c>
      <c r="AS18" s="1">
        <f t="shared" si="15"/>
        <v>0.28776978417266186</v>
      </c>
      <c r="AT18" s="1">
        <f t="shared" si="16"/>
        <v>0.71223021582733814</v>
      </c>
    </row>
    <row r="19" spans="1:46" x14ac:dyDescent="0.35">
      <c r="A19">
        <v>2010</v>
      </c>
      <c r="B19">
        <f>56+60+63+67</f>
        <v>246</v>
      </c>
      <c r="C19">
        <f>63+64+94+115</f>
        <v>336</v>
      </c>
      <c r="D19">
        <f>22+55+22+167</f>
        <v>266</v>
      </c>
      <c r="E19" s="11">
        <f t="shared" si="11"/>
        <v>0.70990566037735847</v>
      </c>
      <c r="F19">
        <v>331.88707499999998</v>
      </c>
      <c r="G19">
        <v>266.5</v>
      </c>
      <c r="H19">
        <v>848.83796062499994</v>
      </c>
      <c r="I19" s="11">
        <f t="shared" si="17"/>
        <v>0.70494853288536619</v>
      </c>
      <c r="Q19">
        <v>262</v>
      </c>
      <c r="R19" s="12"/>
      <c r="S19" s="12"/>
      <c r="T19">
        <v>347</v>
      </c>
      <c r="U19">
        <v>284</v>
      </c>
      <c r="V19">
        <f>U19+T19</f>
        <v>631</v>
      </c>
      <c r="W19" s="1">
        <f>V19/SUM(Q19,V19)</f>
        <v>0.70660694288913772</v>
      </c>
      <c r="Y19" s="31">
        <v>440</v>
      </c>
      <c r="Z19" s="31"/>
      <c r="AA19" s="23">
        <v>1737</v>
      </c>
      <c r="AB19" s="23">
        <v>372</v>
      </c>
      <c r="AC19" s="23">
        <f t="shared" si="1"/>
        <v>2549</v>
      </c>
      <c r="AD19" s="30">
        <f>Y19-AD18</f>
        <v>85</v>
      </c>
      <c r="AE19" s="30"/>
      <c r="AF19" s="27">
        <f t="shared" si="7"/>
        <v>633.40000000000009</v>
      </c>
      <c r="AG19" s="27">
        <f t="shared" si="8"/>
        <v>242</v>
      </c>
      <c r="AH19" s="27">
        <f t="shared" si="2"/>
        <v>960.40000000000009</v>
      </c>
      <c r="AI19" s="27">
        <f t="shared" si="3"/>
        <v>875.40000000000009</v>
      </c>
      <c r="AJ19" s="1">
        <f t="shared" si="4"/>
        <v>0.91149521032902958</v>
      </c>
      <c r="AK19" s="29">
        <v>245.53688562500002</v>
      </c>
      <c r="AL19" s="29">
        <v>336.80107500000008</v>
      </c>
      <c r="AM19" s="29">
        <v>266.5</v>
      </c>
      <c r="AN19">
        <v>0.06</v>
      </c>
      <c r="AO19">
        <v>0.12</v>
      </c>
      <c r="AP19" s="28">
        <f t="shared" si="13"/>
        <v>180</v>
      </c>
      <c r="AQ19" s="28">
        <f t="shared" si="14"/>
        <v>0.67542213883677293</v>
      </c>
      <c r="AR19" s="1">
        <f t="shared" si="18"/>
        <v>0.33333333333333331</v>
      </c>
      <c r="AS19" s="1">
        <f t="shared" si="15"/>
        <v>0.22514071294559099</v>
      </c>
      <c r="AT19" s="1">
        <f t="shared" si="16"/>
        <v>0.54971857410881797</v>
      </c>
    </row>
    <row r="20" spans="1:46" x14ac:dyDescent="0.35">
      <c r="A20">
        <v>2011</v>
      </c>
      <c r="B20">
        <f>72+68+75+88</f>
        <v>303</v>
      </c>
      <c r="C20">
        <f>168+224+174+260</f>
        <v>826</v>
      </c>
      <c r="D20">
        <f>38+50+227+445</f>
        <v>760</v>
      </c>
      <c r="E20" s="11">
        <f t="shared" si="11"/>
        <v>0.83959767072525149</v>
      </c>
      <c r="F20">
        <v>811.32410479700002</v>
      </c>
      <c r="G20">
        <v>785.59460999999999</v>
      </c>
      <c r="H20">
        <v>1940.7372044019994</v>
      </c>
      <c r="I20" s="11">
        <f t="shared" si="17"/>
        <v>0.82284129514024529</v>
      </c>
      <c r="Q20">
        <v>324</v>
      </c>
      <c r="R20" s="12"/>
      <c r="S20" s="12"/>
      <c r="T20">
        <v>822</v>
      </c>
      <c r="U20">
        <v>698</v>
      </c>
      <c r="V20">
        <f>U20+T20</f>
        <v>1520</v>
      </c>
      <c r="W20" s="1">
        <f>V20/SUM(Q20,V20)</f>
        <v>0.824295010845987</v>
      </c>
      <c r="AI20" s="27"/>
      <c r="AJ20" s="27"/>
      <c r="AK20" s="29">
        <v>305.17506160499994</v>
      </c>
      <c r="AL20" s="29">
        <v>849.96753279699988</v>
      </c>
      <c r="AM20" s="29">
        <v>785.59460999999988</v>
      </c>
      <c r="AN20">
        <v>0.36</v>
      </c>
      <c r="AO20">
        <v>0.12</v>
      </c>
      <c r="AP20" s="28">
        <f t="shared" si="13"/>
        <v>480</v>
      </c>
      <c r="AQ20" s="28">
        <f t="shared" si="14"/>
        <v>0.61100215542466629</v>
      </c>
      <c r="AR20" s="1">
        <f t="shared" si="18"/>
        <v>0.75</v>
      </c>
      <c r="AS20" s="1">
        <f t="shared" si="15"/>
        <v>0.45825161656849972</v>
      </c>
      <c r="AT20" s="1">
        <f t="shared" si="16"/>
        <v>0.84724946114383348</v>
      </c>
    </row>
    <row r="21" spans="1:46" x14ac:dyDescent="0.35">
      <c r="A21">
        <v>2012</v>
      </c>
      <c r="B21">
        <f>107+111+127+144</f>
        <v>489</v>
      </c>
      <c r="C21">
        <f>303+209+249+282</f>
        <v>1043</v>
      </c>
      <c r="D21">
        <f>134+464+310+874</f>
        <v>1782</v>
      </c>
      <c r="E21" s="11">
        <f t="shared" si="11"/>
        <v>0.85244417622208812</v>
      </c>
      <c r="F21">
        <v>1067.6336344149399</v>
      </c>
      <c r="G21">
        <v>1803.1759999999999</v>
      </c>
      <c r="H21">
        <v>3373.8550070672413</v>
      </c>
      <c r="I21" s="11">
        <f t="shared" si="17"/>
        <v>0.85089893560969032</v>
      </c>
      <c r="Q21">
        <v>529.5</v>
      </c>
      <c r="R21" s="12">
        <v>1601.9</v>
      </c>
      <c r="S21" s="12">
        <v>3451.7</v>
      </c>
      <c r="T21">
        <f>R21-Q21</f>
        <v>1072.4000000000001</v>
      </c>
      <c r="U21">
        <f>S21-R21</f>
        <v>1849.7999999999997</v>
      </c>
      <c r="V21">
        <f>U21+T21</f>
        <v>2922.2</v>
      </c>
      <c r="W21" s="1">
        <f>V21/SUM(Q21,V21)</f>
        <v>0.84659732885244954</v>
      </c>
      <c r="AI21" s="27"/>
      <c r="AJ21" s="27"/>
      <c r="AK21" s="29">
        <v>495.52947265229875</v>
      </c>
      <c r="AL21" s="29">
        <v>1075.1495344149428</v>
      </c>
      <c r="AM21" s="29">
        <v>1803.1759999999997</v>
      </c>
      <c r="AN21">
        <v>0.7</v>
      </c>
      <c r="AO21">
        <v>0.23</v>
      </c>
      <c r="AP21" s="28">
        <f t="shared" si="13"/>
        <v>929.99999999999989</v>
      </c>
      <c r="AQ21" s="28">
        <f t="shared" si="14"/>
        <v>0.51575664272372745</v>
      </c>
      <c r="AR21" s="1">
        <f t="shared" si="18"/>
        <v>0.75268817204301086</v>
      </c>
      <c r="AS21" s="1">
        <f t="shared" si="15"/>
        <v>0.3882039246307627</v>
      </c>
      <c r="AT21" s="1">
        <f t="shared" si="16"/>
        <v>0.87244728190703513</v>
      </c>
    </row>
    <row r="22" spans="1:46" x14ac:dyDescent="0.35">
      <c r="A22">
        <v>2013</v>
      </c>
      <c r="F22">
        <v>1101.4126131057501</v>
      </c>
      <c r="G22">
        <v>2857.51</v>
      </c>
      <c r="H22">
        <v>4765.8020300921853</v>
      </c>
      <c r="I22" s="11">
        <f t="shared" si="17"/>
        <v>0.83069388701174662</v>
      </c>
      <c r="Q22">
        <f>0.9*1000</f>
        <v>900</v>
      </c>
      <c r="R22" s="12">
        <v>1876.7</v>
      </c>
      <c r="S22" s="12">
        <v>4611.3</v>
      </c>
      <c r="T22">
        <v>1000</v>
      </c>
      <c r="U22">
        <f>S22-R22</f>
        <v>2734.6000000000004</v>
      </c>
      <c r="V22">
        <f>U22+T22</f>
        <v>3734.6000000000004</v>
      </c>
      <c r="W22" s="1">
        <f>V22/SUM(Q22,V22)</f>
        <v>0.80580848401156524</v>
      </c>
      <c r="AI22" s="27"/>
      <c r="AJ22" s="27"/>
      <c r="AK22" s="29">
        <v>798.95041698643684</v>
      </c>
      <c r="AL22" s="29">
        <v>1109.3416131057468</v>
      </c>
      <c r="AM22" s="29">
        <v>2857.5100000000007</v>
      </c>
      <c r="AN22">
        <v>0.85</v>
      </c>
      <c r="AO22">
        <v>0.5</v>
      </c>
      <c r="AP22" s="28">
        <f t="shared" si="13"/>
        <v>1350</v>
      </c>
      <c r="AQ22" s="28">
        <f t="shared" si="14"/>
        <v>0.47243929155103559</v>
      </c>
      <c r="AR22" s="1">
        <f t="shared" si="18"/>
        <v>0.62962962962962965</v>
      </c>
      <c r="AS22" s="1">
        <f t="shared" si="15"/>
        <v>0.29746177616176317</v>
      </c>
      <c r="AT22" s="1">
        <f t="shared" si="16"/>
        <v>0.82502248461072758</v>
      </c>
    </row>
    <row r="23" spans="1:46" x14ac:dyDescent="0.35">
      <c r="A23">
        <v>2014</v>
      </c>
      <c r="F23">
        <v>1035.57774042965</v>
      </c>
      <c r="G23">
        <v>3921.9409999999998</v>
      </c>
      <c r="H23">
        <v>6244.8495687519062</v>
      </c>
      <c r="I23" s="11">
        <f t="shared" si="17"/>
        <v>0.79385719157050227</v>
      </c>
      <c r="Q23" t="s">
        <v>13</v>
      </c>
      <c r="R23" t="s">
        <v>12</v>
      </c>
      <c r="S23" t="s">
        <v>12</v>
      </c>
      <c r="AI23" s="27"/>
      <c r="AJ23" s="27"/>
      <c r="AK23" s="29">
        <v>1267.7345639544415</v>
      </c>
      <c r="AL23" s="29">
        <v>1055.1740047974631</v>
      </c>
      <c r="AM23" s="29">
        <v>3921.9410000000003</v>
      </c>
      <c r="AN23">
        <v>0.95</v>
      </c>
      <c r="AO23">
        <v>2.2200000000000002</v>
      </c>
      <c r="AP23" s="28">
        <f t="shared" si="13"/>
        <v>3170</v>
      </c>
      <c r="AQ23" s="28">
        <f t="shared" si="14"/>
        <v>0.80827325041350695</v>
      </c>
      <c r="AR23" s="1">
        <f t="shared" si="18"/>
        <v>0.29968454258675081</v>
      </c>
      <c r="AS23" s="1">
        <f t="shared" si="15"/>
        <v>0.24222699933527811</v>
      </c>
      <c r="AT23" s="1">
        <f t="shared" si="16"/>
        <v>0.43395374892177119</v>
      </c>
    </row>
    <row r="24" spans="1:46" x14ac:dyDescent="0.35">
      <c r="A24">
        <v>2015</v>
      </c>
      <c r="F24">
        <v>1055.6127222003099</v>
      </c>
      <c r="G24">
        <v>4267.9799999999996</v>
      </c>
      <c r="H24">
        <v>7509.0578801816455</v>
      </c>
      <c r="I24" s="11">
        <f t="shared" si="17"/>
        <v>0.70895614431880372</v>
      </c>
      <c r="AI24" s="27"/>
      <c r="AJ24" s="27"/>
      <c r="AK24" s="29">
        <v>2171.3991644181156</v>
      </c>
      <c r="AL24" s="29">
        <v>1069.6787157635285</v>
      </c>
      <c r="AM24" s="29">
        <v>4267.9800000000014</v>
      </c>
      <c r="AN24">
        <v>2.33</v>
      </c>
      <c r="AO24">
        <v>0.54</v>
      </c>
      <c r="AP24" s="28">
        <f t="shared" si="13"/>
        <v>2870</v>
      </c>
      <c r="AQ24" s="28">
        <f t="shared" si="14"/>
        <v>0.67244926171162922</v>
      </c>
      <c r="AR24" s="1">
        <f t="shared" si="18"/>
        <v>0.81184668989547037</v>
      </c>
      <c r="AS24" s="1">
        <f t="shared" si="15"/>
        <v>0.54592570724323897</v>
      </c>
      <c r="AT24" s="1">
        <f t="shared" si="16"/>
        <v>0.87347644553160986</v>
      </c>
    </row>
    <row r="25" spans="1:46" x14ac:dyDescent="0.35">
      <c r="A25">
        <v>2016</v>
      </c>
      <c r="F25">
        <v>1675.4427277898401</v>
      </c>
      <c r="G25">
        <v>10748.9462417948</v>
      </c>
      <c r="H25">
        <v>15103.944009350133</v>
      </c>
      <c r="I25" s="11">
        <f t="shared" si="17"/>
        <v>0.82259236143177517</v>
      </c>
      <c r="AI25" s="27"/>
      <c r="AJ25" s="27"/>
      <c r="AK25" s="29">
        <v>2638.4647128689089</v>
      </c>
      <c r="AL25" s="29">
        <v>1714.8479983645557</v>
      </c>
      <c r="AM25" s="29">
        <v>10750.848425702876</v>
      </c>
      <c r="AN25">
        <v>5.71</v>
      </c>
      <c r="AO25">
        <v>1.73</v>
      </c>
      <c r="AP25" s="28">
        <f t="shared" si="13"/>
        <v>7439.9999999999991</v>
      </c>
      <c r="AQ25" s="28">
        <f t="shared" si="14"/>
        <v>0.69203840528647231</v>
      </c>
      <c r="AR25" s="1">
        <f t="shared" si="18"/>
        <v>0.76747311827956999</v>
      </c>
      <c r="AS25" s="1">
        <f t="shared" si="15"/>
        <v>0.53112087287442977</v>
      </c>
      <c r="AT25" s="1">
        <f t="shared" si="16"/>
        <v>0.83908246758795735</v>
      </c>
    </row>
    <row r="26" spans="1:46" x14ac:dyDescent="0.35">
      <c r="A26">
        <v>2017</v>
      </c>
      <c r="F26">
        <v>2250.0610534395701</v>
      </c>
      <c r="G26">
        <v>6468.5374921966004</v>
      </c>
      <c r="H26">
        <v>11080.064424742075</v>
      </c>
      <c r="I26" s="11">
        <f t="shared" si="17"/>
        <v>0.78687254978114662</v>
      </c>
      <c r="AI26" s="27"/>
      <c r="AJ26" s="27"/>
      <c r="AK26" s="29">
        <v>2239.1755139334964</v>
      </c>
      <c r="AL26" s="29">
        <v>2365.7083752786466</v>
      </c>
      <c r="AM26" s="29">
        <v>6475.5621763345271</v>
      </c>
      <c r="AN26">
        <v>3.17</v>
      </c>
      <c r="AO26">
        <v>0.91</v>
      </c>
      <c r="AP26" s="28">
        <f t="shared" si="13"/>
        <v>4080</v>
      </c>
      <c r="AQ26" s="28">
        <f t="shared" si="14"/>
        <v>0.63006112657070834</v>
      </c>
      <c r="AR26" s="1">
        <f t="shared" si="18"/>
        <v>0.77696078431372551</v>
      </c>
      <c r="AS26" s="1">
        <f t="shared" si="15"/>
        <v>0.48953278706596703</v>
      </c>
      <c r="AT26" s="1">
        <f t="shared" si="16"/>
        <v>0.85947166049525869</v>
      </c>
    </row>
    <row r="27" spans="1:46" x14ac:dyDescent="0.35">
      <c r="A27">
        <v>2018</v>
      </c>
      <c r="F27">
        <v>2199.1799999999998</v>
      </c>
      <c r="G27">
        <v>6118.7750969831304</v>
      </c>
      <c r="H27">
        <v>10756.590591499287</v>
      </c>
      <c r="I27" s="11">
        <f t="shared" si="17"/>
        <v>0.77328917803719699</v>
      </c>
      <c r="AI27" s="27"/>
      <c r="AJ27" s="27"/>
      <c r="AK27" s="29">
        <v>2418.298837433078</v>
      </c>
      <c r="AL27" s="29">
        <v>2196.1894898222545</v>
      </c>
      <c r="AM27" s="29">
        <v>6118.7750969831295</v>
      </c>
      <c r="AN27">
        <v>2.98</v>
      </c>
      <c r="AO27">
        <v>0.99</v>
      </c>
      <c r="AP27" s="28">
        <f t="shared" si="13"/>
        <v>3969.9999999999995</v>
      </c>
      <c r="AQ27" s="28">
        <f t="shared" si="14"/>
        <v>0.64882267072659916</v>
      </c>
      <c r="AR27" s="1">
        <f t="shared" si="18"/>
        <v>0.75062972292191443</v>
      </c>
      <c r="AS27" s="1">
        <f t="shared" si="15"/>
        <v>0.4870255815529636</v>
      </c>
      <c r="AT27" s="1">
        <f t="shared" si="16"/>
        <v>0.83820291082636444</v>
      </c>
    </row>
    <row r="28" spans="1:46" x14ac:dyDescent="0.35">
      <c r="A28">
        <v>2019</v>
      </c>
      <c r="F28">
        <v>2145.64</v>
      </c>
      <c r="G28">
        <v>8393.0369537960905</v>
      </c>
      <c r="H28">
        <v>13514.107127316918</v>
      </c>
      <c r="I28" s="11">
        <f t="shared" si="17"/>
        <v>0.77982783875477768</v>
      </c>
      <c r="AI28" s="27"/>
      <c r="AJ28" s="27"/>
      <c r="AK28" s="29">
        <v>2865.3565608774225</v>
      </c>
      <c r="AL28" s="29">
        <v>2184.2594336236671</v>
      </c>
      <c r="AM28" s="29">
        <v>8462.2720382445132</v>
      </c>
      <c r="AN28">
        <v>2.97</v>
      </c>
      <c r="AO28">
        <v>1.64</v>
      </c>
      <c r="AP28" s="28">
        <f t="shared" si="13"/>
        <v>4610</v>
      </c>
      <c r="AQ28" s="28">
        <f t="shared" si="14"/>
        <v>0.54477095266678977</v>
      </c>
      <c r="AR28" s="1">
        <f t="shared" si="18"/>
        <v>0.64425162689804771</v>
      </c>
      <c r="AS28" s="1">
        <f t="shared" si="15"/>
        <v>0.35096957254237865</v>
      </c>
      <c r="AT28" s="1">
        <f t="shared" si="16"/>
        <v>0.80619861987558894</v>
      </c>
    </row>
    <row r="29" spans="1:46" x14ac:dyDescent="0.35">
      <c r="A29">
        <v>2020</v>
      </c>
      <c r="F29">
        <v>2074</v>
      </c>
      <c r="G29">
        <v>13953</v>
      </c>
      <c r="H29">
        <v>19450.859919110022</v>
      </c>
      <c r="I29" s="11">
        <f t="shared" si="17"/>
        <v>0.8239738534260812</v>
      </c>
      <c r="AI29" s="27"/>
      <c r="AJ29" s="27"/>
      <c r="AK29" s="29">
        <v>3242.0179045716945</v>
      </c>
      <c r="AL29" s="29">
        <v>2346.87782841427</v>
      </c>
      <c r="AM29" s="29">
        <v>14260.581686776355</v>
      </c>
      <c r="AN29">
        <v>6.82</v>
      </c>
      <c r="AO29">
        <v>2.8</v>
      </c>
      <c r="AP29" s="28">
        <f t="shared" si="13"/>
        <v>9620.0000000000018</v>
      </c>
      <c r="AQ29" s="28">
        <f t="shared" si="14"/>
        <v>0.67458678834401953</v>
      </c>
      <c r="AR29" s="1">
        <f t="shared" si="18"/>
        <v>0.70893970893970881</v>
      </c>
      <c r="AS29" s="1">
        <f t="shared" si="15"/>
        <v>0.47824136138318213</v>
      </c>
      <c r="AT29" s="1">
        <f t="shared" si="16"/>
        <v>0.80365457303916277</v>
      </c>
    </row>
    <row r="30" spans="1:46" x14ac:dyDescent="0.35">
      <c r="A30">
        <v>2021</v>
      </c>
      <c r="F30">
        <v>2392.3642414796768</v>
      </c>
      <c r="G30">
        <v>16966.409166959249</v>
      </c>
      <c r="H30">
        <v>23564.62880112612</v>
      </c>
      <c r="I30" s="11">
        <f t="shared" si="17"/>
        <v>0.82151828368770219</v>
      </c>
      <c r="AI30" s="27"/>
      <c r="AJ30" s="27"/>
      <c r="AK30" s="29">
        <v>4205.8553926871946</v>
      </c>
      <c r="AL30" s="29">
        <v>2392.3642414796768</v>
      </c>
      <c r="AM30" s="29">
        <v>16966.409166959249</v>
      </c>
      <c r="AN30">
        <v>8.65</v>
      </c>
      <c r="AO30">
        <v>3.87</v>
      </c>
      <c r="AP30" s="28">
        <f t="shared" si="13"/>
        <v>12520</v>
      </c>
      <c r="AQ30" s="28">
        <f t="shared" si="14"/>
        <v>0.73792868466132</v>
      </c>
      <c r="AR30" s="1">
        <f t="shared" si="18"/>
        <v>0.6908945686900958</v>
      </c>
      <c r="AS30" s="1">
        <f t="shared" si="15"/>
        <v>0.50983092031313237</v>
      </c>
      <c r="AT30" s="1">
        <f t="shared" si="16"/>
        <v>0.77190223565181237</v>
      </c>
    </row>
    <row r="37" spans="1:9" x14ac:dyDescent="0.35">
      <c r="B37" s="2" t="s">
        <v>11</v>
      </c>
      <c r="C37" t="s">
        <v>10</v>
      </c>
      <c r="D37" t="s">
        <v>9</v>
      </c>
      <c r="E37" s="2" t="s">
        <v>10</v>
      </c>
      <c r="F37" s="2" t="s">
        <v>9</v>
      </c>
    </row>
    <row r="38" spans="1:9" x14ac:dyDescent="0.35">
      <c r="A38">
        <v>2000</v>
      </c>
      <c r="B38" s="2">
        <v>0</v>
      </c>
      <c r="C38">
        <v>9.9</v>
      </c>
      <c r="D38">
        <v>9.9</v>
      </c>
      <c r="E38" s="2">
        <f t="shared" ref="E38:E50" si="19">C38-B38</f>
        <v>9.9</v>
      </c>
      <c r="F38" s="2">
        <f t="shared" ref="F38:F50" si="20">D38-C38</f>
        <v>0</v>
      </c>
    </row>
    <row r="39" spans="1:9" x14ac:dyDescent="0.35">
      <c r="A39">
        <v>2001</v>
      </c>
      <c r="B39" s="2">
        <v>9.9</v>
      </c>
      <c r="C39">
        <v>14.9</v>
      </c>
      <c r="D39">
        <v>14.9</v>
      </c>
      <c r="E39" s="2">
        <f t="shared" si="19"/>
        <v>5</v>
      </c>
      <c r="F39" s="2">
        <f t="shared" si="20"/>
        <v>0</v>
      </c>
    </row>
    <row r="40" spans="1:9" x14ac:dyDescent="0.35">
      <c r="A40">
        <v>2002</v>
      </c>
      <c r="B40" s="2">
        <v>9.9</v>
      </c>
      <c r="C40">
        <v>19.8</v>
      </c>
      <c r="D40">
        <v>29.7</v>
      </c>
      <c r="E40" s="2">
        <f t="shared" si="19"/>
        <v>9.9</v>
      </c>
      <c r="F40" s="2">
        <f t="shared" si="20"/>
        <v>9.8999999999999986</v>
      </c>
    </row>
    <row r="41" spans="1:9" x14ac:dyDescent="0.35">
      <c r="A41">
        <v>2003</v>
      </c>
      <c r="B41" s="2">
        <v>19.8</v>
      </c>
      <c r="C41">
        <v>44.6</v>
      </c>
      <c r="D41">
        <v>49.6</v>
      </c>
      <c r="E41" s="2">
        <f t="shared" si="19"/>
        <v>24.8</v>
      </c>
      <c r="F41" s="2">
        <f t="shared" si="20"/>
        <v>5</v>
      </c>
    </row>
    <row r="42" spans="1:9" x14ac:dyDescent="0.35">
      <c r="A42">
        <v>2004</v>
      </c>
      <c r="B42" s="2">
        <v>29.7</v>
      </c>
      <c r="C42">
        <v>59.5</v>
      </c>
      <c r="D42">
        <v>59.5</v>
      </c>
      <c r="E42" s="2">
        <f t="shared" si="19"/>
        <v>29.8</v>
      </c>
      <c r="F42" s="2">
        <f t="shared" si="20"/>
        <v>0</v>
      </c>
    </row>
    <row r="43" spans="1:9" x14ac:dyDescent="0.35">
      <c r="A43">
        <v>2005</v>
      </c>
      <c r="B43" s="2">
        <v>34.700000000000003</v>
      </c>
      <c r="C43">
        <v>84.3</v>
      </c>
      <c r="D43">
        <v>84.3</v>
      </c>
      <c r="E43" s="2">
        <f t="shared" si="19"/>
        <v>49.599999999999994</v>
      </c>
      <c r="F43" s="2">
        <f t="shared" si="20"/>
        <v>0</v>
      </c>
    </row>
    <row r="44" spans="1:9" x14ac:dyDescent="0.35">
      <c r="A44">
        <v>2006</v>
      </c>
      <c r="B44" s="2">
        <v>39.700000000000003</v>
      </c>
      <c r="C44">
        <v>109</v>
      </c>
      <c r="D44">
        <v>109</v>
      </c>
      <c r="E44" s="2">
        <f t="shared" si="19"/>
        <v>69.3</v>
      </c>
      <c r="F44" s="2">
        <f t="shared" si="20"/>
        <v>0</v>
      </c>
    </row>
    <row r="45" spans="1:9" x14ac:dyDescent="0.35">
      <c r="A45">
        <v>2007</v>
      </c>
      <c r="B45" s="2">
        <v>59.5</v>
      </c>
      <c r="C45">
        <v>153.69999999999999</v>
      </c>
      <c r="D45">
        <v>168.5</v>
      </c>
      <c r="E45" s="2">
        <f t="shared" si="19"/>
        <v>94.199999999999989</v>
      </c>
      <c r="F45" s="2">
        <f t="shared" si="20"/>
        <v>14.800000000000011</v>
      </c>
    </row>
    <row r="46" spans="1:9" x14ac:dyDescent="0.35">
      <c r="A46">
        <v>2008</v>
      </c>
      <c r="B46" s="2">
        <v>84.3</v>
      </c>
      <c r="C46">
        <v>282.60000000000002</v>
      </c>
      <c r="D46">
        <v>302.39999999999998</v>
      </c>
      <c r="E46" s="2">
        <f t="shared" si="19"/>
        <v>198.3</v>
      </c>
      <c r="F46" s="2">
        <f t="shared" si="20"/>
        <v>19.799999999999955</v>
      </c>
    </row>
    <row r="47" spans="1:9" x14ac:dyDescent="0.35">
      <c r="A47">
        <v>2009</v>
      </c>
      <c r="B47" s="2">
        <v>168.5</v>
      </c>
      <c r="C47">
        <v>376.7</v>
      </c>
      <c r="D47">
        <v>436.3</v>
      </c>
      <c r="E47" s="2">
        <f t="shared" si="19"/>
        <v>208.2</v>
      </c>
      <c r="F47" s="2">
        <f t="shared" si="20"/>
        <v>59.600000000000023</v>
      </c>
    </row>
    <row r="48" spans="1:9" x14ac:dyDescent="0.35">
      <c r="A48">
        <v>2010</v>
      </c>
      <c r="B48" s="10">
        <v>247.9</v>
      </c>
      <c r="C48">
        <v>580</v>
      </c>
      <c r="D48">
        <v>847.7</v>
      </c>
      <c r="E48" s="10">
        <f t="shared" si="19"/>
        <v>332.1</v>
      </c>
      <c r="F48" s="10">
        <f t="shared" si="20"/>
        <v>267.70000000000005</v>
      </c>
      <c r="G48" s="9">
        <f>56+60+63+67</f>
        <v>246</v>
      </c>
      <c r="H48" s="9">
        <f>63+64+94+115</f>
        <v>336</v>
      </c>
      <c r="I48" s="9">
        <f>22+55+22+167</f>
        <v>266</v>
      </c>
    </row>
    <row r="49" spans="1:9" x14ac:dyDescent="0.35">
      <c r="A49">
        <v>2011</v>
      </c>
      <c r="B49" s="10">
        <v>302.39999999999998</v>
      </c>
      <c r="C49">
        <v>1125.4000000000001</v>
      </c>
      <c r="D49">
        <v>1888.8</v>
      </c>
      <c r="E49" s="10">
        <f t="shared" si="19"/>
        <v>823.00000000000011</v>
      </c>
      <c r="F49" s="10">
        <f t="shared" si="20"/>
        <v>763.39999999999986</v>
      </c>
      <c r="G49" s="9">
        <f>72+68+75+88</f>
        <v>303</v>
      </c>
      <c r="H49" s="9">
        <f>168+224+174+260</f>
        <v>826</v>
      </c>
      <c r="I49" s="9">
        <f>38+50+227+445</f>
        <v>760</v>
      </c>
    </row>
    <row r="50" spans="1:9" x14ac:dyDescent="0.35">
      <c r="A50">
        <v>2012</v>
      </c>
      <c r="B50" s="10">
        <v>490.8</v>
      </c>
      <c r="C50">
        <v>1531.9</v>
      </c>
      <c r="D50">
        <v>3311.6</v>
      </c>
      <c r="E50" s="10">
        <f t="shared" si="19"/>
        <v>1041.1000000000001</v>
      </c>
      <c r="F50" s="10">
        <f t="shared" si="20"/>
        <v>1779.6999999999998</v>
      </c>
      <c r="G50" s="9">
        <f>107+111+127+144</f>
        <v>489</v>
      </c>
      <c r="H50" s="9">
        <f>303+209+249+282</f>
        <v>1043</v>
      </c>
      <c r="I50" s="9">
        <f>134+464+310+874</f>
        <v>1782</v>
      </c>
    </row>
    <row r="51" spans="1:9" x14ac:dyDescent="0.35">
      <c r="C51" t="s">
        <v>35</v>
      </c>
    </row>
  </sheetData>
  <mergeCells count="6">
    <mergeCell ref="Y2:AB2"/>
    <mergeCell ref="Y18:Z18"/>
    <mergeCell ref="Y19:Z19"/>
    <mergeCell ref="AD2:AH2"/>
    <mergeCell ref="AD18:AE18"/>
    <mergeCell ref="AD19:AE19"/>
  </mergeCells>
  <conditionalFormatting sqref="AR16:AT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AK1" r:id="rId1" display="https://doi.org/10.2172/1888246" xr:uid="{9599ADBC-4AEE-4494-B372-3C8E0C339E82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input-Installs-Subset-CommUtili</vt:lpstr>
      <vt:lpstr>SectorInstalls</vt:lpstr>
      <vt:lpstr>raw and 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2021-09-16T18:42:52Z</dcterms:created>
  <dcterms:modified xsi:type="dcterms:W3CDTF">2022-10-04T23:19:10Z</dcterms:modified>
</cp:coreProperties>
</file>