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8C6F8453-B817-4609-A0F4-7B36663EB923}" xr6:coauthVersionLast="47" xr6:coauthVersionMax="47" xr10:uidLastSave="{00000000-0000-0000-0000-000000000000}"/>
  <bookViews>
    <workbookView xWindow="28680" yWindow="-120" windowWidth="29040" windowHeight="15840" activeTab="2" xr2:uid="{5A880DFA-5001-4668-A9E5-FAA5270211BD}"/>
  </bookViews>
  <sheets>
    <sheet name="Sheet1" sheetId="1" r:id="rId1"/>
    <sheet name="oregradeovertime" sheetId="2" r:id="rId2"/>
    <sheet name="pyrovshydr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8" i="3"/>
  <c r="E29" i="3"/>
  <c r="E2" i="3"/>
  <c r="C2" i="3"/>
  <c r="F2" i="3" s="1"/>
  <c r="C3" i="3"/>
  <c r="F3" i="3" s="1"/>
  <c r="C4" i="3"/>
  <c r="F4" i="3" s="1"/>
  <c r="C5" i="3"/>
  <c r="F5" i="3" s="1"/>
  <c r="C6" i="3"/>
  <c r="F6" i="3" s="1"/>
  <c r="C7" i="3"/>
  <c r="F7" i="3" s="1"/>
  <c r="C9" i="3"/>
  <c r="F9" i="3" s="1"/>
  <c r="C10" i="3"/>
  <c r="F10" i="3" s="1"/>
  <c r="C11" i="3"/>
  <c r="F11" i="3" s="1"/>
  <c r="C12" i="3"/>
  <c r="F12" i="3" s="1"/>
  <c r="C13" i="3"/>
  <c r="F13" i="3" s="1"/>
  <c r="C14" i="3"/>
  <c r="F14" i="3" s="1"/>
  <c r="C15" i="3"/>
  <c r="F15" i="3" s="1"/>
  <c r="C16" i="3"/>
  <c r="F16" i="3" s="1"/>
  <c r="C17" i="3"/>
  <c r="F17" i="3" s="1"/>
  <c r="C18" i="3"/>
  <c r="F18" i="3" s="1"/>
  <c r="C19" i="3"/>
  <c r="F19" i="3" s="1"/>
  <c r="C20" i="3"/>
  <c r="F20" i="3" s="1"/>
  <c r="C21" i="3"/>
  <c r="F21" i="3" s="1"/>
  <c r="C22" i="3"/>
  <c r="F22" i="3" s="1"/>
  <c r="C23" i="3"/>
  <c r="F23" i="3" s="1"/>
  <c r="C24" i="3"/>
  <c r="F24" i="3" s="1"/>
  <c r="C25" i="3"/>
  <c r="F25" i="3" s="1"/>
  <c r="C26" i="3"/>
  <c r="F26" i="3" s="1"/>
  <c r="C28" i="3"/>
  <c r="F28" i="3" s="1"/>
  <c r="C29" i="3"/>
  <c r="F29" i="3" s="1"/>
  <c r="D27" i="3"/>
  <c r="C27" i="3" s="1"/>
  <c r="F27" i="3" s="1"/>
  <c r="D8" i="3"/>
  <c r="C8" i="3" s="1"/>
  <c r="F8" i="3" s="1"/>
  <c r="N4" i="1"/>
  <c r="M4" i="1"/>
  <c r="M5" i="1"/>
  <c r="N5" i="1" s="1"/>
  <c r="M6" i="1"/>
  <c r="M7" i="1"/>
  <c r="M8" i="1"/>
  <c r="M9" i="1"/>
  <c r="O9" i="1" s="1"/>
  <c r="M10" i="1"/>
  <c r="M11" i="1"/>
  <c r="N11" i="1" s="1"/>
  <c r="M12" i="1"/>
  <c r="N12" i="1" s="1"/>
  <c r="M13" i="1"/>
  <c r="N13" i="1" s="1"/>
  <c r="M14" i="1"/>
  <c r="M15" i="1"/>
  <c r="M16" i="1"/>
  <c r="M17" i="1"/>
  <c r="O17" i="1" s="1"/>
  <c r="M18" i="1"/>
  <c r="M19" i="1"/>
  <c r="N19" i="1" s="1"/>
  <c r="M20" i="1"/>
  <c r="N20" i="1" s="1"/>
  <c r="M21" i="1"/>
  <c r="N21" i="1" s="1"/>
  <c r="M22" i="1"/>
  <c r="M23" i="1"/>
  <c r="M3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26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3" i="1"/>
  <c r="G3" i="2"/>
  <c r="O6" i="1"/>
  <c r="O7" i="1"/>
  <c r="O8" i="1"/>
  <c r="O10" i="1"/>
  <c r="O11" i="1"/>
  <c r="O14" i="1"/>
  <c r="O15" i="1"/>
  <c r="O16" i="1"/>
  <c r="O18" i="1"/>
  <c r="O19" i="1"/>
  <c r="O22" i="1"/>
  <c r="O23" i="1"/>
  <c r="O3" i="1"/>
  <c r="N3" i="1"/>
  <c r="N6" i="1"/>
  <c r="N7" i="1"/>
  <c r="N8" i="1"/>
  <c r="N9" i="1"/>
  <c r="N10" i="1"/>
  <c r="N14" i="1"/>
  <c r="N15" i="1"/>
  <c r="N16" i="1"/>
  <c r="N17" i="1"/>
  <c r="N18" i="1"/>
  <c r="N22" i="1"/>
  <c r="N2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G33" i="1"/>
  <c r="G31" i="1"/>
  <c r="F34" i="1"/>
  <c r="F35" i="1" s="1"/>
  <c r="G35" i="1" s="1"/>
  <c r="E15" i="1"/>
  <c r="G15" i="1" s="1"/>
  <c r="E13" i="1"/>
  <c r="G13" i="1" s="1"/>
  <c r="E3" i="1"/>
  <c r="G3" i="1" s="1"/>
  <c r="E8" i="3" l="1"/>
  <c r="E27" i="3"/>
  <c r="O21" i="1"/>
  <c r="O13" i="1"/>
  <c r="O5" i="1"/>
  <c r="O20" i="1"/>
  <c r="O12" i="1"/>
  <c r="O4" i="1"/>
  <c r="G34" i="1"/>
  <c r="H35" i="1" s="1"/>
</calcChain>
</file>

<file path=xl/sharedStrings.xml><?xml version="1.0" encoding="utf-8"?>
<sst xmlns="http://schemas.openxmlformats.org/spreadsheetml/2006/main" count="60" uniqueCount="49">
  <si>
    <t>Total GJ/t CU</t>
  </si>
  <si>
    <t>ore grade</t>
  </si>
  <si>
    <t>Country</t>
  </si>
  <si>
    <t>Australia</t>
  </si>
  <si>
    <t>Argentina</t>
  </si>
  <si>
    <t>Canada</t>
  </si>
  <si>
    <t>Chile</t>
  </si>
  <si>
    <t>Finland</t>
  </si>
  <si>
    <t>Laos</t>
  </si>
  <si>
    <t>South Africa</t>
  </si>
  <si>
    <t>Turkey</t>
  </si>
  <si>
    <t>Peru</t>
  </si>
  <si>
    <t>PNG</t>
  </si>
  <si>
    <t>USA</t>
  </si>
  <si>
    <t>Avg by country</t>
  </si>
  <si>
    <t>China</t>
  </si>
  <si>
    <t>Congo</t>
  </si>
  <si>
    <t>2020 Global Production of Copper by country (%) [ Sykes, Clare, A Brinson, G Tanudisastro, M Jimenez, and J Djohari. 2020. “Zero Emission Copper Mine of the Future.” wc4975-21. The Warren Center, The Univeristy of Sydney.]</t>
  </si>
  <si>
    <t>Marketshare Wtd Avg contribution 2020</t>
  </si>
  <si>
    <t>Mrktshare wtd avg GJ/ton Cu</t>
  </si>
  <si>
    <t>Fitted Eqn Northey 2013, Fig 2, Mine-LSE</t>
  </si>
  <si>
    <t>Fitted Eqn Northey 2013, Fig 2, Mine+conc</t>
  </si>
  <si>
    <t>Chile ore grade over time</t>
  </si>
  <si>
    <t>Au ore grade over time</t>
  </si>
  <si>
    <t>USA ore grade over time</t>
  </si>
  <si>
    <t>Canada ore grade over time</t>
  </si>
  <si>
    <t>4 country avg</t>
  </si>
  <si>
    <t>Mudd, Gavin M., and Simon M. Jowitt. 2018. “Growing Global Copper Resources, Reserves and Production: Discovery Is Not the Only Control on Supply.” Economic Geology 113 (6): 1235–67. https://doi.org/10.5382/econgeo.2018.4590.</t>
  </si>
  <si>
    <t>kWh/kg</t>
  </si>
  <si>
    <t>Northey, S., N. Haque, and G. Mudd. 2013. “Using Sustainability Reporting to Assess the Environmental Footprint of Copper Mining.” Journal of Cleaner Production, Special Volume: Sustainable consumption and production for Asia: Sustainability through green design and practice, 40 (February): 118–28. https://doi.org/10.1016/j.jclepro.2012.09.027.</t>
  </si>
  <si>
    <t>Northey 2013, Subset of Table 2</t>
  </si>
  <si>
    <t>GJ/t</t>
  </si>
  <si>
    <t>% ore grade</t>
  </si>
  <si>
    <t>Aussi ore grade over time</t>
  </si>
  <si>
    <t>Ore Grade Time Series</t>
  </si>
  <si>
    <t>Papa New Guinea ore grade over time</t>
  </si>
  <si>
    <t>5country avg</t>
  </si>
  <si>
    <t>kWh/kg over time by country and ore grade</t>
  </si>
  <si>
    <t>Total kWh/kg</t>
  </si>
  <si>
    <t>*using northey generalized</t>
  </si>
  <si>
    <t>*Aussi fit</t>
  </si>
  <si>
    <t>*Chile fit</t>
  </si>
  <si>
    <t xml:space="preserve">5 country avg Ore grade </t>
  </si>
  <si>
    <t>“The World Copper Factbook 2022.” 2022, 68.</t>
  </si>
  <si>
    <t>swew_raw or Total</t>
  </si>
  <si>
    <t>Real SWEW (HYDRO)</t>
  </si>
  <si>
    <t>concentrate (PYRO)</t>
  </si>
  <si>
    <t>% PYRO</t>
  </si>
  <si>
    <t>% 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</si>
</sst>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 indent="2"/>
    </xf>
    <xf numFmtId="0" fontId="3" fillId="0" borderId="0" xfId="1" applyAlignment="1">
      <alignment horizontal="left" vertical="center" indent="2"/>
    </xf>
    <xf numFmtId="0" fontId="1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Total kWh/kg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7484855881927074E-2"/>
                  <c:y val="-0.3000235851345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0.33</c:v>
                </c:pt>
                <c:pt idx="1">
                  <c:v>0.98</c:v>
                </c:pt>
                <c:pt idx="2">
                  <c:v>1.85</c:v>
                </c:pt>
                <c:pt idx="3">
                  <c:v>3.21</c:v>
                </c:pt>
                <c:pt idx="4">
                  <c:v>0.78</c:v>
                </c:pt>
                <c:pt idx="5">
                  <c:v>2.46</c:v>
                </c:pt>
                <c:pt idx="6">
                  <c:v>1.54</c:v>
                </c:pt>
                <c:pt idx="7">
                  <c:v>0.36</c:v>
                </c:pt>
                <c:pt idx="8">
                  <c:v>0.24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7.888888667999999</c:v>
                </c:pt>
                <c:pt idx="1">
                  <c:v>6.4444442639999995</c:v>
                </c:pt>
                <c:pt idx="2">
                  <c:v>2.8055554769999995</c:v>
                </c:pt>
                <c:pt idx="3">
                  <c:v>5.9166665009999999</c:v>
                </c:pt>
                <c:pt idx="4">
                  <c:v>5.3888887379999995</c:v>
                </c:pt>
                <c:pt idx="5">
                  <c:v>7.5555553439999992</c:v>
                </c:pt>
                <c:pt idx="6">
                  <c:v>4.9166665289999996</c:v>
                </c:pt>
                <c:pt idx="7">
                  <c:v>5.2222220759999995</c:v>
                </c:pt>
                <c:pt idx="8">
                  <c:v>11.277777462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C-45C5-B650-E112A409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3824"/>
        <c:axId val="639464152"/>
      </c:scatterChart>
      <c:valAx>
        <c:axId val="6394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4152"/>
        <c:crosses val="autoZero"/>
        <c:crossBetween val="midCat"/>
      </c:valAx>
      <c:valAx>
        <c:axId val="6394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Sheet1!$N$2</c:f>
              <c:strCache>
                <c:ptCount val="1"/>
                <c:pt idx="0">
                  <c:v>Fitted Eqn Northey 2013, Fig 2, Mine-LSE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Sheet1!$N$3:$N$23</c:f>
              <c:numCache>
                <c:formatCode>General</c:formatCode>
                <c:ptCount val="21"/>
                <c:pt idx="0">
                  <c:v>10.060578546075805</c:v>
                </c:pt>
                <c:pt idx="1">
                  <c:v>10.098198849708675</c:v>
                </c:pt>
                <c:pt idx="2">
                  <c:v>10.240552070330814</c:v>
                </c:pt>
                <c:pt idx="3">
                  <c:v>10.776365000763866</c:v>
                </c:pt>
                <c:pt idx="4">
                  <c:v>10.155726677746424</c:v>
                </c:pt>
                <c:pt idx="5">
                  <c:v>10.420629107421171</c:v>
                </c:pt>
                <c:pt idx="6">
                  <c:v>10.339441883565748</c:v>
                </c:pt>
                <c:pt idx="7">
                  <c:v>10.669139427949526</c:v>
                </c:pt>
                <c:pt idx="8">
                  <c:v>10.73892546000784</c:v>
                </c:pt>
                <c:pt idx="9">
                  <c:v>10.873956084059632</c:v>
                </c:pt>
                <c:pt idx="10">
                  <c:v>10.991315234614703</c:v>
                </c:pt>
                <c:pt idx="11">
                  <c:v>11.229010915557977</c:v>
                </c:pt>
                <c:pt idx="12">
                  <c:v>11.587704261628042</c:v>
                </c:pt>
                <c:pt idx="13">
                  <c:v>11.604452392360924</c:v>
                </c:pt>
                <c:pt idx="14">
                  <c:v>11.539258076476274</c:v>
                </c:pt>
                <c:pt idx="15">
                  <c:v>11.973594159099727</c:v>
                </c:pt>
                <c:pt idx="16">
                  <c:v>11.987934990910901</c:v>
                </c:pt>
                <c:pt idx="17">
                  <c:v>12.18360179034573</c:v>
                </c:pt>
                <c:pt idx="18">
                  <c:v>12.353283751070411</c:v>
                </c:pt>
                <c:pt idx="19">
                  <c:v>12.440644835089836</c:v>
                </c:pt>
                <c:pt idx="20">
                  <c:v>12.817141298423763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3-44DC-989B-0E0BCB0F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48024"/>
        <c:axId val="736449008"/>
      </c:scatterChart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5 country avg Ore grade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Sheet1!$M$3:$M$23</c:f>
              <c:numCache>
                <c:formatCode>General</c:formatCode>
                <c:ptCount val="21"/>
                <c:pt idx="0">
                  <c:v>1.0246520047792955</c:v>
                </c:pt>
                <c:pt idx="1">
                  <c:v>1.0138139618292903</c:v>
                </c:pt>
                <c:pt idx="2">
                  <c:v>0.9741770462161411</c:v>
                </c:pt>
                <c:pt idx="3">
                  <c:v>0.84243334557161575</c:v>
                </c:pt>
                <c:pt idx="4">
                  <c:v>0.99753819511501374</c:v>
                </c:pt>
                <c:pt idx="5">
                  <c:v>0.92697777372192891</c:v>
                </c:pt>
                <c:pt idx="6">
                  <c:v>0.94786597594646627</c:v>
                </c:pt>
                <c:pt idx="7">
                  <c:v>0.86677921642448141</c:v>
                </c:pt>
                <c:pt idx="8">
                  <c:v>0.85082788800485487</c:v>
                </c:pt>
                <c:pt idx="9">
                  <c:v>0.82107135201899784</c:v>
                </c:pt>
                <c:pt idx="10">
                  <c:v>0.79634011673765359</c:v>
                </c:pt>
                <c:pt idx="11">
                  <c:v>0.74924890191476001</c:v>
                </c:pt>
                <c:pt idx="12">
                  <c:v>0.68504708201842401</c:v>
                </c:pt>
                <c:pt idx="13">
                  <c:v>0.68223404548821143</c:v>
                </c:pt>
                <c:pt idx="14">
                  <c:v>0.69327290592721824</c:v>
                </c:pt>
                <c:pt idx="15">
                  <c:v>0.62400387097595644</c:v>
                </c:pt>
                <c:pt idx="16">
                  <c:v>0.62187950313986162</c:v>
                </c:pt>
                <c:pt idx="17">
                  <c:v>0.59384622632900286</c:v>
                </c:pt>
                <c:pt idx="18">
                  <c:v>0.57090104181035983</c:v>
                </c:pt>
                <c:pt idx="19">
                  <c:v>0.55955339463793352</c:v>
                </c:pt>
                <c:pt idx="20">
                  <c:v>0.5139866595642173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3-44DC-989B-0E0BCB0F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16704"/>
        <c:axId val="628521952"/>
      </c:scatterChart>
      <c:valAx>
        <c:axId val="73644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49008"/>
        <c:crosses val="autoZero"/>
        <c:crossBetween val="midCat"/>
      </c:valAx>
      <c:valAx>
        <c:axId val="7364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48024"/>
        <c:crosses val="autoZero"/>
        <c:crossBetween val="midCat"/>
      </c:valAx>
      <c:valAx>
        <c:axId val="62852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16704"/>
        <c:crosses val="max"/>
        <c:crossBetween val="midCat"/>
      </c:valAx>
      <c:valAx>
        <c:axId val="6285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5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Total kWh/kg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7484855881927074E-2"/>
                  <c:y val="-0.3000235851345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Sheet1!$B$15:$B$26</c:f>
              <c:numCache>
                <c:formatCode>General</c:formatCode>
                <c:ptCount val="12"/>
                <c:pt idx="0">
                  <c:v>1.05</c:v>
                </c:pt>
                <c:pt idx="1">
                  <c:v>0.83</c:v>
                </c:pt>
                <c:pt idx="2">
                  <c:v>1.1200000000000001</c:v>
                </c:pt>
                <c:pt idx="3">
                  <c:v>1</c:v>
                </c:pt>
                <c:pt idx="4">
                  <c:v>1</c:v>
                </c:pt>
                <c:pt idx="5">
                  <c:v>1.25</c:v>
                </c:pt>
                <c:pt idx="6">
                  <c:v>0.31</c:v>
                </c:pt>
                <c:pt idx="7">
                  <c:v>1.06</c:v>
                </c:pt>
                <c:pt idx="8">
                  <c:v>0.69</c:v>
                </c:pt>
                <c:pt idx="9">
                  <c:v>0.56000000000000005</c:v>
                </c:pt>
                <c:pt idx="10">
                  <c:v>0.59</c:v>
                </c:pt>
                <c:pt idx="11">
                  <c:v>0.86</c:v>
                </c:pt>
              </c:numCache>
            </c:numRef>
          </c:xVal>
          <c:yVal>
            <c:numRef>
              <c:f>Sheet1!$D$15:$D$26</c:f>
              <c:numCache>
                <c:formatCode>General</c:formatCode>
                <c:ptCount val="12"/>
                <c:pt idx="0">
                  <c:v>3.2777776859999999</c:v>
                </c:pt>
                <c:pt idx="1">
                  <c:v>4.7499998669999997</c:v>
                </c:pt>
                <c:pt idx="2">
                  <c:v>4.1666665499999995</c:v>
                </c:pt>
                <c:pt idx="3">
                  <c:v>7.7499997829999989</c:v>
                </c:pt>
                <c:pt idx="4">
                  <c:v>5.3611109609999996</c:v>
                </c:pt>
                <c:pt idx="5">
                  <c:v>3.3055554629999997</c:v>
                </c:pt>
                <c:pt idx="6">
                  <c:v>7.4722220129999988</c:v>
                </c:pt>
                <c:pt idx="7">
                  <c:v>4.6944443129999991</c:v>
                </c:pt>
                <c:pt idx="8">
                  <c:v>13.111110743999999</c:v>
                </c:pt>
                <c:pt idx="9">
                  <c:v>6.3333331560000001</c:v>
                </c:pt>
                <c:pt idx="10">
                  <c:v>11.527777454999999</c:v>
                </c:pt>
                <c:pt idx="11">
                  <c:v>14.333332931999999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1-4310-A915-1E65F14E2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3824"/>
        <c:axId val="639464152"/>
      </c:scatterChart>
      <c:valAx>
        <c:axId val="6394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4152"/>
        <c:crosses val="autoZero"/>
        <c:crossBetween val="midCat"/>
      </c:valAx>
      <c:valAx>
        <c:axId val="6394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oregradeovertime!$B$2</c:f>
              <c:strCache>
                <c:ptCount val="1"/>
                <c:pt idx="0">
                  <c:v>Chile ore grade over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oregradeovertime!$A$3:$A$23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oregradeovertime!$B$3:$B$23</c:f>
              <c:numCache>
                <c:formatCode>General</c:formatCode>
                <c:ptCount val="21"/>
                <c:pt idx="4">
                  <c:v>1.4047727181084799</c:v>
                </c:pt>
                <c:pt idx="5">
                  <c:v>1.27959206195259</c:v>
                </c:pt>
                <c:pt idx="6">
                  <c:v>1.23998034800583</c:v>
                </c:pt>
                <c:pt idx="7">
                  <c:v>1.0950628078582501</c:v>
                </c:pt>
                <c:pt idx="8">
                  <c:v>1.0652823966095</c:v>
                </c:pt>
                <c:pt idx="9">
                  <c:v>1.0881814265310401</c:v>
                </c:pt>
                <c:pt idx="10">
                  <c:v>1.0452377870071801</c:v>
                </c:pt>
                <c:pt idx="11">
                  <c:v>0.93652575663360904</c:v>
                </c:pt>
                <c:pt idx="12">
                  <c:v>0.86069261607091596</c:v>
                </c:pt>
                <c:pt idx="13">
                  <c:v>0.72563290669122704</c:v>
                </c:pt>
                <c:pt idx="14">
                  <c:v>0.75182672289202601</c:v>
                </c:pt>
                <c:pt idx="15">
                  <c:v>0.73846718689980195</c:v>
                </c:pt>
                <c:pt idx="16">
                  <c:v>0.682392152784704</c:v>
                </c:pt>
                <c:pt idx="17">
                  <c:v>0.70526996025033895</c:v>
                </c:pt>
                <c:pt idx="18">
                  <c:v>0.68865808289066799</c:v>
                </c:pt>
                <c:pt idx="19">
                  <c:v>0.71154119597027898</c:v>
                </c:pt>
                <c:pt idx="20">
                  <c:v>0.60280263752681895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F-4EAA-A4FE-BCFEAFDE224D}"/>
            </c:ext>
          </c:extLst>
        </c:ser>
        <c:ser>
          <c:idx val="1"/>
          <c:order val="1"/>
          <c:tx>
            <c:strRef>
              <c:f>oregradeovertime!$C$2</c:f>
              <c:strCache>
                <c:ptCount val="1"/>
                <c:pt idx="0">
                  <c:v>Au ore grade over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oregradeovertime!$A$3:$A$23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oregradeovertime!$C$3:$C$23</c:f>
              <c:numCache>
                <c:formatCode>General</c:formatCode>
                <c:ptCount val="21"/>
                <c:pt idx="0">
                  <c:v>2.1520525298228499</c:v>
                </c:pt>
                <c:pt idx="1">
                  <c:v>2.0894622017449098</c:v>
                </c:pt>
                <c:pt idx="2">
                  <c:v>1.9840396520366099</c:v>
                </c:pt>
                <c:pt idx="3">
                  <c:v>1.5957111538861499</c:v>
                </c:pt>
                <c:pt idx="4">
                  <c:v>1.5922890328714601</c:v>
                </c:pt>
                <c:pt idx="5">
                  <c:v>1.53290860124915</c:v>
                </c:pt>
                <c:pt idx="6">
                  <c:v>1.64128637794222</c:v>
                </c:pt>
                <c:pt idx="7">
                  <c:v>1.54573227022977</c:v>
                </c:pt>
                <c:pt idx="8">
                  <c:v>1.460059868548105</c:v>
                </c:pt>
                <c:pt idx="9">
                  <c:v>1.37438746686644</c:v>
                </c:pt>
                <c:pt idx="10">
                  <c:v>1.25142102027664</c:v>
                </c:pt>
                <c:pt idx="11">
                  <c:v>1.1284545736868401</c:v>
                </c:pt>
                <c:pt idx="12">
                  <c:v>1.0054881270970399</c:v>
                </c:pt>
                <c:pt idx="13">
                  <c:v>1.01841790835719</c:v>
                </c:pt>
                <c:pt idx="14">
                  <c:v>1.01831179607766</c:v>
                </c:pt>
                <c:pt idx="15">
                  <c:v>0.74502492577446</c:v>
                </c:pt>
                <c:pt idx="16">
                  <c:v>0.764645086258671</c:v>
                </c:pt>
                <c:pt idx="17">
                  <c:v>0.76</c:v>
                </c:pt>
                <c:pt idx="18">
                  <c:v>0.75119004921487498</c:v>
                </c:pt>
                <c:pt idx="19">
                  <c:v>0.77403071738267604</c:v>
                </c:pt>
                <c:pt idx="20">
                  <c:v>0.73109238347280003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F-4EAA-A4FE-BCFEAFDE224D}"/>
            </c:ext>
          </c:extLst>
        </c:ser>
        <c:ser>
          <c:idx val="2"/>
          <c:order val="2"/>
          <c:tx>
            <c:strRef>
              <c:f>oregradeovertime!$D$2</c:f>
              <c:strCache>
                <c:ptCount val="1"/>
                <c:pt idx="0">
                  <c:v>USA ore grade over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oregradeovertime!$A$3:$A$23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oregradeovertime!$D$3:$D$23</c:f>
              <c:numCache>
                <c:formatCode>General</c:formatCode>
                <c:ptCount val="21"/>
                <c:pt idx="0">
                  <c:v>0.550165641268339</c:v>
                </c:pt>
                <c:pt idx="1">
                  <c:v>0.54013272523922995</c:v>
                </c:pt>
                <c:pt idx="2">
                  <c:v>0.36891525661132502</c:v>
                </c:pt>
                <c:pt idx="3">
                  <c:v>0.36217182124749803</c:v>
                </c:pt>
                <c:pt idx="4">
                  <c:v>0.34884942455310802</c:v>
                </c:pt>
                <c:pt idx="5">
                  <c:v>0.355269217464383</c:v>
                </c:pt>
                <c:pt idx="6">
                  <c:v>0.36825736047826901</c:v>
                </c:pt>
                <c:pt idx="7">
                  <c:v>0.34177704112275198</c:v>
                </c:pt>
                <c:pt idx="8">
                  <c:v>0.36135475669515399</c:v>
                </c:pt>
                <c:pt idx="9">
                  <c:v>0.32500599534379299</c:v>
                </c:pt>
                <c:pt idx="10">
                  <c:v>0.30838881237014498</c:v>
                </c:pt>
                <c:pt idx="11">
                  <c:v>0.34770341193423598</c:v>
                </c:pt>
                <c:pt idx="12">
                  <c:v>0.28832298031192699</c:v>
                </c:pt>
                <c:pt idx="13">
                  <c:v>0.28816381189264001</c:v>
                </c:pt>
                <c:pt idx="14">
                  <c:v>0.35707843183028798</c:v>
                </c:pt>
                <c:pt idx="15">
                  <c:v>0.32072436486494998</c:v>
                </c:pt>
                <c:pt idx="16">
                  <c:v>0.30082831245397301</c:v>
                </c:pt>
                <c:pt idx="17">
                  <c:v>0.280921648815044</c:v>
                </c:pt>
                <c:pt idx="18">
                  <c:v>0.290625616777624</c:v>
                </c:pt>
                <c:pt idx="19">
                  <c:v>0.31677698806661198</c:v>
                </c:pt>
                <c:pt idx="20">
                  <c:v>0.32648626164316902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8F-4EAA-A4FE-BCFEAFDE224D}"/>
            </c:ext>
          </c:extLst>
        </c:ser>
        <c:ser>
          <c:idx val="3"/>
          <c:order val="3"/>
          <c:tx>
            <c:strRef>
              <c:f>oregradeovertime!$E$2</c:f>
              <c:strCache>
                <c:ptCount val="1"/>
                <c:pt idx="0">
                  <c:v>Canada ore grade over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oregradeovertime!$A$3:$A$23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oregradeovertime!$E$3:$E$23</c:f>
              <c:numCache>
                <c:formatCode>General</c:formatCode>
                <c:ptCount val="21"/>
                <c:pt idx="0">
                  <c:v>0.58306044792115397</c:v>
                </c:pt>
                <c:pt idx="1">
                  <c:v>0.68158039384633595</c:v>
                </c:pt>
                <c:pt idx="2">
                  <c:v>0.68141591981307204</c:v>
                </c:pt>
                <c:pt idx="3">
                  <c:v>0.62204079380473998</c:v>
                </c:pt>
                <c:pt idx="4">
                  <c:v>0.68437645241182599</c:v>
                </c:pt>
                <c:pt idx="5">
                  <c:v>0.59539600041595997</c:v>
                </c:pt>
                <c:pt idx="6">
                  <c:v>0.59194204571741404</c:v>
                </c:pt>
                <c:pt idx="7">
                  <c:v>0.55559858998002898</c:v>
                </c:pt>
                <c:pt idx="8">
                  <c:v>0.52582348434525505</c:v>
                </c:pt>
                <c:pt idx="9">
                  <c:v>0.52237483526068595</c:v>
                </c:pt>
                <c:pt idx="10">
                  <c:v>0.49589451590516898</c:v>
                </c:pt>
                <c:pt idx="11">
                  <c:v>0.52533536785943902</c:v>
                </c:pt>
                <c:pt idx="12">
                  <c:v>0.51859193249561197</c:v>
                </c:pt>
                <c:pt idx="13">
                  <c:v>0.53486955617477905</c:v>
                </c:pt>
                <c:pt idx="14">
                  <c:v>0.48207339149701001</c:v>
                </c:pt>
                <c:pt idx="15">
                  <c:v>0.48520370374300398</c:v>
                </c:pt>
                <c:pt idx="16">
                  <c:v>0.58701843594744396</c:v>
                </c:pt>
                <c:pt idx="17">
                  <c:v>0.56711177230851495</c:v>
                </c:pt>
                <c:pt idx="18">
                  <c:v>0.50116299058359504</c:v>
                </c:pt>
                <c:pt idx="19">
                  <c:v>0.46481422923223498</c:v>
                </c:pt>
                <c:pt idx="20">
                  <c:v>0.458060182640455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F-4EAA-A4FE-BCFEAFDE224D}"/>
            </c:ext>
          </c:extLst>
        </c:ser>
        <c:ser>
          <c:idx val="4"/>
          <c:order val="4"/>
          <c:tx>
            <c:strRef>
              <c:f>oregradeovertime!$G$2</c:f>
              <c:strCache>
                <c:ptCount val="1"/>
                <c:pt idx="0">
                  <c:v>4 country avg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oregradeovertime!$A$3:$A$23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oregradeovertime!$G$3:$G$23</c:f>
              <c:numCache>
                <c:formatCode>General</c:formatCode>
                <c:ptCount val="21"/>
                <c:pt idx="0">
                  <c:v>1.0950928730041143</c:v>
                </c:pt>
                <c:pt idx="1">
                  <c:v>1.1037251069434919</c:v>
                </c:pt>
                <c:pt idx="2">
                  <c:v>1.0114569428203357</c:v>
                </c:pt>
                <c:pt idx="3">
                  <c:v>0.85997458964612938</c:v>
                </c:pt>
                <c:pt idx="4">
                  <c:v>1.0075719069862186</c:v>
                </c:pt>
                <c:pt idx="5">
                  <c:v>0.94079147027052068</c:v>
                </c:pt>
                <c:pt idx="6">
                  <c:v>0.96036653303593322</c:v>
                </c:pt>
                <c:pt idx="7">
                  <c:v>0.88454267729770031</c:v>
                </c:pt>
                <c:pt idx="8">
                  <c:v>0.85313012654950349</c:v>
                </c:pt>
                <c:pt idx="9">
                  <c:v>0.82748743100048983</c:v>
                </c:pt>
                <c:pt idx="10">
                  <c:v>0.7752355338897835</c:v>
                </c:pt>
                <c:pt idx="11">
                  <c:v>0.73450477752853105</c:v>
                </c:pt>
                <c:pt idx="12">
                  <c:v>0.66827391399387381</c:v>
                </c:pt>
                <c:pt idx="13">
                  <c:v>0.64177104577895905</c:v>
                </c:pt>
                <c:pt idx="14">
                  <c:v>0.65232258557424605</c:v>
                </c:pt>
                <c:pt idx="15">
                  <c:v>0.57235504532055403</c:v>
                </c:pt>
                <c:pt idx="16">
                  <c:v>0.58372099686119805</c:v>
                </c:pt>
                <c:pt idx="17">
                  <c:v>0.57832584534347453</c:v>
                </c:pt>
                <c:pt idx="18">
                  <c:v>0.5579091848666905</c:v>
                </c:pt>
                <c:pt idx="19">
                  <c:v>0.56679078266295047</c:v>
                </c:pt>
                <c:pt idx="20">
                  <c:v>0.52961036632081071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8F-4EAA-A4FE-BCFEAFDE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01576"/>
        <c:axId val="738701248"/>
      </c:scatterChart>
      <c:valAx>
        <c:axId val="73870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01248"/>
        <c:crosses val="autoZero"/>
        <c:crossBetween val="midCat"/>
      </c:valAx>
      <c:valAx>
        <c:axId val="7387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0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pyrovshydro!$E$1</c:f>
              <c:strCache>
                <c:ptCount val="1"/>
                <c:pt idx="0">
                  <c:v>% PYRO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pyrovshydro!$A$2:$A$29</c:f>
              <c:numCache>
                <c:formatCode>0</c:formatCode>
                <c:ptCount val="2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</c:numCache>
            </c:numRef>
          </c:cat>
          <c:val>
            <c:numRef>
              <c:f>pyrovshydro!$E$2:$E$29</c:f>
              <c:numCache>
                <c:formatCode>0.00</c:formatCode>
                <c:ptCount val="28"/>
                <c:pt idx="0">
                  <c:v>0.91467200211848809</c:v>
                </c:pt>
                <c:pt idx="1">
                  <c:v>0.89889034488527053</c:v>
                </c:pt>
                <c:pt idx="2">
                  <c:v>0.87148446898228726</c:v>
                </c:pt>
                <c:pt idx="3">
                  <c:v>0.84171326677907321</c:v>
                </c:pt>
                <c:pt idx="4">
                  <c:v>0.83458835341365001</c:v>
                </c:pt>
                <c:pt idx="5">
                  <c:v>0.81339832929834632</c:v>
                </c:pt>
                <c:pt idx="6">
                  <c:v>0.84843320233888175</c:v>
                </c:pt>
                <c:pt idx="7">
                  <c:v>0.80720094103206708</c:v>
                </c:pt>
                <c:pt idx="8">
                  <c:v>0.80004939592895452</c:v>
                </c:pt>
                <c:pt idx="9">
                  <c:v>0.79709366000081272</c:v>
                </c:pt>
                <c:pt idx="10">
                  <c:v>0.81493794115125529</c:v>
                </c:pt>
                <c:pt idx="11">
                  <c:v>0.81891899449151329</c:v>
                </c:pt>
                <c:pt idx="12">
                  <c:v>0.80911939772664021</c:v>
                </c:pt>
                <c:pt idx="13">
                  <c:v>0.80254976795857658</c:v>
                </c:pt>
                <c:pt idx="14">
                  <c:v>0.80253030723879137</c:v>
                </c:pt>
                <c:pt idx="15">
                  <c:v>0.79085126351280854</c:v>
                </c:pt>
                <c:pt idx="16">
                  <c:v>0.79083533472715928</c:v>
                </c:pt>
                <c:pt idx="17">
                  <c:v>0.77819787402327956</c:v>
                </c:pt>
                <c:pt idx="18">
                  <c:v>0.78486646884272626</c:v>
                </c:pt>
                <c:pt idx="19">
                  <c:v>0.7918934807338488</c:v>
                </c:pt>
                <c:pt idx="20">
                  <c:v>0.78413533834586191</c:v>
                </c:pt>
                <c:pt idx="21">
                  <c:v>0.79228409354017026</c:v>
                </c:pt>
                <c:pt idx="22">
                  <c:v>0.80851208670020114</c:v>
                </c:pt>
                <c:pt idx="23">
                  <c:v>0.80943915665984234</c:v>
                </c:pt>
                <c:pt idx="24">
                  <c:v>0.81035563795718912</c:v>
                </c:pt>
                <c:pt idx="25">
                  <c:v>0.80017344654417788</c:v>
                </c:pt>
                <c:pt idx="26">
                  <c:v>0.80170674317738444</c:v>
                </c:pt>
                <c:pt idx="27">
                  <c:v>0.81725991611585891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5-4BFF-BF05-63EE553A4A41}"/>
            </c:ext>
          </c:extLst>
        </c:ser>
        <c:ser>
          <c:idx val="1"/>
          <c:order val="1"/>
          <c:tx>
            <c:strRef>
              <c:f>pyrovshydro!$F$1</c:f>
              <c:strCache>
                <c:ptCount val="1"/>
                <c:pt idx="0">
                  <c:v>% HYDRO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pyrovshydro!$A$2:$A$29</c:f>
              <c:numCache>
                <c:formatCode>0</c:formatCode>
                <c:ptCount val="2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</c:numCache>
            </c:numRef>
          </c:cat>
          <c:val>
            <c:numRef>
              <c:f>pyrovshydro!$F$2:$F$29</c:f>
              <c:numCache>
                <c:formatCode>0.00</c:formatCode>
                <c:ptCount val="28"/>
                <c:pt idx="0">
                  <c:v>8.5327997881511866E-2</c:v>
                </c:pt>
                <c:pt idx="1">
                  <c:v>0.10110965511472943</c:v>
                </c:pt>
                <c:pt idx="2">
                  <c:v>0.12851553101771271</c:v>
                </c:pt>
                <c:pt idx="3">
                  <c:v>0.15828673322092676</c:v>
                </c:pt>
                <c:pt idx="4">
                  <c:v>0.16541164658635002</c:v>
                </c:pt>
                <c:pt idx="5">
                  <c:v>0.18660167070165368</c:v>
                </c:pt>
                <c:pt idx="6">
                  <c:v>0.15156679766111825</c:v>
                </c:pt>
                <c:pt idx="7">
                  <c:v>0.1927990589679329</c:v>
                </c:pt>
                <c:pt idx="8">
                  <c:v>0.19995060407104545</c:v>
                </c:pt>
                <c:pt idx="9">
                  <c:v>0.20290633999918731</c:v>
                </c:pt>
                <c:pt idx="10">
                  <c:v>0.18506205884874469</c:v>
                </c:pt>
                <c:pt idx="11">
                  <c:v>0.18108100550848666</c:v>
                </c:pt>
                <c:pt idx="12">
                  <c:v>0.19088060227335976</c:v>
                </c:pt>
                <c:pt idx="13">
                  <c:v>0.19745023204142342</c:v>
                </c:pt>
                <c:pt idx="14">
                  <c:v>0.19746969276120857</c:v>
                </c:pt>
                <c:pt idx="15">
                  <c:v>0.20914873648719146</c:v>
                </c:pt>
                <c:pt idx="16">
                  <c:v>0.20916466527284067</c:v>
                </c:pt>
                <c:pt idx="17">
                  <c:v>0.22180212597672042</c:v>
                </c:pt>
                <c:pt idx="18">
                  <c:v>0.21513353115727371</c:v>
                </c:pt>
                <c:pt idx="19">
                  <c:v>0.2081065192661512</c:v>
                </c:pt>
                <c:pt idx="20">
                  <c:v>0.21586466165413812</c:v>
                </c:pt>
                <c:pt idx="21">
                  <c:v>0.20771590645982976</c:v>
                </c:pt>
                <c:pt idx="22">
                  <c:v>0.19148791329979892</c:v>
                </c:pt>
                <c:pt idx="23">
                  <c:v>0.19056084334015772</c:v>
                </c:pt>
                <c:pt idx="24">
                  <c:v>0.1896443620428109</c:v>
                </c:pt>
                <c:pt idx="25">
                  <c:v>0.19982655345582209</c:v>
                </c:pt>
                <c:pt idx="26">
                  <c:v>0.19829325682261562</c:v>
                </c:pt>
                <c:pt idx="27">
                  <c:v>0.18274008388414106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5-4BFF-BF05-63EE553A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70976"/>
        <c:axId val="154572616"/>
      </c:areaChart>
      <c:catAx>
        <c:axId val="1545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2616"/>
        <c:crosses val="autoZero"/>
        <c:auto val="1"/>
        <c:lblAlgn val="ctr"/>
        <c:lblOffset val="100"/>
        <c:noMultiLvlLbl val="0"/>
      </c:catAx>
      <c:valAx>
        <c:axId val="1545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492125</xdr:colOff>
      <xdr:row>3</xdr:row>
      <xdr:rowOff>19050</xdr:rowOff>
    </xdr:from>
    <xdr:to>
      <xdr:col>7</xdr:col>
      <xdr:colOff>476250</xdr:colOff>
      <xdr:row>11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84CE5-0C53-DCA4-8AE6-F68CA973A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247649</xdr:colOff>
      <xdr:row>4</xdr:row>
      <xdr:rowOff>82550</xdr:rowOff>
    </xdr:from>
    <xdr:to>
      <xdr:col>19</xdr:col>
      <xdr:colOff>219075</xdr:colOff>
      <xdr:row>33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33FF2-D7DA-A379-813E-A9C6B420C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15</xdr:row>
      <xdr:rowOff>0</xdr:rowOff>
    </xdr:from>
    <xdr:to>
      <xdr:col>7</xdr:col>
      <xdr:colOff>152400</xdr:colOff>
      <xdr:row>23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CA668-42D1-41B2-8782-85EBBCFB1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</xdr:colOff>
      <xdr:row>0</xdr:row>
      <xdr:rowOff>133350</xdr:rowOff>
    </xdr:from>
    <xdr:to>
      <xdr:col>19</xdr:col>
      <xdr:colOff>306387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8B195-434C-0139-A17F-D0042353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0</xdr:rowOff>
    </xdr:from>
    <xdr:to>
      <xdr:col>16</xdr:col>
      <xdr:colOff>228600</xdr:colOff>
      <xdr:row>25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B684B-EFDC-516A-094D-1B62A7582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016/j.jclepro.2012.09.027" TargetMode="External"/><Relationship Id="rId1" Type="http://schemas.openxmlformats.org/officeDocument/2006/relationships/hyperlink" Target="https://doi.org/10.5382/econgeo.2018.459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2A31-05C2-475A-9FAD-02E1D54F89A5}">
  <dimension ref="A1:W47"/>
  <sheetViews>
    <sheetView workbookViewId="0">
      <selection activeCell="Q3" sqref="Q3"/>
    </sheetView>
  </sheetViews>
  <sheetFormatPr defaultRowHeight="14.5" x14ac:dyDescent="0.35"/>
  <cols>
    <col min="5" max="5" width="13.453125" bestFit="1" customWidth="1"/>
    <col min="9" max="9" width="4.36328125" customWidth="1"/>
    <col min="10" max="10" width="3.6328125" customWidth="1"/>
    <col min="11" max="11" width="3.54296875" customWidth="1"/>
    <col min="12" max="12" width="4.81640625" bestFit="1" customWidth="1"/>
    <col min="18" max="18" width="22.7265625" bestFit="1" customWidth="1"/>
    <col min="19" max="19" width="20.7265625" bestFit="1" customWidth="1"/>
    <col min="20" max="20" width="21.81640625" bestFit="1" customWidth="1"/>
    <col min="21" max="21" width="24.6328125" bestFit="1" customWidth="1"/>
    <col min="22" max="22" width="33.6328125" bestFit="1" customWidth="1"/>
    <col min="23" max="23" width="11.81640625" bestFit="1" customWidth="1"/>
  </cols>
  <sheetData>
    <row r="1" spans="1:23" x14ac:dyDescent="0.35">
      <c r="A1" s="5" t="s">
        <v>29</v>
      </c>
      <c r="B1" t="s">
        <v>30</v>
      </c>
      <c r="I1" s="7"/>
      <c r="J1" s="7" t="s">
        <v>31</v>
      </c>
      <c r="K1" s="7" t="s">
        <v>31</v>
      </c>
      <c r="M1" t="s">
        <v>32</v>
      </c>
      <c r="N1" t="s">
        <v>28</v>
      </c>
      <c r="O1" t="s">
        <v>28</v>
      </c>
      <c r="Q1" t="s">
        <v>34</v>
      </c>
      <c r="R1" s="5" t="s">
        <v>27</v>
      </c>
    </row>
    <row r="2" spans="1:23" x14ac:dyDescent="0.35">
      <c r="A2" t="s">
        <v>2</v>
      </c>
      <c r="B2" t="s">
        <v>1</v>
      </c>
      <c r="C2" t="s">
        <v>0</v>
      </c>
      <c r="D2" t="s">
        <v>38</v>
      </c>
      <c r="E2" t="s">
        <v>14</v>
      </c>
      <c r="F2" t="s">
        <v>17</v>
      </c>
      <c r="G2" t="s">
        <v>18</v>
      </c>
      <c r="I2" s="7" t="s">
        <v>1</v>
      </c>
      <c r="J2" s="7" t="s">
        <v>20</v>
      </c>
      <c r="K2" s="7" t="s">
        <v>21</v>
      </c>
      <c r="M2" t="s">
        <v>42</v>
      </c>
      <c r="N2" t="s">
        <v>20</v>
      </c>
      <c r="O2" t="s">
        <v>21</v>
      </c>
      <c r="R2" t="s">
        <v>22</v>
      </c>
      <c r="S2" t="s">
        <v>33</v>
      </c>
      <c r="T2" t="s">
        <v>24</v>
      </c>
      <c r="U2" t="s">
        <v>25</v>
      </c>
      <c r="V2" t="s">
        <v>35</v>
      </c>
      <c r="W2" t="s">
        <v>36</v>
      </c>
    </row>
    <row r="3" spans="1:23" x14ac:dyDescent="0.35">
      <c r="A3" t="s">
        <v>3</v>
      </c>
      <c r="B3">
        <v>0.33</v>
      </c>
      <c r="C3">
        <v>28.4</v>
      </c>
      <c r="D3">
        <f>C3*(277.77777/1000)</f>
        <v>7.888888667999999</v>
      </c>
      <c r="E3">
        <f>AVERAGE(C3:C11)</f>
        <v>22.966666666666665</v>
      </c>
      <c r="F3">
        <v>0.04</v>
      </c>
      <c r="G3">
        <f>F3*E3</f>
        <v>0.91866666666666663</v>
      </c>
      <c r="I3" s="7">
        <v>0.01</v>
      </c>
      <c r="J3" s="7">
        <f>36.529*I3^(-0.351)</f>
        <v>183.92373738413374</v>
      </c>
      <c r="K3" s="7">
        <f>15.697*I3^(-0.573)</f>
        <v>219.69322202422373</v>
      </c>
      <c r="L3">
        <v>1995</v>
      </c>
      <c r="M3">
        <f>W3</f>
        <v>1.0246520047792955</v>
      </c>
      <c r="N3">
        <f>(277.77777/1000)*36.529*M3^(-0.351)</f>
        <v>10.060578546075805</v>
      </c>
      <c r="O3">
        <f>(277.77777/1000)*15.697*M3^(-0.573)</f>
        <v>4.2998556039708626</v>
      </c>
      <c r="Q3">
        <v>1995</v>
      </c>
      <c r="S3">
        <v>2.1520525298228499</v>
      </c>
      <c r="T3">
        <v>0.550165641268339</v>
      </c>
      <c r="U3">
        <v>0.58306044792115397</v>
      </c>
      <c r="V3">
        <v>0.81332940010483901</v>
      </c>
      <c r="W3">
        <f>AVERAGE(R3:V3)</f>
        <v>1.0246520047792955</v>
      </c>
    </row>
    <row r="4" spans="1:23" x14ac:dyDescent="0.35">
      <c r="B4">
        <v>0.98</v>
      </c>
      <c r="C4">
        <v>23.2</v>
      </c>
      <c r="D4">
        <f t="shared" ref="D4:D36" si="0">C4*(277.77777/1000)</f>
        <v>6.4444442639999995</v>
      </c>
      <c r="I4" s="7">
        <v>0.1</v>
      </c>
      <c r="J4" s="7">
        <f t="shared" ref="J4:J18" si="1">36.529*I4^(-0.351)</f>
        <v>81.966762793860667</v>
      </c>
      <c r="K4" s="7">
        <f t="shared" ref="K4:K18" si="2">15.697*I4^(-0.573)</f>
        <v>58.724139041064191</v>
      </c>
      <c r="L4">
        <v>1996</v>
      </c>
      <c r="M4">
        <f t="shared" ref="M4:M23" si="3">W4</f>
        <v>1.0138139618292903</v>
      </c>
      <c r="N4">
        <f>(277.77777/1000)*36.529*M4^(-0.351)</f>
        <v>10.098198849708675</v>
      </c>
      <c r="O4">
        <f t="shared" ref="O4:O23" si="4">(277.77777/1000)*15.697*M4^(-0.573)</f>
        <v>4.3261349013277863</v>
      </c>
      <c r="Q4">
        <v>1996</v>
      </c>
      <c r="S4">
        <v>2.0894622017449098</v>
      </c>
      <c r="T4">
        <v>0.54013272523922995</v>
      </c>
      <c r="U4">
        <v>0.68158039384633595</v>
      </c>
      <c r="V4">
        <v>0.74408052648668599</v>
      </c>
      <c r="W4">
        <f t="shared" ref="W4:W23" si="5">AVERAGE(R4:V4)</f>
        <v>1.0138139618292903</v>
      </c>
    </row>
    <row r="5" spans="1:23" x14ac:dyDescent="0.35">
      <c r="B5">
        <v>1.85</v>
      </c>
      <c r="C5">
        <v>10.1</v>
      </c>
      <c r="D5">
        <f t="shared" si="0"/>
        <v>2.8055554769999995</v>
      </c>
      <c r="I5" s="7">
        <v>0.2</v>
      </c>
      <c r="J5" s="7">
        <f t="shared" si="1"/>
        <v>64.265257920016879</v>
      </c>
      <c r="K5" s="7">
        <f t="shared" si="2"/>
        <v>39.475393764145572</v>
      </c>
      <c r="L5">
        <v>1997</v>
      </c>
      <c r="M5">
        <f t="shared" si="3"/>
        <v>0.9741770462161411</v>
      </c>
      <c r="N5">
        <f t="shared" ref="N5:N23" si="6">(277.77777/1000)*36.529*M5^(-0.351)</f>
        <v>10.240552070330814</v>
      </c>
      <c r="O5">
        <f t="shared" si="4"/>
        <v>4.4261347649499942</v>
      </c>
      <c r="Q5">
        <v>1997</v>
      </c>
      <c r="S5">
        <v>1.9840396520366099</v>
      </c>
      <c r="T5">
        <v>0.36891525661132502</v>
      </c>
      <c r="U5">
        <v>0.68141591981307204</v>
      </c>
      <c r="V5">
        <v>0.86233735640355702</v>
      </c>
      <c r="W5">
        <f t="shared" si="5"/>
        <v>0.9741770462161411</v>
      </c>
    </row>
    <row r="6" spans="1:23" x14ac:dyDescent="0.35">
      <c r="B6">
        <v>3.21</v>
      </c>
      <c r="C6">
        <v>21.3</v>
      </c>
      <c r="D6">
        <f t="shared" si="0"/>
        <v>5.9166665009999999</v>
      </c>
      <c r="I6" s="7">
        <v>0.3</v>
      </c>
      <c r="J6" s="7">
        <f t="shared" si="1"/>
        <v>55.740161531221595</v>
      </c>
      <c r="K6" s="7">
        <f t="shared" si="2"/>
        <v>31.291485386920399</v>
      </c>
      <c r="L6">
        <v>1998</v>
      </c>
      <c r="M6">
        <f t="shared" si="3"/>
        <v>0.84243334557161575</v>
      </c>
      <c r="N6">
        <f t="shared" si="6"/>
        <v>10.776365000763866</v>
      </c>
      <c r="O6">
        <f t="shared" si="4"/>
        <v>4.8104120173799219</v>
      </c>
      <c r="Q6">
        <v>1998</v>
      </c>
      <c r="S6">
        <v>1.5957111538861499</v>
      </c>
      <c r="T6">
        <v>0.36217182124749803</v>
      </c>
      <c r="U6">
        <v>0.62204079380473998</v>
      </c>
      <c r="V6">
        <v>0.78980961334807498</v>
      </c>
      <c r="W6">
        <f t="shared" si="5"/>
        <v>0.84243334557161575</v>
      </c>
    </row>
    <row r="7" spans="1:23" x14ac:dyDescent="0.35">
      <c r="B7">
        <v>0.78</v>
      </c>
      <c r="C7">
        <v>19.399999999999999</v>
      </c>
      <c r="D7">
        <f t="shared" si="0"/>
        <v>5.3888887379999995</v>
      </c>
      <c r="I7" s="7">
        <v>0.4</v>
      </c>
      <c r="J7" s="7">
        <f t="shared" si="1"/>
        <v>50.386562000904483</v>
      </c>
      <c r="K7" s="7">
        <f t="shared" si="2"/>
        <v>26.536050392235836</v>
      </c>
      <c r="L7">
        <v>1999</v>
      </c>
      <c r="M7">
        <f t="shared" si="3"/>
        <v>0.99753819511501374</v>
      </c>
      <c r="N7">
        <f t="shared" si="6"/>
        <v>10.155726677746424</v>
      </c>
      <c r="O7">
        <f t="shared" si="4"/>
        <v>4.3664402594483835</v>
      </c>
      <c r="Q7">
        <v>1999</v>
      </c>
      <c r="R7">
        <v>1.4047727181084799</v>
      </c>
      <c r="S7">
        <v>1.5922890328714601</v>
      </c>
      <c r="T7">
        <v>0.34884942455310802</v>
      </c>
      <c r="U7">
        <v>0.68437645241182599</v>
      </c>
      <c r="V7">
        <v>0.95740334763019397</v>
      </c>
      <c r="W7">
        <f t="shared" si="5"/>
        <v>0.99753819511501374</v>
      </c>
    </row>
    <row r="8" spans="1:23" x14ac:dyDescent="0.35">
      <c r="B8">
        <v>2.46</v>
      </c>
      <c r="C8">
        <v>27.2</v>
      </c>
      <c r="D8">
        <f t="shared" si="0"/>
        <v>7.5555553439999992</v>
      </c>
      <c r="I8" s="7">
        <v>0.5</v>
      </c>
      <c r="J8" s="7">
        <f t="shared" si="1"/>
        <v>46.590708183625537</v>
      </c>
      <c r="K8" s="7">
        <f t="shared" si="2"/>
        <v>23.351073228934425</v>
      </c>
      <c r="L8">
        <v>2000</v>
      </c>
      <c r="M8">
        <f t="shared" si="3"/>
        <v>0.92697777372192891</v>
      </c>
      <c r="N8">
        <f t="shared" si="6"/>
        <v>10.420629107421171</v>
      </c>
      <c r="O8">
        <f t="shared" si="4"/>
        <v>4.5538993154285441</v>
      </c>
      <c r="Q8">
        <v>2000</v>
      </c>
      <c r="R8">
        <v>1.27959206195259</v>
      </c>
      <c r="S8">
        <v>1.53290860124915</v>
      </c>
      <c r="T8">
        <v>0.355269217464383</v>
      </c>
      <c r="U8">
        <v>0.59539600041595997</v>
      </c>
      <c r="V8">
        <v>0.87172298752756205</v>
      </c>
      <c r="W8">
        <f t="shared" si="5"/>
        <v>0.92697777372192891</v>
      </c>
    </row>
    <row r="9" spans="1:23" x14ac:dyDescent="0.35">
      <c r="B9">
        <v>1.54</v>
      </c>
      <c r="C9">
        <v>17.7</v>
      </c>
      <c r="D9">
        <f t="shared" si="0"/>
        <v>4.9166665289999996</v>
      </c>
      <c r="I9" s="7">
        <v>0.6</v>
      </c>
      <c r="J9" s="7">
        <f t="shared" si="1"/>
        <v>43.702541557194003</v>
      </c>
      <c r="K9" s="7">
        <f t="shared" si="2"/>
        <v>21.034683986595656</v>
      </c>
      <c r="L9">
        <v>2001</v>
      </c>
      <c r="M9">
        <f t="shared" si="3"/>
        <v>0.94786597594646627</v>
      </c>
      <c r="N9">
        <f t="shared" si="6"/>
        <v>10.339441883565748</v>
      </c>
      <c r="O9">
        <f t="shared" si="4"/>
        <v>4.4961226716194815</v>
      </c>
      <c r="Q9">
        <v>2001</v>
      </c>
      <c r="R9">
        <v>1.23998034800583</v>
      </c>
      <c r="S9">
        <v>1.64128637794222</v>
      </c>
      <c r="T9">
        <v>0.36825736047826901</v>
      </c>
      <c r="U9">
        <v>0.59194204571741404</v>
      </c>
      <c r="V9">
        <v>0.89786374758859799</v>
      </c>
      <c r="W9">
        <f t="shared" si="5"/>
        <v>0.94786597594646627</v>
      </c>
    </row>
    <row r="10" spans="1:23" x14ac:dyDescent="0.35">
      <c r="B10">
        <v>0.36</v>
      </c>
      <c r="C10">
        <v>18.8</v>
      </c>
      <c r="D10">
        <f t="shared" si="0"/>
        <v>5.2222220759999995</v>
      </c>
      <c r="I10" s="7">
        <v>0.7</v>
      </c>
      <c r="J10" s="7">
        <f t="shared" si="1"/>
        <v>41.400765499835678</v>
      </c>
      <c r="K10" s="7">
        <f t="shared" si="2"/>
        <v>19.256416967953527</v>
      </c>
      <c r="L10">
        <v>2002</v>
      </c>
      <c r="M10">
        <f t="shared" si="3"/>
        <v>0.86677921642448141</v>
      </c>
      <c r="N10">
        <f t="shared" si="6"/>
        <v>10.669139427949526</v>
      </c>
      <c r="O10">
        <f t="shared" si="4"/>
        <v>4.7325213401300346</v>
      </c>
      <c r="Q10">
        <v>2002</v>
      </c>
      <c r="R10">
        <v>1.0950628078582501</v>
      </c>
      <c r="S10">
        <v>1.54573227022977</v>
      </c>
      <c r="T10">
        <v>0.34177704112275198</v>
      </c>
      <c r="U10">
        <v>0.55559858998002898</v>
      </c>
      <c r="V10">
        <v>0.79572537293160595</v>
      </c>
      <c r="W10">
        <f t="shared" si="5"/>
        <v>0.86677921642448141</v>
      </c>
    </row>
    <row r="11" spans="1:23" x14ac:dyDescent="0.35">
      <c r="B11">
        <v>0.24</v>
      </c>
      <c r="C11">
        <v>40.6</v>
      </c>
      <c r="D11">
        <f t="shared" si="0"/>
        <v>11.277777462</v>
      </c>
      <c r="I11" s="7">
        <v>0.8</v>
      </c>
      <c r="J11" s="7">
        <f t="shared" si="1"/>
        <v>39.505102950504515</v>
      </c>
      <c r="K11" s="7">
        <f t="shared" si="2"/>
        <v>17.837997376959692</v>
      </c>
      <c r="L11">
        <v>2003</v>
      </c>
      <c r="M11">
        <f t="shared" si="3"/>
        <v>0.85082788800485487</v>
      </c>
      <c r="N11">
        <f t="shared" si="6"/>
        <v>10.73892546000784</v>
      </c>
      <c r="O11">
        <f t="shared" si="4"/>
        <v>4.7831592642719336</v>
      </c>
      <c r="Q11">
        <v>2003</v>
      </c>
      <c r="R11">
        <v>1.0652823966095</v>
      </c>
      <c r="S11">
        <v>1.460059868548105</v>
      </c>
      <c r="T11">
        <v>0.36135475669515399</v>
      </c>
      <c r="U11">
        <v>0.52582348434525505</v>
      </c>
      <c r="V11">
        <v>0.84161893382625996</v>
      </c>
      <c r="W11">
        <f t="shared" si="5"/>
        <v>0.85082788800485487</v>
      </c>
    </row>
    <row r="12" spans="1:23" x14ac:dyDescent="0.35">
      <c r="A12" t="s">
        <v>4</v>
      </c>
      <c r="B12">
        <v>0.55000000000000004</v>
      </c>
      <c r="C12">
        <v>37.299999999999997</v>
      </c>
      <c r="D12">
        <f t="shared" si="0"/>
        <v>10.361110820999999</v>
      </c>
      <c r="I12" s="7">
        <v>0.9</v>
      </c>
      <c r="J12" s="7">
        <f t="shared" si="1"/>
        <v>37.905188659706205</v>
      </c>
      <c r="K12" s="7">
        <f t="shared" si="2"/>
        <v>16.673842711174611</v>
      </c>
      <c r="L12">
        <v>2004</v>
      </c>
      <c r="M12">
        <f t="shared" si="3"/>
        <v>0.82107135201899784</v>
      </c>
      <c r="N12">
        <f t="shared" si="6"/>
        <v>10.873956084059632</v>
      </c>
      <c r="O12">
        <f t="shared" si="4"/>
        <v>4.8817315095689109</v>
      </c>
      <c r="Q12">
        <v>2004</v>
      </c>
      <c r="R12">
        <v>1.0881814265310401</v>
      </c>
      <c r="S12">
        <v>1.37438746686644</v>
      </c>
      <c r="T12">
        <v>0.32500599534379299</v>
      </c>
      <c r="U12">
        <v>0.52237483526068595</v>
      </c>
      <c r="V12">
        <v>0.79540703609302998</v>
      </c>
      <c r="W12">
        <f t="shared" si="5"/>
        <v>0.82107135201899784</v>
      </c>
    </row>
    <row r="13" spans="1:23" x14ac:dyDescent="0.35">
      <c r="A13" t="s">
        <v>5</v>
      </c>
      <c r="B13">
        <v>0.4</v>
      </c>
      <c r="C13">
        <v>23.7</v>
      </c>
      <c r="D13">
        <f t="shared" si="0"/>
        <v>6.5833331489999996</v>
      </c>
      <c r="E13">
        <f>AVERAGE(C13:C14)</f>
        <v>21.85</v>
      </c>
      <c r="F13">
        <v>0.03</v>
      </c>
      <c r="G13">
        <f>F13*E13</f>
        <v>0.65549999999999997</v>
      </c>
      <c r="I13" s="7">
        <v>1</v>
      </c>
      <c r="J13" s="7">
        <f t="shared" si="1"/>
        <v>36.529000000000003</v>
      </c>
      <c r="K13" s="7">
        <f t="shared" si="2"/>
        <v>15.696999999999999</v>
      </c>
      <c r="L13">
        <v>2005</v>
      </c>
      <c r="M13">
        <f t="shared" si="3"/>
        <v>0.79634011673765359</v>
      </c>
      <c r="N13">
        <f t="shared" si="6"/>
        <v>10.991315234614703</v>
      </c>
      <c r="O13">
        <f t="shared" si="4"/>
        <v>4.9680350448029555</v>
      </c>
      <c r="Q13">
        <v>2005</v>
      </c>
      <c r="R13">
        <v>1.0452377870071801</v>
      </c>
      <c r="S13">
        <v>1.25142102027664</v>
      </c>
      <c r="T13">
        <v>0.30838881237014498</v>
      </c>
      <c r="U13">
        <v>0.49589451590516898</v>
      </c>
      <c r="V13">
        <v>0.88075844812913395</v>
      </c>
      <c r="W13">
        <f t="shared" si="5"/>
        <v>0.79634011673765359</v>
      </c>
    </row>
    <row r="14" spans="1:23" x14ac:dyDescent="0.35">
      <c r="B14">
        <v>2.0699999999999998</v>
      </c>
      <c r="C14">
        <v>20</v>
      </c>
      <c r="D14">
        <f t="shared" si="0"/>
        <v>5.5555553999999994</v>
      </c>
      <c r="I14" s="7">
        <v>1.1000000000000001</v>
      </c>
      <c r="J14" s="7">
        <f t="shared" si="1"/>
        <v>35.32717834761295</v>
      </c>
      <c r="K14" s="7">
        <f t="shared" si="2"/>
        <v>14.862732098302478</v>
      </c>
      <c r="L14">
        <v>2006</v>
      </c>
      <c r="M14">
        <f t="shared" si="3"/>
        <v>0.74924890191476001</v>
      </c>
      <c r="N14">
        <f t="shared" si="6"/>
        <v>11.229010915557977</v>
      </c>
      <c r="O14">
        <f t="shared" si="4"/>
        <v>5.1446209433733818</v>
      </c>
      <c r="Q14">
        <v>2006</v>
      </c>
      <c r="R14">
        <v>0.93652575663360904</v>
      </c>
      <c r="S14">
        <v>1.1284545736868401</v>
      </c>
      <c r="T14">
        <v>0.34770341193423598</v>
      </c>
      <c r="U14">
        <v>0.52533536785943902</v>
      </c>
      <c r="V14">
        <v>0.80822539945967597</v>
      </c>
      <c r="W14">
        <f t="shared" si="5"/>
        <v>0.74924890191476001</v>
      </c>
    </row>
    <row r="15" spans="1:23" x14ac:dyDescent="0.35">
      <c r="A15" t="s">
        <v>6</v>
      </c>
      <c r="B15">
        <v>1.05</v>
      </c>
      <c r="C15">
        <v>11.8</v>
      </c>
      <c r="D15">
        <f t="shared" si="0"/>
        <v>3.2777776859999999</v>
      </c>
      <c r="E15">
        <f>AVERAGE(C15:C26)</f>
        <v>25.825000000000003</v>
      </c>
      <c r="F15">
        <v>0.28000000000000003</v>
      </c>
      <c r="G15">
        <f>F15*E15</f>
        <v>7.2310000000000016</v>
      </c>
      <c r="I15" s="7">
        <v>1.2</v>
      </c>
      <c r="J15" s="7">
        <f t="shared" si="1"/>
        <v>34.264560526766218</v>
      </c>
      <c r="K15" s="7">
        <f t="shared" si="2"/>
        <v>14.139882621260533</v>
      </c>
      <c r="L15">
        <v>2007</v>
      </c>
      <c r="M15">
        <f t="shared" si="3"/>
        <v>0.68504708201842401</v>
      </c>
      <c r="N15">
        <f t="shared" si="6"/>
        <v>11.587704261628042</v>
      </c>
      <c r="O15">
        <f t="shared" si="4"/>
        <v>5.4155970655121166</v>
      </c>
      <c r="Q15">
        <v>2007</v>
      </c>
      <c r="R15">
        <v>0.86069261607091596</v>
      </c>
      <c r="S15">
        <v>1.0054881270970399</v>
      </c>
      <c r="T15">
        <v>0.28832298031192699</v>
      </c>
      <c r="U15">
        <v>0.51859193249561197</v>
      </c>
      <c r="V15">
        <v>0.75213975411662504</v>
      </c>
      <c r="W15">
        <f t="shared" si="5"/>
        <v>0.68504708201842401</v>
      </c>
    </row>
    <row r="16" spans="1:23" x14ac:dyDescent="0.35">
      <c r="B16">
        <v>0.83</v>
      </c>
      <c r="C16">
        <v>17.100000000000001</v>
      </c>
      <c r="D16">
        <f t="shared" si="0"/>
        <v>4.7499998669999997</v>
      </c>
      <c r="I16" s="7">
        <v>1.3</v>
      </c>
      <c r="J16" s="7">
        <f t="shared" si="1"/>
        <v>33.315295266471068</v>
      </c>
      <c r="K16" s="7">
        <f t="shared" si="2"/>
        <v>13.506011569251946</v>
      </c>
      <c r="L16">
        <v>2008</v>
      </c>
      <c r="M16">
        <f t="shared" si="3"/>
        <v>0.68223404548821143</v>
      </c>
      <c r="N16">
        <f t="shared" si="6"/>
        <v>11.604452392360924</v>
      </c>
      <c r="O16">
        <f t="shared" si="4"/>
        <v>5.4283809021647489</v>
      </c>
      <c r="Q16">
        <v>2008</v>
      </c>
      <c r="R16">
        <v>0.72563290669122704</v>
      </c>
      <c r="S16">
        <v>1.01841790835719</v>
      </c>
      <c r="T16">
        <v>0.28816381189264001</v>
      </c>
      <c r="U16">
        <v>0.53486955617477905</v>
      </c>
      <c r="V16">
        <v>0.84408604432522105</v>
      </c>
      <c r="W16">
        <f t="shared" si="5"/>
        <v>0.68223404548821143</v>
      </c>
    </row>
    <row r="17" spans="1:23" x14ac:dyDescent="0.35">
      <c r="B17">
        <v>1.1200000000000001</v>
      </c>
      <c r="C17">
        <v>15</v>
      </c>
      <c r="D17">
        <f t="shared" si="0"/>
        <v>4.1666665499999995</v>
      </c>
      <c r="I17" s="7">
        <v>1.4</v>
      </c>
      <c r="J17" s="7">
        <f t="shared" si="1"/>
        <v>32.459874981574345</v>
      </c>
      <c r="K17" s="7">
        <f t="shared" si="2"/>
        <v>12.944500416855565</v>
      </c>
      <c r="L17">
        <v>2009</v>
      </c>
      <c r="M17">
        <f t="shared" si="3"/>
        <v>0.69327290592721824</v>
      </c>
      <c r="N17">
        <f t="shared" si="6"/>
        <v>11.539258076476274</v>
      </c>
      <c r="O17">
        <f t="shared" si="4"/>
        <v>5.3786839112250533</v>
      </c>
      <c r="Q17">
        <v>2009</v>
      </c>
      <c r="R17">
        <v>0.75182672289202601</v>
      </c>
      <c r="S17">
        <v>1.01831179607766</v>
      </c>
      <c r="T17">
        <v>0.35707843183028798</v>
      </c>
      <c r="U17">
        <v>0.48207339149701001</v>
      </c>
      <c r="V17">
        <v>0.85707418733910701</v>
      </c>
      <c r="W17">
        <f t="shared" si="5"/>
        <v>0.69327290592721824</v>
      </c>
    </row>
    <row r="18" spans="1:23" x14ac:dyDescent="0.35">
      <c r="B18">
        <v>1</v>
      </c>
      <c r="C18">
        <v>27.9</v>
      </c>
      <c r="D18">
        <f t="shared" si="0"/>
        <v>7.7499997829999989</v>
      </c>
      <c r="I18" s="7">
        <v>1.5</v>
      </c>
      <c r="J18" s="7">
        <f t="shared" si="1"/>
        <v>31.683251985203562</v>
      </c>
      <c r="K18" s="7">
        <f t="shared" si="2"/>
        <v>12.442749755788808</v>
      </c>
      <c r="L18">
        <v>2010</v>
      </c>
      <c r="M18">
        <f t="shared" si="3"/>
        <v>0.62400387097595644</v>
      </c>
      <c r="N18">
        <f t="shared" si="6"/>
        <v>11.973594159099727</v>
      </c>
      <c r="O18">
        <f t="shared" si="4"/>
        <v>5.7131000771124514</v>
      </c>
      <c r="Q18">
        <v>2010</v>
      </c>
      <c r="R18">
        <v>0.73846718689980195</v>
      </c>
      <c r="S18">
        <v>0.74502492577446</v>
      </c>
      <c r="T18">
        <v>0.32072436486494998</v>
      </c>
      <c r="U18">
        <v>0.48520370374300398</v>
      </c>
      <c r="V18">
        <v>0.83059917359756597</v>
      </c>
      <c r="W18">
        <f t="shared" si="5"/>
        <v>0.62400387097595644</v>
      </c>
    </row>
    <row r="19" spans="1:23" x14ac:dyDescent="0.35">
      <c r="B19">
        <v>1</v>
      </c>
      <c r="C19">
        <v>19.3</v>
      </c>
      <c r="D19">
        <f t="shared" si="0"/>
        <v>5.3611109609999996</v>
      </c>
      <c r="L19">
        <v>2011</v>
      </c>
      <c r="M19">
        <f t="shared" si="3"/>
        <v>0.62187950313986162</v>
      </c>
      <c r="N19">
        <f t="shared" si="6"/>
        <v>11.987934990910901</v>
      </c>
      <c r="O19">
        <f t="shared" si="4"/>
        <v>5.7242747182367095</v>
      </c>
      <c r="Q19">
        <v>2011</v>
      </c>
      <c r="R19">
        <v>0.682392152784704</v>
      </c>
      <c r="S19">
        <v>0.764645086258671</v>
      </c>
      <c r="T19">
        <v>0.30082831245397301</v>
      </c>
      <c r="U19">
        <v>0.58701843594744396</v>
      </c>
      <c r="V19">
        <v>0.77451352825451603</v>
      </c>
      <c r="W19">
        <f t="shared" si="5"/>
        <v>0.62187950313986162</v>
      </c>
    </row>
    <row r="20" spans="1:23" x14ac:dyDescent="0.35">
      <c r="B20">
        <v>1.25</v>
      </c>
      <c r="C20">
        <v>11.9</v>
      </c>
      <c r="D20">
        <f t="shared" si="0"/>
        <v>3.3055554629999997</v>
      </c>
      <c r="L20">
        <v>2012</v>
      </c>
      <c r="M20">
        <f t="shared" si="3"/>
        <v>0.59384622632900286</v>
      </c>
      <c r="N20">
        <f t="shared" si="6"/>
        <v>12.18360179034573</v>
      </c>
      <c r="O20">
        <f t="shared" si="4"/>
        <v>5.8775853283595429</v>
      </c>
      <c r="Q20">
        <v>2012</v>
      </c>
      <c r="R20">
        <v>0.70526996025033895</v>
      </c>
      <c r="S20">
        <v>0.76</v>
      </c>
      <c r="T20">
        <v>0.280921648815044</v>
      </c>
      <c r="U20">
        <v>0.56711177230851495</v>
      </c>
      <c r="V20">
        <v>0.65592775027111605</v>
      </c>
      <c r="W20">
        <f t="shared" si="5"/>
        <v>0.59384622632900286</v>
      </c>
    </row>
    <row r="21" spans="1:23" x14ac:dyDescent="0.35">
      <c r="B21">
        <v>0.31</v>
      </c>
      <c r="C21">
        <v>26.9</v>
      </c>
      <c r="D21">
        <f t="shared" si="0"/>
        <v>7.4722220129999988</v>
      </c>
      <c r="L21">
        <v>2013</v>
      </c>
      <c r="M21">
        <f t="shared" si="3"/>
        <v>0.57090104181035983</v>
      </c>
      <c r="N21">
        <f t="shared" si="6"/>
        <v>12.353283751070411</v>
      </c>
      <c r="O21">
        <f t="shared" si="4"/>
        <v>6.0118036336928817</v>
      </c>
      <c r="Q21">
        <v>2013</v>
      </c>
      <c r="R21">
        <v>0.68865808289066799</v>
      </c>
      <c r="S21">
        <v>0.75119004921487498</v>
      </c>
      <c r="T21">
        <v>0.290625616777624</v>
      </c>
      <c r="U21">
        <v>0.50116299058359504</v>
      </c>
      <c r="V21">
        <v>0.62286846958503705</v>
      </c>
      <c r="W21">
        <f t="shared" si="5"/>
        <v>0.57090104181035983</v>
      </c>
    </row>
    <row r="22" spans="1:23" x14ac:dyDescent="0.35">
      <c r="B22">
        <v>1.06</v>
      </c>
      <c r="C22">
        <v>16.899999999999999</v>
      </c>
      <c r="D22">
        <f t="shared" si="0"/>
        <v>4.6944443129999991</v>
      </c>
      <c r="L22">
        <v>2014</v>
      </c>
      <c r="M22">
        <f t="shared" si="3"/>
        <v>0.55955339463793352</v>
      </c>
      <c r="N22">
        <f t="shared" si="6"/>
        <v>12.440644835089836</v>
      </c>
      <c r="O22">
        <f t="shared" si="4"/>
        <v>6.0813632580260677</v>
      </c>
      <c r="Q22">
        <v>2014</v>
      </c>
      <c r="R22">
        <v>0.71154119597027898</v>
      </c>
      <c r="S22">
        <v>0.77403071738267604</v>
      </c>
      <c r="T22">
        <v>0.31677698806661198</v>
      </c>
      <c r="U22">
        <v>0.46481422923223498</v>
      </c>
      <c r="V22">
        <v>0.53060384253786597</v>
      </c>
      <c r="W22">
        <f t="shared" si="5"/>
        <v>0.55955339463793352</v>
      </c>
    </row>
    <row r="23" spans="1:23" x14ac:dyDescent="0.35">
      <c r="B23">
        <v>0.69</v>
      </c>
      <c r="C23">
        <v>47.2</v>
      </c>
      <c r="D23">
        <f t="shared" si="0"/>
        <v>13.111110743999999</v>
      </c>
      <c r="L23">
        <v>2015</v>
      </c>
      <c r="M23">
        <f t="shared" si="3"/>
        <v>0.5139866595642173</v>
      </c>
      <c r="N23">
        <f t="shared" si="6"/>
        <v>12.817141298423763</v>
      </c>
      <c r="O23">
        <f t="shared" si="4"/>
        <v>6.3846741435918641</v>
      </c>
      <c r="Q23">
        <v>2015</v>
      </c>
      <c r="R23">
        <v>0.60280263752681895</v>
      </c>
      <c r="S23">
        <v>0.73109238347280003</v>
      </c>
      <c r="T23">
        <v>0.32648626164316902</v>
      </c>
      <c r="U23">
        <v>0.458060182640455</v>
      </c>
      <c r="V23">
        <v>0.45149183253784397</v>
      </c>
      <c r="W23">
        <f t="shared" si="5"/>
        <v>0.5139866595642173</v>
      </c>
    </row>
    <row r="24" spans="1:23" x14ac:dyDescent="0.35">
      <c r="B24">
        <v>0.56000000000000005</v>
      </c>
      <c r="C24">
        <v>22.8</v>
      </c>
      <c r="D24">
        <f t="shared" si="0"/>
        <v>6.3333331560000001</v>
      </c>
      <c r="Q24">
        <v>2016</v>
      </c>
      <c r="V24">
        <v>0.56974335684073996</v>
      </c>
    </row>
    <row r="25" spans="1:23" x14ac:dyDescent="0.35">
      <c r="B25">
        <v>0.59</v>
      </c>
      <c r="C25">
        <v>41.5</v>
      </c>
      <c r="D25">
        <f t="shared" si="0"/>
        <v>11.527777454999999</v>
      </c>
      <c r="Q25" t="s">
        <v>37</v>
      </c>
      <c r="R25" t="s">
        <v>41</v>
      </c>
      <c r="S25" t="s">
        <v>40</v>
      </c>
      <c r="T25" t="s">
        <v>39</v>
      </c>
      <c r="U25" t="s">
        <v>39</v>
      </c>
    </row>
    <row r="26" spans="1:23" x14ac:dyDescent="0.35">
      <c r="B26">
        <v>0.86</v>
      </c>
      <c r="C26">
        <v>51.6</v>
      </c>
      <c r="D26">
        <f t="shared" si="0"/>
        <v>14.333332931999999</v>
      </c>
      <c r="Q26">
        <v>1995</v>
      </c>
      <c r="S26">
        <f>5.898*S3^(-0.199)</f>
        <v>5.0636892685619852</v>
      </c>
      <c r="T26">
        <f>(277.77777/1000)*36.529*T3^(-0.351)</f>
        <v>12.514746714737848</v>
      </c>
      <c r="U26">
        <f>(277.77777/1000)*36.529*U3^(-0.351)</f>
        <v>12.262239750144225</v>
      </c>
    </row>
    <row r="27" spans="1:23" x14ac:dyDescent="0.35">
      <c r="A27" t="s">
        <v>7</v>
      </c>
      <c r="B27">
        <v>1.08</v>
      </c>
      <c r="C27">
        <v>14.9</v>
      </c>
      <c r="D27">
        <f t="shared" si="0"/>
        <v>4.1388887729999997</v>
      </c>
      <c r="Q27">
        <v>1996</v>
      </c>
      <c r="S27">
        <f t="shared" ref="S27:S46" si="7">5.898*S4^(-0.199)</f>
        <v>5.0935186291701626</v>
      </c>
      <c r="T27">
        <f t="shared" ref="T27:U46" si="8">(277.77777/1000)*36.529*T4^(-0.351)</f>
        <v>12.59585342250984</v>
      </c>
      <c r="U27">
        <f>(277.77777/1000)*36.529*U4^(-0.351)</f>
        <v>11.608357436357521</v>
      </c>
    </row>
    <row r="28" spans="1:23" x14ac:dyDescent="0.35">
      <c r="A28" t="s">
        <v>8</v>
      </c>
      <c r="B28">
        <v>1.99</v>
      </c>
      <c r="C28">
        <v>26.4</v>
      </c>
      <c r="D28">
        <f t="shared" si="0"/>
        <v>7.3333331279999987</v>
      </c>
      <c r="Q28">
        <v>1997</v>
      </c>
      <c r="S28">
        <f t="shared" si="7"/>
        <v>5.1462662229198353</v>
      </c>
      <c r="T28">
        <f t="shared" si="8"/>
        <v>14.39938780155031</v>
      </c>
      <c r="U28">
        <f t="shared" si="8"/>
        <v>11.609340833500923</v>
      </c>
    </row>
    <row r="29" spans="1:23" x14ac:dyDescent="0.35">
      <c r="A29" t="s">
        <v>9</v>
      </c>
      <c r="B29">
        <v>0.61</v>
      </c>
      <c r="C29">
        <v>55.5</v>
      </c>
      <c r="D29">
        <f t="shared" si="0"/>
        <v>15.416666234999999</v>
      </c>
      <c r="Q29">
        <v>1998</v>
      </c>
      <c r="S29">
        <f t="shared" si="7"/>
        <v>5.3742376404511756</v>
      </c>
      <c r="T29">
        <f t="shared" si="8"/>
        <v>14.49293104112224</v>
      </c>
      <c r="U29">
        <f t="shared" si="8"/>
        <v>11.986843856112946</v>
      </c>
    </row>
    <row r="30" spans="1:23" x14ac:dyDescent="0.35">
      <c r="A30" t="s">
        <v>10</v>
      </c>
      <c r="B30">
        <v>3.78</v>
      </c>
      <c r="C30">
        <v>6.7</v>
      </c>
      <c r="D30">
        <f t="shared" si="0"/>
        <v>1.861111059</v>
      </c>
      <c r="Q30">
        <v>1999</v>
      </c>
      <c r="R30">
        <f t="shared" ref="R30:R46" si="9">5.55*R7^(-0.634)</f>
        <v>4.4741520423600889</v>
      </c>
      <c r="S30">
        <f t="shared" si="7"/>
        <v>5.3765341587226017</v>
      </c>
      <c r="T30">
        <f t="shared" si="8"/>
        <v>14.684843705598276</v>
      </c>
      <c r="U30">
        <f t="shared" si="8"/>
        <v>11.591688580955466</v>
      </c>
    </row>
    <row r="31" spans="1:23" x14ac:dyDescent="0.35">
      <c r="A31" t="s">
        <v>11</v>
      </c>
      <c r="B31">
        <v>1.34</v>
      </c>
      <c r="C31">
        <v>31.4</v>
      </c>
      <c r="D31">
        <f t="shared" si="0"/>
        <v>8.7222219779999985</v>
      </c>
      <c r="F31">
        <v>0.12</v>
      </c>
      <c r="G31">
        <f>F31*E31</f>
        <v>0</v>
      </c>
      <c r="Q31">
        <v>2000</v>
      </c>
      <c r="R31">
        <f t="shared" si="9"/>
        <v>4.7468950345444547</v>
      </c>
      <c r="S31">
        <f t="shared" si="7"/>
        <v>5.41735171144538</v>
      </c>
      <c r="T31">
        <f t="shared" si="8"/>
        <v>14.591151274396434</v>
      </c>
      <c r="U31">
        <f t="shared" si="8"/>
        <v>12.172461090022114</v>
      </c>
    </row>
    <row r="32" spans="1:23" x14ac:dyDescent="0.35">
      <c r="A32" t="s">
        <v>12</v>
      </c>
      <c r="B32">
        <v>0.83</v>
      </c>
      <c r="C32">
        <v>15.8</v>
      </c>
      <c r="D32">
        <f t="shared" si="0"/>
        <v>4.388888766</v>
      </c>
      <c r="Q32">
        <v>2001</v>
      </c>
      <c r="R32">
        <f t="shared" si="9"/>
        <v>4.8424818151694176</v>
      </c>
      <c r="S32">
        <f t="shared" si="7"/>
        <v>5.3442046376294225</v>
      </c>
      <c r="T32">
        <f t="shared" si="8"/>
        <v>14.408411933688535</v>
      </c>
      <c r="U32">
        <f t="shared" si="8"/>
        <v>12.197344076328791</v>
      </c>
    </row>
    <row r="33" spans="1:21" x14ac:dyDescent="0.35">
      <c r="A33" t="s">
        <v>13</v>
      </c>
      <c r="B33">
        <v>0.59</v>
      </c>
      <c r="C33">
        <v>47</v>
      </c>
      <c r="D33">
        <f t="shared" si="0"/>
        <v>13.05555519</v>
      </c>
      <c r="F33">
        <v>0.06</v>
      </c>
      <c r="G33">
        <f>F33*E33</f>
        <v>0</v>
      </c>
      <c r="Q33">
        <v>2002</v>
      </c>
      <c r="R33">
        <f t="shared" si="9"/>
        <v>5.2394854504162049</v>
      </c>
      <c r="S33">
        <f t="shared" si="7"/>
        <v>5.408378127253088</v>
      </c>
      <c r="T33">
        <f t="shared" si="8"/>
        <v>14.790794991829925</v>
      </c>
      <c r="U33">
        <f t="shared" si="8"/>
        <v>12.471655674518876</v>
      </c>
    </row>
    <row r="34" spans="1:21" x14ac:dyDescent="0.35">
      <c r="A34" t="s">
        <v>15</v>
      </c>
      <c r="D34">
        <f t="shared" si="0"/>
        <v>0</v>
      </c>
      <c r="F34" s="1">
        <f>SUM(F3:F33)</f>
        <v>0.53</v>
      </c>
      <c r="G34" s="1">
        <f>SUM(G3:G33)+G35</f>
        <v>21.072166666666668</v>
      </c>
      <c r="H34" s="1" t="s">
        <v>19</v>
      </c>
      <c r="Q34">
        <v>2003</v>
      </c>
      <c r="R34">
        <f t="shared" si="9"/>
        <v>5.3318795669322876</v>
      </c>
      <c r="S34">
        <f t="shared" si="7"/>
        <v>5.4700967282494171</v>
      </c>
      <c r="T34">
        <f t="shared" si="8"/>
        <v>14.504424944947724</v>
      </c>
      <c r="U34">
        <f t="shared" si="8"/>
        <v>12.715119258606668</v>
      </c>
    </row>
    <row r="35" spans="1:21" x14ac:dyDescent="0.35">
      <c r="A35" t="s">
        <v>16</v>
      </c>
      <c r="D35">
        <f t="shared" si="0"/>
        <v>0</v>
      </c>
      <c r="F35">
        <f>1-F34</f>
        <v>0.47</v>
      </c>
      <c r="G35">
        <f>F35*AVERAGE(C27:C30,C32,C12)</f>
        <v>12.266999999999998</v>
      </c>
      <c r="H35" s="6">
        <f>G34*277.77777/1000</f>
        <v>5.8533794657350002</v>
      </c>
      <c r="Q35">
        <v>2004</v>
      </c>
      <c r="R35">
        <f t="shared" si="9"/>
        <v>5.2604676386812592</v>
      </c>
      <c r="S35">
        <f t="shared" si="7"/>
        <v>5.5363181607745311</v>
      </c>
      <c r="T35">
        <f t="shared" si="8"/>
        <v>15.054328852366369</v>
      </c>
      <c r="U35">
        <f t="shared" si="8"/>
        <v>12.744520542226971</v>
      </c>
    </row>
    <row r="36" spans="1:21" x14ac:dyDescent="0.35">
      <c r="D36">
        <f t="shared" si="0"/>
        <v>0</v>
      </c>
      <c r="H36" s="6" t="s">
        <v>28</v>
      </c>
      <c r="Q36">
        <v>2005</v>
      </c>
      <c r="R36">
        <f t="shared" si="9"/>
        <v>5.3964804565889697</v>
      </c>
      <c r="S36">
        <f t="shared" si="7"/>
        <v>5.6405503793786753</v>
      </c>
      <c r="T36">
        <f t="shared" si="8"/>
        <v>15.334218833027894</v>
      </c>
      <c r="U36">
        <f t="shared" si="8"/>
        <v>12.979370336336038</v>
      </c>
    </row>
    <row r="37" spans="1:21" x14ac:dyDescent="0.35">
      <c r="Q37">
        <v>2006</v>
      </c>
      <c r="R37">
        <f t="shared" si="9"/>
        <v>5.7856142862285518</v>
      </c>
      <c r="S37">
        <f t="shared" si="7"/>
        <v>5.7578511847723899</v>
      </c>
      <c r="T37">
        <f t="shared" si="8"/>
        <v>14.701814141242178</v>
      </c>
      <c r="U37">
        <f t="shared" si="8"/>
        <v>12.719264821353217</v>
      </c>
    </row>
    <row r="38" spans="1:21" x14ac:dyDescent="0.35">
      <c r="Q38">
        <v>2007</v>
      </c>
      <c r="R38">
        <f t="shared" si="9"/>
        <v>6.1037860485312416</v>
      </c>
      <c r="S38">
        <f t="shared" si="7"/>
        <v>5.8915796825089588</v>
      </c>
      <c r="T38">
        <f t="shared" si="8"/>
        <v>15.700650661548339</v>
      </c>
      <c r="U38">
        <f t="shared" si="8"/>
        <v>12.777074584325504</v>
      </c>
    </row>
    <row r="39" spans="1:21" x14ac:dyDescent="0.35">
      <c r="Q39">
        <v>2008</v>
      </c>
      <c r="R39">
        <f t="shared" si="9"/>
        <v>6.801401683769301</v>
      </c>
      <c r="S39">
        <f t="shared" si="7"/>
        <v>5.8766183749080323</v>
      </c>
      <c r="T39">
        <f t="shared" si="8"/>
        <v>15.703694099165189</v>
      </c>
      <c r="U39">
        <f t="shared" si="8"/>
        <v>12.639219751706801</v>
      </c>
    </row>
    <row r="40" spans="1:21" x14ac:dyDescent="0.35">
      <c r="Q40">
        <v>2009</v>
      </c>
      <c r="R40">
        <f t="shared" si="9"/>
        <v>6.6501941480113089</v>
      </c>
      <c r="S40">
        <f t="shared" si="7"/>
        <v>5.8767402310182284</v>
      </c>
      <c r="T40">
        <f t="shared" si="8"/>
        <v>14.565159343980872</v>
      </c>
      <c r="U40">
        <f t="shared" si="8"/>
        <v>13.108788332106752</v>
      </c>
    </row>
    <row r="41" spans="1:21" x14ac:dyDescent="0.35">
      <c r="Q41">
        <v>2010</v>
      </c>
      <c r="R41">
        <f t="shared" si="9"/>
        <v>6.7262189566388892</v>
      </c>
      <c r="S41">
        <f t="shared" si="7"/>
        <v>6.2537825803615377</v>
      </c>
      <c r="T41">
        <f t="shared" si="8"/>
        <v>15.124567157429484</v>
      </c>
      <c r="U41">
        <f t="shared" si="8"/>
        <v>13.079041227014363</v>
      </c>
    </row>
    <row r="42" spans="1:21" x14ac:dyDescent="0.35">
      <c r="Q42">
        <v>2011</v>
      </c>
      <c r="R42">
        <f t="shared" si="9"/>
        <v>7.0715629526300861</v>
      </c>
      <c r="S42">
        <f t="shared" si="7"/>
        <v>6.2215163634076287</v>
      </c>
      <c r="T42">
        <f t="shared" si="8"/>
        <v>15.468400358050912</v>
      </c>
      <c r="U42">
        <f t="shared" si="8"/>
        <v>12.233155869002584</v>
      </c>
    </row>
    <row r="43" spans="1:21" x14ac:dyDescent="0.35">
      <c r="Q43">
        <v>2012</v>
      </c>
      <c r="R43">
        <f t="shared" si="9"/>
        <v>6.9252533854147877</v>
      </c>
      <c r="S43">
        <f t="shared" si="7"/>
        <v>6.2290650087727872</v>
      </c>
      <c r="T43">
        <f t="shared" si="8"/>
        <v>15.844621245240793</v>
      </c>
      <c r="U43">
        <f t="shared" si="8"/>
        <v>12.382193022828124</v>
      </c>
    </row>
    <row r="44" spans="1:21" x14ac:dyDescent="0.35">
      <c r="Q44">
        <v>2013</v>
      </c>
      <c r="R44">
        <f t="shared" si="9"/>
        <v>7.0307016597380834</v>
      </c>
      <c r="S44">
        <f t="shared" si="7"/>
        <v>6.2435350308864797</v>
      </c>
      <c r="T44">
        <f t="shared" si="8"/>
        <v>15.656874641165404</v>
      </c>
      <c r="U44">
        <f t="shared" si="8"/>
        <v>12.931313605139762</v>
      </c>
    </row>
    <row r="45" spans="1:21" x14ac:dyDescent="0.35">
      <c r="Q45">
        <v>2014</v>
      </c>
      <c r="R45">
        <f t="shared" si="9"/>
        <v>6.8864936568430135</v>
      </c>
      <c r="S45">
        <f t="shared" si="7"/>
        <v>6.2064303673544208</v>
      </c>
      <c r="T45">
        <f t="shared" si="8"/>
        <v>15.190453792659319</v>
      </c>
      <c r="U45">
        <f t="shared" si="8"/>
        <v>13.277618800193141</v>
      </c>
    </row>
    <row r="46" spans="1:21" x14ac:dyDescent="0.35">
      <c r="Q46">
        <v>2015</v>
      </c>
      <c r="R46">
        <f t="shared" si="9"/>
        <v>7.6500089263198232</v>
      </c>
      <c r="S46">
        <f t="shared" si="7"/>
        <v>6.2773202929602556</v>
      </c>
      <c r="T46">
        <f t="shared" si="8"/>
        <v>15.030335908301058</v>
      </c>
      <c r="U46">
        <f t="shared" si="8"/>
        <v>13.346010377230677</v>
      </c>
    </row>
    <row r="47" spans="1:21" x14ac:dyDescent="0.35">
      <c r="Q47">
        <v>2016</v>
      </c>
      <c r="U47" t="e">
        <f t="shared" ref="U47" si="10">(277.77777/1000)*36.529*U24^(-0.351)</f>
        <v>#DIV/0!</v>
      </c>
    </row>
  </sheetData>
  <hyperlinks>
    <hyperlink ref="R1" r:id="rId1" display="https://doi.org/10.5382/econgeo.2018.4590" xr:uid="{2EC1C35D-20C9-4047-8B81-5839B6C58568}"/>
    <hyperlink ref="A1" r:id="rId2" display="https://doi.org/10.1016/j.jclepro.2012.09.027" xr:uid="{1C998D5B-E3B2-4754-9C31-AA475BEF518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C544-1EDE-4E06-BF60-064023ED7CF1}">
  <dimension ref="A2:G24"/>
  <sheetViews>
    <sheetView workbookViewId="0">
      <selection activeCell="F2" sqref="F2:F24"/>
    </sheetView>
  </sheetViews>
  <sheetFormatPr defaultRowHeight="14.5" x14ac:dyDescent="0.35"/>
  <cols>
    <col min="1" max="1" width="4.81640625" bestFit="1" customWidth="1"/>
    <col min="2" max="2" width="9.36328125" bestFit="1" customWidth="1"/>
    <col min="5" max="5" width="9.36328125" bestFit="1" customWidth="1"/>
  </cols>
  <sheetData>
    <row r="2" spans="1:7" x14ac:dyDescent="0.35">
      <c r="B2" t="s">
        <v>22</v>
      </c>
      <c r="C2" t="s">
        <v>23</v>
      </c>
      <c r="D2" t="s">
        <v>24</v>
      </c>
      <c r="E2" t="s">
        <v>25</v>
      </c>
      <c r="F2" t="s">
        <v>35</v>
      </c>
      <c r="G2" t="s">
        <v>26</v>
      </c>
    </row>
    <row r="3" spans="1:7" x14ac:dyDescent="0.35">
      <c r="A3">
        <v>1995</v>
      </c>
      <c r="C3">
        <v>2.1520525298228499</v>
      </c>
      <c r="D3">
        <v>0.550165641268339</v>
      </c>
      <c r="E3">
        <v>0.58306044792115397</v>
      </c>
      <c r="F3">
        <v>0.81332940010483901</v>
      </c>
      <c r="G3">
        <f>AVERAGE(B3:E3)</f>
        <v>1.0950928730041143</v>
      </c>
    </row>
    <row r="4" spans="1:7" x14ac:dyDescent="0.35">
      <c r="A4">
        <v>1996</v>
      </c>
      <c r="C4">
        <v>2.0894622017449098</v>
      </c>
      <c r="D4">
        <v>0.54013272523922995</v>
      </c>
      <c r="E4">
        <v>0.68158039384633595</v>
      </c>
      <c r="F4">
        <v>0.74408052648668599</v>
      </c>
      <c r="G4">
        <f t="shared" ref="G4:G23" si="0">AVERAGE(B4:E4)</f>
        <v>1.1037251069434919</v>
      </c>
    </row>
    <row r="5" spans="1:7" x14ac:dyDescent="0.35">
      <c r="A5">
        <v>1997</v>
      </c>
      <c r="C5">
        <v>1.9840396520366099</v>
      </c>
      <c r="D5">
        <v>0.36891525661132502</v>
      </c>
      <c r="E5">
        <v>0.68141591981307204</v>
      </c>
      <c r="F5">
        <v>0.86233735640355702</v>
      </c>
      <c r="G5">
        <f t="shared" si="0"/>
        <v>1.0114569428203357</v>
      </c>
    </row>
    <row r="6" spans="1:7" x14ac:dyDescent="0.35">
      <c r="A6">
        <v>1998</v>
      </c>
      <c r="C6">
        <v>1.5957111538861499</v>
      </c>
      <c r="D6">
        <v>0.36217182124749803</v>
      </c>
      <c r="E6">
        <v>0.62204079380473998</v>
      </c>
      <c r="F6">
        <v>0.78980961334807498</v>
      </c>
      <c r="G6">
        <f t="shared" si="0"/>
        <v>0.85997458964612938</v>
      </c>
    </row>
    <row r="7" spans="1:7" x14ac:dyDescent="0.35">
      <c r="A7">
        <v>1999</v>
      </c>
      <c r="B7">
        <v>1.4047727181084799</v>
      </c>
      <c r="C7">
        <v>1.5922890328714601</v>
      </c>
      <c r="D7">
        <v>0.34884942455310802</v>
      </c>
      <c r="E7">
        <v>0.68437645241182599</v>
      </c>
      <c r="F7">
        <v>0.95740334763019397</v>
      </c>
      <c r="G7">
        <f t="shared" si="0"/>
        <v>1.0075719069862186</v>
      </c>
    </row>
    <row r="8" spans="1:7" x14ac:dyDescent="0.35">
      <c r="A8">
        <v>2000</v>
      </c>
      <c r="B8">
        <v>1.27959206195259</v>
      </c>
      <c r="C8">
        <v>1.53290860124915</v>
      </c>
      <c r="D8">
        <v>0.355269217464383</v>
      </c>
      <c r="E8">
        <v>0.59539600041595997</v>
      </c>
      <c r="F8">
        <v>0.87172298752756205</v>
      </c>
      <c r="G8">
        <f t="shared" si="0"/>
        <v>0.94079147027052068</v>
      </c>
    </row>
    <row r="9" spans="1:7" x14ac:dyDescent="0.35">
      <c r="A9">
        <v>2001</v>
      </c>
      <c r="B9">
        <v>1.23998034800583</v>
      </c>
      <c r="C9">
        <v>1.64128637794222</v>
      </c>
      <c r="D9">
        <v>0.36825736047826901</v>
      </c>
      <c r="E9">
        <v>0.59194204571741404</v>
      </c>
      <c r="F9">
        <v>0.89786374758859799</v>
      </c>
      <c r="G9">
        <f t="shared" si="0"/>
        <v>0.96036653303593322</v>
      </c>
    </row>
    <row r="10" spans="1:7" x14ac:dyDescent="0.35">
      <c r="A10">
        <v>2002</v>
      </c>
      <c r="B10">
        <v>1.0950628078582501</v>
      </c>
      <c r="C10">
        <v>1.54573227022977</v>
      </c>
      <c r="D10">
        <v>0.34177704112275198</v>
      </c>
      <c r="E10">
        <v>0.55559858998002898</v>
      </c>
      <c r="F10">
        <v>0.79572537293160595</v>
      </c>
      <c r="G10">
        <f t="shared" si="0"/>
        <v>0.88454267729770031</v>
      </c>
    </row>
    <row r="11" spans="1:7" x14ac:dyDescent="0.35">
      <c r="A11">
        <v>2003</v>
      </c>
      <c r="B11">
        <v>1.0652823966095</v>
      </c>
      <c r="C11">
        <v>1.460059868548105</v>
      </c>
      <c r="D11">
        <v>0.36135475669515399</v>
      </c>
      <c r="E11">
        <v>0.52582348434525505</v>
      </c>
      <c r="F11">
        <v>0.84161893382625996</v>
      </c>
      <c r="G11">
        <f t="shared" si="0"/>
        <v>0.85313012654950349</v>
      </c>
    </row>
    <row r="12" spans="1:7" x14ac:dyDescent="0.35">
      <c r="A12">
        <v>2004</v>
      </c>
      <c r="B12">
        <v>1.0881814265310401</v>
      </c>
      <c r="C12">
        <v>1.37438746686644</v>
      </c>
      <c r="D12">
        <v>0.32500599534379299</v>
      </c>
      <c r="E12">
        <v>0.52237483526068595</v>
      </c>
      <c r="F12">
        <v>0.79540703609302998</v>
      </c>
      <c r="G12">
        <f t="shared" si="0"/>
        <v>0.82748743100048983</v>
      </c>
    </row>
    <row r="13" spans="1:7" x14ac:dyDescent="0.35">
      <c r="A13">
        <v>2005</v>
      </c>
      <c r="B13">
        <v>1.0452377870071801</v>
      </c>
      <c r="C13">
        <v>1.25142102027664</v>
      </c>
      <c r="D13">
        <v>0.30838881237014498</v>
      </c>
      <c r="E13">
        <v>0.49589451590516898</v>
      </c>
      <c r="F13">
        <v>0.88075844812913395</v>
      </c>
      <c r="G13">
        <f t="shared" si="0"/>
        <v>0.7752355338897835</v>
      </c>
    </row>
    <row r="14" spans="1:7" x14ac:dyDescent="0.35">
      <c r="A14">
        <v>2006</v>
      </c>
      <c r="B14">
        <v>0.93652575663360904</v>
      </c>
      <c r="C14">
        <v>1.1284545736868401</v>
      </c>
      <c r="D14">
        <v>0.34770341193423598</v>
      </c>
      <c r="E14">
        <v>0.52533536785943902</v>
      </c>
      <c r="F14">
        <v>0.80822539945967597</v>
      </c>
      <c r="G14">
        <f t="shared" si="0"/>
        <v>0.73450477752853105</v>
      </c>
    </row>
    <row r="15" spans="1:7" x14ac:dyDescent="0.35">
      <c r="A15">
        <v>2007</v>
      </c>
      <c r="B15">
        <v>0.86069261607091596</v>
      </c>
      <c r="C15">
        <v>1.0054881270970399</v>
      </c>
      <c r="D15">
        <v>0.28832298031192699</v>
      </c>
      <c r="E15">
        <v>0.51859193249561197</v>
      </c>
      <c r="F15">
        <v>0.75213975411662504</v>
      </c>
      <c r="G15">
        <f t="shared" si="0"/>
        <v>0.66827391399387381</v>
      </c>
    </row>
    <row r="16" spans="1:7" x14ac:dyDescent="0.35">
      <c r="A16">
        <v>2008</v>
      </c>
      <c r="B16">
        <v>0.72563290669122704</v>
      </c>
      <c r="C16">
        <v>1.01841790835719</v>
      </c>
      <c r="D16">
        <v>0.28816381189264001</v>
      </c>
      <c r="E16">
        <v>0.53486955617477905</v>
      </c>
      <c r="F16">
        <v>0.84408604432522105</v>
      </c>
      <c r="G16">
        <f t="shared" si="0"/>
        <v>0.64177104577895905</v>
      </c>
    </row>
    <row r="17" spans="1:7" x14ac:dyDescent="0.35">
      <c r="A17">
        <v>2009</v>
      </c>
      <c r="B17">
        <v>0.75182672289202601</v>
      </c>
      <c r="C17">
        <v>1.01831179607766</v>
      </c>
      <c r="D17">
        <v>0.35707843183028798</v>
      </c>
      <c r="E17">
        <v>0.48207339149701001</v>
      </c>
      <c r="F17">
        <v>0.85707418733910701</v>
      </c>
      <c r="G17">
        <f t="shared" si="0"/>
        <v>0.65232258557424605</v>
      </c>
    </row>
    <row r="18" spans="1:7" x14ac:dyDescent="0.35">
      <c r="A18">
        <v>2010</v>
      </c>
      <c r="B18">
        <v>0.73846718689980195</v>
      </c>
      <c r="C18">
        <v>0.74502492577446</v>
      </c>
      <c r="D18">
        <v>0.32072436486494998</v>
      </c>
      <c r="E18">
        <v>0.48520370374300398</v>
      </c>
      <c r="F18">
        <v>0.83059917359756597</v>
      </c>
      <c r="G18">
        <f t="shared" si="0"/>
        <v>0.57235504532055403</v>
      </c>
    </row>
    <row r="19" spans="1:7" x14ac:dyDescent="0.35">
      <c r="A19">
        <v>2011</v>
      </c>
      <c r="B19">
        <v>0.682392152784704</v>
      </c>
      <c r="C19">
        <v>0.764645086258671</v>
      </c>
      <c r="D19">
        <v>0.30082831245397301</v>
      </c>
      <c r="E19">
        <v>0.58701843594744396</v>
      </c>
      <c r="F19">
        <v>0.77451352825451603</v>
      </c>
      <c r="G19">
        <f t="shared" si="0"/>
        <v>0.58372099686119805</v>
      </c>
    </row>
    <row r="20" spans="1:7" x14ac:dyDescent="0.35">
      <c r="A20">
        <v>2012</v>
      </c>
      <c r="B20">
        <v>0.70526996025033895</v>
      </c>
      <c r="C20">
        <v>0.76</v>
      </c>
      <c r="D20">
        <v>0.280921648815044</v>
      </c>
      <c r="E20">
        <v>0.56711177230851495</v>
      </c>
      <c r="F20">
        <v>0.65592775027111605</v>
      </c>
      <c r="G20">
        <f t="shared" si="0"/>
        <v>0.57832584534347453</v>
      </c>
    </row>
    <row r="21" spans="1:7" x14ac:dyDescent="0.35">
      <c r="A21">
        <v>2013</v>
      </c>
      <c r="B21">
        <v>0.68865808289066799</v>
      </c>
      <c r="C21">
        <v>0.75119004921487498</v>
      </c>
      <c r="D21">
        <v>0.290625616777624</v>
      </c>
      <c r="E21">
        <v>0.50116299058359504</v>
      </c>
      <c r="F21">
        <v>0.62286846958503705</v>
      </c>
      <c r="G21">
        <f t="shared" si="0"/>
        <v>0.5579091848666905</v>
      </c>
    </row>
    <row r="22" spans="1:7" x14ac:dyDescent="0.35">
      <c r="A22">
        <v>2014</v>
      </c>
      <c r="B22">
        <v>0.71154119597027898</v>
      </c>
      <c r="C22">
        <v>0.77403071738267604</v>
      </c>
      <c r="D22">
        <v>0.31677698806661198</v>
      </c>
      <c r="E22">
        <v>0.46481422923223498</v>
      </c>
      <c r="F22">
        <v>0.53060384253786597</v>
      </c>
      <c r="G22">
        <f t="shared" si="0"/>
        <v>0.56679078266295047</v>
      </c>
    </row>
    <row r="23" spans="1:7" x14ac:dyDescent="0.35">
      <c r="A23">
        <v>2015</v>
      </c>
      <c r="B23">
        <v>0.60280263752681895</v>
      </c>
      <c r="C23">
        <v>0.73109238347280003</v>
      </c>
      <c r="D23">
        <v>0.32648626164316902</v>
      </c>
      <c r="E23">
        <v>0.458060182640455</v>
      </c>
      <c r="F23">
        <v>0.45149183253784397</v>
      </c>
      <c r="G23">
        <f t="shared" si="0"/>
        <v>0.52961036632081071</v>
      </c>
    </row>
    <row r="24" spans="1:7" x14ac:dyDescent="0.35">
      <c r="A24">
        <v>2016</v>
      </c>
      <c r="F24">
        <v>0.56974335684073996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8AA1-20C7-4AF0-8552-AAAE88FF8E96}">
  <dimension ref="A1:F29"/>
  <sheetViews>
    <sheetView tabSelected="1" workbookViewId="0">
      <selection activeCell="B5" sqref="B5"/>
    </sheetView>
  </sheetViews>
  <sheetFormatPr defaultRowHeight="14.5" x14ac:dyDescent="0.35"/>
  <cols>
    <col min="1" max="1" width="4.81640625" bestFit="1" customWidth="1"/>
    <col min="2" max="2" width="17.54296875" bestFit="1" customWidth="1"/>
    <col min="3" max="3" width="18.36328125" bestFit="1" customWidth="1"/>
    <col min="4" max="4" width="17" bestFit="1" customWidth="1"/>
    <col min="5" max="5" width="7.36328125" bestFit="1" customWidth="1"/>
    <col min="6" max="6" width="8.7265625" bestFit="1" customWidth="1"/>
  </cols>
  <sheetData>
    <row r="1" spans="1:6" x14ac:dyDescent="0.35">
      <c r="A1" s="4" t="s">
        <v>43</v>
      </c>
      <c r="B1" t="s">
        <v>46</v>
      </c>
      <c r="C1" t="s">
        <v>45</v>
      </c>
      <c r="D1" t="s">
        <v>44</v>
      </c>
      <c r="E1" t="s">
        <v>47</v>
      </c>
      <c r="F1" t="s">
        <v>48</v>
      </c>
    </row>
    <row r="2" spans="1:6" x14ac:dyDescent="0.35">
      <c r="A2" s="3">
        <v>1994</v>
      </c>
      <c r="B2">
        <v>8533.0191916188196</v>
      </c>
      <c r="C2">
        <f t="shared" ref="C2:C29" si="0">D2-B2</f>
        <v>796.02900473500085</v>
      </c>
      <c r="D2">
        <v>9329.0481963538205</v>
      </c>
      <c r="E2" s="2">
        <f>B2/$D2</f>
        <v>0.91467200211848809</v>
      </c>
      <c r="F2" s="2">
        <f>C2/$D2</f>
        <v>8.5327997881511866E-2</v>
      </c>
    </row>
    <row r="3" spans="1:6" x14ac:dyDescent="0.35">
      <c r="A3" s="3">
        <v>1995</v>
      </c>
      <c r="B3">
        <v>8849.7838369512992</v>
      </c>
      <c r="C3">
        <f t="shared" si="0"/>
        <v>995.44799505913033</v>
      </c>
      <c r="D3">
        <v>9845.2318320104296</v>
      </c>
      <c r="E3" s="2">
        <f t="shared" ref="E3:E29" si="1">B3/$D3</f>
        <v>0.89889034488527053</v>
      </c>
      <c r="F3" s="2">
        <f t="shared" ref="F3:F29" si="2">C3/$D3</f>
        <v>0.10110965511472943</v>
      </c>
    </row>
    <row r="4" spans="1:6" x14ac:dyDescent="0.35">
      <c r="A4" s="3">
        <v>1996</v>
      </c>
      <c r="B4">
        <v>9445.5703730814093</v>
      </c>
      <c r="C4">
        <f t="shared" si="0"/>
        <v>1392.9135119060902</v>
      </c>
      <c r="D4">
        <v>10838.4838849875</v>
      </c>
      <c r="E4" s="2">
        <f t="shared" si="1"/>
        <v>0.87148446898228726</v>
      </c>
      <c r="F4" s="2">
        <f t="shared" si="2"/>
        <v>0.12851553101771271</v>
      </c>
    </row>
    <row r="5" spans="1:6" x14ac:dyDescent="0.35">
      <c r="A5" s="3">
        <v>1997</v>
      </c>
      <c r="B5">
        <v>9523.5263169933805</v>
      </c>
      <c r="C5">
        <f t="shared" si="0"/>
        <v>1790.9280142736188</v>
      </c>
      <c r="D5">
        <v>11314.454331266999</v>
      </c>
      <c r="E5" s="2">
        <f t="shared" si="1"/>
        <v>0.84171326677907321</v>
      </c>
      <c r="F5" s="2">
        <f t="shared" si="2"/>
        <v>0.15828673322092676</v>
      </c>
    </row>
    <row r="6" spans="1:6" x14ac:dyDescent="0.35">
      <c r="A6" s="3">
        <v>1998</v>
      </c>
      <c r="B6">
        <v>10039.572706269801</v>
      </c>
      <c r="C6">
        <f t="shared" si="0"/>
        <v>1989.7980190772996</v>
      </c>
      <c r="D6">
        <v>12029.3707253471</v>
      </c>
      <c r="E6" s="2">
        <f t="shared" si="1"/>
        <v>0.83458835341365001</v>
      </c>
      <c r="F6" s="2">
        <f t="shared" si="2"/>
        <v>0.16541164658635002</v>
      </c>
    </row>
    <row r="7" spans="1:6" x14ac:dyDescent="0.35">
      <c r="A7" s="3">
        <v>1999</v>
      </c>
      <c r="B7">
        <v>10236.795754511901</v>
      </c>
      <c r="C7">
        <f t="shared" si="0"/>
        <v>2348.4228103484002</v>
      </c>
      <c r="D7">
        <v>12585.218564860301</v>
      </c>
      <c r="E7" s="2">
        <f t="shared" si="1"/>
        <v>0.81339832929834632</v>
      </c>
      <c r="F7" s="2">
        <f t="shared" si="2"/>
        <v>0.18660167070165368</v>
      </c>
    </row>
    <row r="8" spans="1:6" x14ac:dyDescent="0.35">
      <c r="A8" s="3">
        <v>2000</v>
      </c>
      <c r="B8">
        <v>10713.0406935517</v>
      </c>
      <c r="C8">
        <f t="shared" si="0"/>
        <v>1913.8115607200398</v>
      </c>
      <c r="D8">
        <f>D7+((D9-D7)/20)</f>
        <v>12626.85225427174</v>
      </c>
      <c r="E8" s="2">
        <f t="shared" si="1"/>
        <v>0.84843320233888175</v>
      </c>
      <c r="F8" s="2">
        <f t="shared" si="2"/>
        <v>0.15156679766111825</v>
      </c>
    </row>
    <row r="9" spans="1:6" x14ac:dyDescent="0.35">
      <c r="A9" s="3">
        <v>2001</v>
      </c>
      <c r="B9">
        <v>10830.935334080499</v>
      </c>
      <c r="C9">
        <f t="shared" si="0"/>
        <v>2586.9570190086015</v>
      </c>
      <c r="D9">
        <v>13417.892353089101</v>
      </c>
      <c r="E9" s="2">
        <f t="shared" si="1"/>
        <v>0.80720094103206708</v>
      </c>
      <c r="F9" s="2">
        <f t="shared" si="2"/>
        <v>0.1927990589679329</v>
      </c>
    </row>
    <row r="10" spans="1:6" x14ac:dyDescent="0.35">
      <c r="A10" s="3">
        <v>2002</v>
      </c>
      <c r="B10">
        <v>10670.082576572</v>
      </c>
      <c r="C10">
        <f t="shared" si="0"/>
        <v>2666.6971658622006</v>
      </c>
      <c r="D10">
        <v>13336.779742434201</v>
      </c>
      <c r="E10" s="2">
        <f t="shared" si="1"/>
        <v>0.80004939592895452</v>
      </c>
      <c r="F10" s="2">
        <f t="shared" si="2"/>
        <v>0.19995060407104545</v>
      </c>
    </row>
    <row r="11" spans="1:6" x14ac:dyDescent="0.35">
      <c r="A11" s="3">
        <v>2003</v>
      </c>
      <c r="B11">
        <v>10787.977217100901</v>
      </c>
      <c r="C11">
        <f t="shared" si="0"/>
        <v>2746.1628199555998</v>
      </c>
      <c r="D11">
        <v>13534.140037056501</v>
      </c>
      <c r="E11" s="2">
        <f t="shared" si="1"/>
        <v>0.79709366000081272</v>
      </c>
      <c r="F11" s="2">
        <f t="shared" si="2"/>
        <v>0.20290633999918731</v>
      </c>
    </row>
    <row r="12" spans="1:6" x14ac:dyDescent="0.35">
      <c r="A12" s="3">
        <v>2004</v>
      </c>
      <c r="B12">
        <v>11741.839558981599</v>
      </c>
      <c r="C12">
        <f t="shared" si="0"/>
        <v>2666.4226731020008</v>
      </c>
      <c r="D12">
        <v>14408.2622320836</v>
      </c>
      <c r="E12" s="2">
        <f t="shared" si="1"/>
        <v>0.81493794115125529</v>
      </c>
      <c r="F12" s="2">
        <f t="shared" si="2"/>
        <v>0.18506205884874469</v>
      </c>
    </row>
    <row r="13" spans="1:6" x14ac:dyDescent="0.35">
      <c r="A13" s="3">
        <v>2005</v>
      </c>
      <c r="B13">
        <v>12058.604204314101</v>
      </c>
      <c r="C13">
        <f t="shared" si="0"/>
        <v>2666.422673101999</v>
      </c>
      <c r="D13">
        <v>14725.0268774161</v>
      </c>
      <c r="E13" s="2">
        <f t="shared" si="1"/>
        <v>0.81891899449151329</v>
      </c>
      <c r="F13" s="2">
        <f t="shared" si="2"/>
        <v>0.18108100550848666</v>
      </c>
    </row>
    <row r="14" spans="1:6" x14ac:dyDescent="0.35">
      <c r="A14" s="3">
        <v>2006</v>
      </c>
      <c r="B14">
        <v>11977.491593659201</v>
      </c>
      <c r="C14">
        <f t="shared" si="0"/>
        <v>2825.6284740489991</v>
      </c>
      <c r="D14">
        <v>14803.1200677082</v>
      </c>
      <c r="E14" s="2">
        <f t="shared" si="1"/>
        <v>0.80911939772664021</v>
      </c>
      <c r="F14" s="2">
        <f t="shared" si="2"/>
        <v>0.19088060227335976</v>
      </c>
    </row>
    <row r="15" spans="1:6" x14ac:dyDescent="0.35">
      <c r="A15" s="3">
        <v>2007</v>
      </c>
      <c r="B15">
        <v>12294.3934853718</v>
      </c>
      <c r="C15">
        <f t="shared" si="0"/>
        <v>3024.7729716127997</v>
      </c>
      <c r="D15">
        <v>15319.1664569846</v>
      </c>
      <c r="E15" s="2">
        <f t="shared" si="1"/>
        <v>0.80254976795857658</v>
      </c>
      <c r="F15" s="2">
        <f t="shared" si="2"/>
        <v>0.19745023204142342</v>
      </c>
    </row>
    <row r="16" spans="1:6" x14ac:dyDescent="0.35">
      <c r="A16" s="3">
        <v>2008</v>
      </c>
      <c r="B16">
        <v>12292.883775190399</v>
      </c>
      <c r="C16">
        <f t="shared" si="0"/>
        <v>3024.7729716129015</v>
      </c>
      <c r="D16">
        <v>15317.656746803301</v>
      </c>
      <c r="E16" s="2">
        <f t="shared" si="1"/>
        <v>0.80253030723879137</v>
      </c>
      <c r="F16" s="2">
        <f t="shared" si="2"/>
        <v>0.19746969276120857</v>
      </c>
    </row>
    <row r="17" spans="1:6" x14ac:dyDescent="0.35">
      <c r="A17" s="3">
        <v>2009</v>
      </c>
      <c r="B17">
        <v>12490.518562572899</v>
      </c>
      <c r="C17">
        <f t="shared" si="0"/>
        <v>3303.2458768900015</v>
      </c>
      <c r="D17">
        <v>15793.764439462901</v>
      </c>
      <c r="E17" s="2">
        <f t="shared" si="1"/>
        <v>0.79085126351280854</v>
      </c>
      <c r="F17" s="2">
        <f t="shared" si="2"/>
        <v>0.20914873648719146</v>
      </c>
    </row>
    <row r="18" spans="1:6" x14ac:dyDescent="0.35">
      <c r="A18" s="3">
        <v>2010</v>
      </c>
      <c r="B18">
        <v>12488.8716060113</v>
      </c>
      <c r="C18">
        <f t="shared" si="0"/>
        <v>3303.1283939886998</v>
      </c>
      <c r="D18">
        <v>15792</v>
      </c>
      <c r="E18" s="2">
        <f t="shared" si="1"/>
        <v>0.79083533472715928</v>
      </c>
      <c r="F18" s="2">
        <f t="shared" si="2"/>
        <v>0.20916466527284067</v>
      </c>
    </row>
    <row r="19" spans="1:6" x14ac:dyDescent="0.35">
      <c r="A19" s="3">
        <v>2011</v>
      </c>
      <c r="B19">
        <v>12288.217398266101</v>
      </c>
      <c r="C19">
        <f t="shared" si="0"/>
        <v>3502.3903744538002</v>
      </c>
      <c r="D19">
        <v>15790.607772719901</v>
      </c>
      <c r="E19" s="2">
        <f t="shared" si="1"/>
        <v>0.77819787402327956</v>
      </c>
      <c r="F19" s="2">
        <f t="shared" si="2"/>
        <v>0.22180212597672042</v>
      </c>
    </row>
    <row r="20" spans="1:6" x14ac:dyDescent="0.35">
      <c r="A20" s="3">
        <v>2012</v>
      </c>
      <c r="B20">
        <v>12923.393645492501</v>
      </c>
      <c r="C20">
        <f t="shared" si="0"/>
        <v>3542.3290710708006</v>
      </c>
      <c r="D20">
        <v>16465.722716563301</v>
      </c>
      <c r="E20" s="2">
        <f t="shared" si="1"/>
        <v>0.78486646884272626</v>
      </c>
      <c r="F20" s="2">
        <f t="shared" si="2"/>
        <v>0.21513353115727371</v>
      </c>
    </row>
    <row r="21" spans="1:6" x14ac:dyDescent="0.35">
      <c r="A21" s="3">
        <v>2013</v>
      </c>
      <c r="B21">
        <v>14235.6062858842</v>
      </c>
      <c r="C21">
        <f t="shared" si="0"/>
        <v>3741.0618294942014</v>
      </c>
      <c r="D21">
        <v>17976.668115378401</v>
      </c>
      <c r="E21" s="2">
        <f t="shared" si="1"/>
        <v>0.7918934807338488</v>
      </c>
      <c r="F21" s="2">
        <f t="shared" si="2"/>
        <v>0.2081065192661512</v>
      </c>
    </row>
    <row r="22" spans="1:6" x14ac:dyDescent="0.35">
      <c r="A22" s="3">
        <v>2014</v>
      </c>
      <c r="B22">
        <v>14313.424983416</v>
      </c>
      <c r="C22">
        <f t="shared" si="0"/>
        <v>3940.3435734382983</v>
      </c>
      <c r="D22">
        <v>18253.768556854298</v>
      </c>
      <c r="E22" s="2">
        <f t="shared" si="1"/>
        <v>0.78413533834586191</v>
      </c>
      <c r="F22" s="2">
        <f t="shared" si="2"/>
        <v>0.21586466165413812</v>
      </c>
    </row>
    <row r="23" spans="1:6" x14ac:dyDescent="0.35">
      <c r="A23" s="3">
        <v>2015</v>
      </c>
      <c r="B23">
        <v>15028.478623876201</v>
      </c>
      <c r="C23">
        <f t="shared" si="0"/>
        <v>3940.0690806779985</v>
      </c>
      <c r="D23">
        <v>18968.547704554199</v>
      </c>
      <c r="E23" s="2">
        <f t="shared" si="1"/>
        <v>0.79228409354017026</v>
      </c>
      <c r="F23" s="2">
        <f t="shared" si="2"/>
        <v>0.20771590645982976</v>
      </c>
    </row>
    <row r="24" spans="1:6" x14ac:dyDescent="0.35">
      <c r="A24" s="3">
        <v>2016</v>
      </c>
      <c r="B24">
        <v>16300.4780748907</v>
      </c>
      <c r="C24">
        <f t="shared" si="0"/>
        <v>3860.6034265847011</v>
      </c>
      <c r="D24">
        <v>20161.081501475401</v>
      </c>
      <c r="E24" s="2">
        <f t="shared" si="1"/>
        <v>0.80851208670020114</v>
      </c>
      <c r="F24" s="2">
        <f t="shared" si="2"/>
        <v>0.19148791329979892</v>
      </c>
    </row>
    <row r="25" spans="1:6" x14ac:dyDescent="0.35">
      <c r="A25" s="3">
        <v>2017</v>
      </c>
      <c r="B25">
        <v>16060.434156049099</v>
      </c>
      <c r="C25">
        <f t="shared" si="0"/>
        <v>3781.0005261111019</v>
      </c>
      <c r="D25">
        <v>19841.434682160201</v>
      </c>
      <c r="E25" s="2">
        <f t="shared" si="1"/>
        <v>0.80943915665984234</v>
      </c>
      <c r="F25" s="2">
        <f t="shared" si="2"/>
        <v>0.19056084334015772</v>
      </c>
    </row>
    <row r="26" spans="1:6" x14ac:dyDescent="0.35">
      <c r="A26" s="3">
        <v>2018</v>
      </c>
      <c r="B26">
        <v>16496.465905711699</v>
      </c>
      <c r="C26">
        <f t="shared" si="0"/>
        <v>3860.6034265846029</v>
      </c>
      <c r="D26">
        <v>20357.069332296302</v>
      </c>
      <c r="E26" s="2">
        <f t="shared" si="1"/>
        <v>0.81035563795718912</v>
      </c>
      <c r="F26" s="2">
        <f t="shared" si="2"/>
        <v>0.1896443620428109</v>
      </c>
    </row>
    <row r="27" spans="1:6" x14ac:dyDescent="0.35">
      <c r="A27" s="3">
        <v>2019</v>
      </c>
      <c r="B27">
        <v>16335.7503945833</v>
      </c>
      <c r="C27">
        <f t="shared" si="0"/>
        <v>4079.511402886752</v>
      </c>
      <c r="D27">
        <f>D26+((D28-D26)/2)</f>
        <v>20415.261797470052</v>
      </c>
      <c r="E27" s="2">
        <f t="shared" si="1"/>
        <v>0.80017344654417788</v>
      </c>
      <c r="F27" s="2">
        <f t="shared" si="2"/>
        <v>0.19982655345582209</v>
      </c>
    </row>
    <row r="28" spans="1:6" x14ac:dyDescent="0.35">
      <c r="A28" s="3">
        <v>2020</v>
      </c>
      <c r="B28">
        <v>16413.7063384953</v>
      </c>
      <c r="C28">
        <f t="shared" si="0"/>
        <v>4059.7479241485016</v>
      </c>
      <c r="D28">
        <v>20473.454262643801</v>
      </c>
      <c r="E28" s="2">
        <f t="shared" si="1"/>
        <v>0.80170674317738444</v>
      </c>
      <c r="F28" s="2">
        <f t="shared" si="2"/>
        <v>0.19829325682261562</v>
      </c>
    </row>
    <row r="29" spans="1:6" x14ac:dyDescent="0.35">
      <c r="A29" s="3">
        <v>2021</v>
      </c>
      <c r="B29">
        <v>17088.821282338598</v>
      </c>
      <c r="C29">
        <f t="shared" si="0"/>
        <v>3821.0764691082004</v>
      </c>
      <c r="D29">
        <v>20909.897751446799</v>
      </c>
      <c r="E29" s="2">
        <f t="shared" si="1"/>
        <v>0.81725991611585891</v>
      </c>
      <c r="F29" s="2">
        <f t="shared" si="2"/>
        <v>0.18274008388414106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oregradeovertime</vt:lpstr>
      <vt:lpstr>pyrovshydro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2022-12-12T17:44:04Z</dcterms:created>
  <dcterms:modified xsi:type="dcterms:W3CDTF">2023-08-10T22:58:13Z</dcterms:modified>
</cp:coreProperties>
</file>