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 and Outputs" sheetId="1" r:id="rId1"/>
    <sheet name="Optimal Cash Flow" sheetId="2" r:id="rId2"/>
    <sheet name="BAU Cash Flow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<sst xmlns="http://schemas.openxmlformats.org/spreadsheetml/2006/main" count="532" uniqueCount="296">
  <si>
    <t>Results Summary and Inputs</t>
  </si>
  <si>
    <t>OPTIMAL SYSTEM DESIGN (with existing)</t>
  </si>
  <si>
    <t>PV Nameplate capacity (kW), purchased</t>
  </si>
  <si>
    <t>PV Nameplate capacity (kW), existing</t>
  </si>
  <si>
    <t>PV degradation rate (%/year)</t>
  </si>
  <si>
    <t>PV LCOE of New Capacity ($/kWh), nominal</t>
  </si>
  <si>
    <t>Wind Nameplate capacity (kW), purchased</t>
  </si>
  <si>
    <t>Wind LCOE ($/kWh), nominal</t>
  </si>
  <si>
    <t>Backup Generator Nameplate capacity (kW), purchased</t>
  </si>
  <si>
    <t>Backup Generator Nameplate capacity (kW), existing</t>
  </si>
  <si>
    <t>Battery power (kW)</t>
  </si>
  <si>
    <t>Battery capacity (kWh)</t>
  </si>
  <si>
    <t>CHP capacity (kW)</t>
  </si>
  <si>
    <t>Absorption chiller capacity (tons)</t>
  </si>
  <si>
    <t>Chilled water TES capacity (gallons)</t>
  </si>
  <si>
    <t>Hot water TES capacity (gallons)</t>
  </si>
  <si>
    <t>Steam turbine capacity (kW)</t>
  </si>
  <si>
    <t>GHP heat pump capacity (ton)</t>
  </si>
  <si>
    <t>GHP ground heat exchanger size (ft)</t>
  </si>
  <si>
    <t>ANNUAL RESULTS</t>
  </si>
  <si>
    <t>Present value of annual Business as Usual electric utility bill ($/year)</t>
  </si>
  <si>
    <t>Present value of annual Business as Usual export credits ($/year)</t>
  </si>
  <si>
    <t>Present value of annual Optimal electric utility bill($/year)</t>
  </si>
  <si>
    <t>Present value of annual Optimal export credits ($/year)</t>
  </si>
  <si>
    <t>Existing PV electricity produced (kWh), Year 1</t>
  </si>
  <si>
    <t>Total PV optimal electricity produced (kWh), Year 1</t>
  </si>
  <si>
    <t>PV optimal electricity produced (kWh), Annual Average</t>
  </si>
  <si>
    <t>Nominal annual optimal wind electricity produced (kWh/year)</t>
  </si>
  <si>
    <t>Nominal annual optimal backup generator electricity produced (kWh/year)</t>
  </si>
  <si>
    <t>CHP annual optimal electricity produced (kWh/year)</t>
  </si>
  <si>
    <t>CHP annual runtime (hours/year)</t>
  </si>
  <si>
    <t>Steam turbine annual optimal electricity produced (kWh/year)</t>
  </si>
  <si>
    <t>Total optimal electricity produced (kWh/year)</t>
  </si>
  <si>
    <t>Present value of annual Business as Usual boiler fuels utility bill ($/year)</t>
  </si>
  <si>
    <t>Present value of annual Optimal boiler fuels utility bill ($/year)</t>
  </si>
  <si>
    <t>Present value of annual CHP fuels utility bill ($/year)</t>
  </si>
  <si>
    <t>CHP annual optimal thermal energy produced (MMBtu/year)</t>
  </si>
  <si>
    <t>Steam turbine annual optimal thermal energy produced (MMBtu/year)</t>
  </si>
  <si>
    <t>Percent electricity from on-site renewable resources</t>
  </si>
  <si>
    <t>Percent reduction in annual electricity bill</t>
  </si>
  <si>
    <t>Percent reduction in annual fuels bill</t>
  </si>
  <si>
    <t>Year one total site carbon dioxide emissions (ton CO2)</t>
  </si>
  <si>
    <t>Year one total site carbon dioxide emissions BAU (ton CO2)</t>
  </si>
  <si>
    <t>Year one total carbon dioxide emissions from electric utility purchases (ton CO2)</t>
  </si>
  <si>
    <t>Year one total carbon dioxide emissions from electric utility purchases BAU (ton CO2)</t>
  </si>
  <si>
    <t>Year one total carbon dioxide emissions from on-site fuel burn (ton CO2)</t>
  </si>
  <si>
    <t>Year one total carbon dioxide emissions from on-site fuel burn BAU (ton CO2)</t>
  </si>
  <si>
    <t>SYSTEM COSTS</t>
  </si>
  <si>
    <t>Total Installed Cost ($)</t>
  </si>
  <si>
    <t>PV Installed Cost ($)</t>
  </si>
  <si>
    <t>Wind Installed Cost ($)</t>
  </si>
  <si>
    <t>Backup generator Installed Cost ($)</t>
  </si>
  <si>
    <t>Battery Installed Cost ($)</t>
  </si>
  <si>
    <t>CHP Installed Cost ($)</t>
  </si>
  <si>
    <t>Absorption Chiller Installed Cost ($)</t>
  </si>
  <si>
    <t>Hot water TES Installed Cost ($)</t>
  </si>
  <si>
    <t>Chilled water TES Installed Cost ($)</t>
  </si>
  <si>
    <t>Steam turbine Installed Cost ($)</t>
  </si>
  <si>
    <t>GHP Installed Cost ($)</t>
  </si>
  <si>
    <t>Operation and Maintenance (O&amp;M)</t>
  </si>
  <si>
    <t>Fixed PV O&amp;M ($/kW-yr)</t>
  </si>
  <si>
    <t>Fixed Wind O&amp;M ($/kW-yr)</t>
  </si>
  <si>
    <t>Fixed Backup Generator O&amp;M ($/kW-yr)</t>
  </si>
  <si>
    <t>Variable Backup Generator O&amp;M ($/kWh)</t>
  </si>
  <si>
    <t>Diesel fuel used cost ($)</t>
  </si>
  <si>
    <t>Diesel BAU fuel used cost ($)</t>
  </si>
  <si>
    <t>Battery replacement cost ($/kW)</t>
  </si>
  <si>
    <t>Battery kW replacement year</t>
  </si>
  <si>
    <t>Battery replacement cost ($/kWh)</t>
  </si>
  <si>
    <t>Battery kWh replacement year</t>
  </si>
  <si>
    <t>Fixed CHP O&amp;M cost ($/kW-yr)</t>
  </si>
  <si>
    <t>Variable CHP O&amp;M cost ($/kWh)</t>
  </si>
  <si>
    <t>Runtime CHP O&amp;M cost ($/kW-rated/run-hour)</t>
  </si>
  <si>
    <t>Fixed Absorption Chiller O&amp;M cost ($/ton-yr)</t>
  </si>
  <si>
    <t>Fixed Chilled water TES O&amp;M cost ($/gallon-year)</t>
  </si>
  <si>
    <t>Fixed Hot water TES O&amp;M cost ($/gallon-year)</t>
  </si>
  <si>
    <t>Fixed Steam Turbine O&amp;M ($/kW-yr)</t>
  </si>
  <si>
    <t>Variable Steam Turbine O&amp;M ($/kWh)</t>
  </si>
  <si>
    <t>Fixed GHP O&amp;M ($/yr)</t>
  </si>
  <si>
    <t>ANALYSIS PARAMETERS</t>
  </si>
  <si>
    <t>Analysis period (years)</t>
  </si>
  <si>
    <t>Nominal O&amp;M cost escalation rate (%/year)</t>
  </si>
  <si>
    <t>Nominal electric utility cost escalation rate (%/year)</t>
  </si>
  <si>
    <t>Nominal boiler fuel cost escalation rate (%/year)</t>
  </si>
  <si>
    <t>Nominal CHP fuel cost escalation rate (%/year)</t>
  </si>
  <si>
    <t>Nominal discount rate (%/year)</t>
  </si>
  <si>
    <t>TAX AND INSURANCE PARAMETERS</t>
  </si>
  <si>
    <t>Federal income tax rate (%)</t>
  </si>
  <si>
    <t>PV TAX CREDITS</t>
  </si>
  <si>
    <t>Investment tax credit (ITC)</t>
  </si>
  <si>
    <t>As percentage</t>
  </si>
  <si>
    <t>Federal</t>
  </si>
  <si>
    <t>PV DIRECT CASH INCENTIVES</t>
  </si>
  <si>
    <t>Investment based incentive (IBI)</t>
  </si>
  <si>
    <t>State (% of total installed cost)</t>
  </si>
  <si>
    <t>Utility (% of total installed cost)</t>
  </si>
  <si>
    <t>Capacity based incentive (CBI)</t>
  </si>
  <si>
    <t>Federal ($/W)</t>
  </si>
  <si>
    <t>State  ($/W)</t>
  </si>
  <si>
    <t>Utility  ($/W)</t>
  </si>
  <si>
    <t>Production based incentive (PBI)</t>
  </si>
  <si>
    <t>Combined ($/kWh)</t>
  </si>
  <si>
    <t>WIND TAX CREDITS</t>
  </si>
  <si>
    <t>WIND DIRECT CASH INCENTIVES</t>
  </si>
  <si>
    <t>BATTERY TAX CREDITS</t>
  </si>
  <si>
    <t>BATTERY DIRECT CASH INCENTIVES</t>
  </si>
  <si>
    <t>Total ($/W)</t>
  </si>
  <si>
    <t>Total  ($/Wh)</t>
  </si>
  <si>
    <t>CHP TAX CREDITS</t>
  </si>
  <si>
    <t>CHP DIRECT CASH INCENTIVES</t>
  </si>
  <si>
    <t>GHP TAX CREDITS</t>
  </si>
  <si>
    <t>GHP DIRECT CASH INCENTIVES</t>
  </si>
  <si>
    <t>Federal ($/ton)</t>
  </si>
  <si>
    <t>State  ($/ton)</t>
  </si>
  <si>
    <t>Utility  ($/ton)</t>
  </si>
  <si>
    <t>DEPRECIATION</t>
  </si>
  <si>
    <t>Federal (years)</t>
  </si>
  <si>
    <t>Federal bonus fraction</t>
  </si>
  <si>
    <t>ANNUAL VALUES</t>
  </si>
  <si>
    <t>PV Annual electricity (kWh)</t>
  </si>
  <si>
    <t>Existing PV Annual electricity (kWh)</t>
  </si>
  <si>
    <t>Wind Annual electricity (kWh)</t>
  </si>
  <si>
    <t>Backup Generator Annual electricity (kWh)</t>
  </si>
  <si>
    <t>CHP Annual electricity (kWh)</t>
  </si>
  <si>
    <t>CHP Annual heat (MMBtu)</t>
  </si>
  <si>
    <t>Steam Turbine Annual electricity (kWh)</t>
  </si>
  <si>
    <t>Steam Turbine Annual heat (MMBtu)</t>
  </si>
  <si>
    <t>PV Federal depreciation percentages (fraction)</t>
  </si>
  <si>
    <t>Wind Federal depreciation percentages (fraction)</t>
  </si>
  <si>
    <t>Battery Federal depreciation percentages (fraction)</t>
  </si>
  <si>
    <t>CHP Federal depreciation percentages (fraction)</t>
  </si>
  <si>
    <t>Absorption Chiller Federal depreciation percentages (fraction)</t>
  </si>
  <si>
    <t>Hot TES Federal depreciation percentages (fraction)</t>
  </si>
  <si>
    <t>Cold TES Federal depreciation percentages (fraction)</t>
  </si>
  <si>
    <t>Steam turbine Federal depreciation percentages (fraction)</t>
  </si>
  <si>
    <t>GHP Federal depreciation percentages (fraction)</t>
  </si>
  <si>
    <t>Free Cash Flow</t>
  </si>
  <si>
    <t>Cumulative Free Cash Flow</t>
  </si>
  <si>
    <t>RESULTS</t>
  </si>
  <si>
    <t>Business as usual LCC, $</t>
  </si>
  <si>
    <t>Optimal LCC, $</t>
  </si>
  <si>
    <t>NPV, $</t>
  </si>
  <si>
    <t>IRR, %</t>
  </si>
  <si>
    <t>Simple Payback Period, years</t>
  </si>
  <si>
    <t>NOTE: A negative LCC indicates a profit (for example when production based incentives are greater than costs.</t>
  </si>
  <si>
    <t>NOTE: This NPV can differ slightly (&lt;1%) from the Webtool/API results due to rounding and the tolerance in the optimizer.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</si>
  <si>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</si>
  <si>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</si>
  <si>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</si>
  <si>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</si>
  <si>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</si>
  <si>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</si>
  <si>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</si>
  <si>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</si>
  <si>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</si>
  <si>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</si>
  <si>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</si>
  <si>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</si>
  <si>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</si>
  <si>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</si>
  <si>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</si>
  <si>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</si>
  <si>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</si>
  <si>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</si>
  <si>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</si>
  <si>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</si>
  <si>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</si>
  <si>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</si>
  <si>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</si>
  <si>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</si>
  <si>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</si>
  <si>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</si>
  <si>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Reduces depreciation</t>
  </si>
  <si>
    <t>%</t>
  </si>
  <si>
    <t>Maximum</t>
  </si>
  <si>
    <t>Incentive is taxable</t>
  </si>
  <si>
    <t>Reduces depreciation and ITC basis</t>
  </si>
  <si>
    <t>Maximum ($)</t>
  </si>
  <si>
    <t>Amount ($/W)</t>
  </si>
  <si>
    <t>Amount ($/kWh)</t>
  </si>
  <si>
    <t>Maximum ($/year)</t>
  </si>
  <si>
    <t>Federal taxable</t>
  </si>
  <si>
    <t>Term (years)</t>
  </si>
  <si>
    <t>System size limit (kW)</t>
  </si>
  <si>
    <t>PV</t>
  </si>
  <si>
    <t>BATTERY</t>
  </si>
  <si>
    <t>WIND</t>
  </si>
  <si>
    <t>CHP</t>
  </si>
  <si>
    <t>Absorption Chiller</t>
  </si>
  <si>
    <t>Hot TES</t>
  </si>
  <si>
    <t>Cold TES</t>
  </si>
  <si>
    <t>SteamTurbine</t>
  </si>
  <si>
    <t>GHP</t>
  </si>
  <si>
    <t>MACRS SCHEDULES (INFORMATIONAL ONLY)</t>
  </si>
  <si>
    <t>Year</t>
  </si>
  <si>
    <t>5-Year</t>
  </si>
  <si>
    <t>7-Year</t>
  </si>
  <si>
    <t>Yes</t>
  </si>
  <si>
    <t>No</t>
  </si>
  <si>
    <t>Optimal Cash Flow</t>
  </si>
  <si>
    <t>Operating Year</t>
  </si>
  <si>
    <t>Operating Expenses</t>
  </si>
  <si>
    <t>Electricity bill with system before export credits</t>
  </si>
  <si>
    <t>Export credits with system</t>
  </si>
  <si>
    <t>Boiler fuel bill with system</t>
  </si>
  <si>
    <t>CHP fuel bill</t>
  </si>
  <si>
    <t>New PV fixed O&amp;M cost</t>
  </si>
  <si>
    <t>Existing PV fixed O&amp;M cost</t>
  </si>
  <si>
    <t>Wind fixed O&amp;M cost</t>
  </si>
  <si>
    <t>Generator fixed O&amp;M cost</t>
  </si>
  <si>
    <t>Generator variable O&amp;M cost</t>
  </si>
  <si>
    <t>Generator diesel fuel cost ($)</t>
  </si>
  <si>
    <t xml:space="preserve">Battery kW replacement cost </t>
  </si>
  <si>
    <t xml:space="preserve">Battery kWh replacement cost </t>
  </si>
  <si>
    <t>CHP fixed O&amp;M cost</t>
  </si>
  <si>
    <t>CHP variable generation O&amp;M cost</t>
  </si>
  <si>
    <t>CHP runtime O&amp;M cost</t>
  </si>
  <si>
    <t>Absorption Chiller fixed O&amp;M cost</t>
  </si>
  <si>
    <t>Chilled water TES fixed O&amp;M cost</t>
  </si>
  <si>
    <t>Hot water TES fixed O&amp;M cost</t>
  </si>
  <si>
    <t>Steam turbine fixed O&amp;M cost</t>
  </si>
  <si>
    <t>Steam turbine variable generation O&amp;M cost</t>
  </si>
  <si>
    <t>GHP fixed O&amp;M cost</t>
  </si>
  <si>
    <t>Total operating expenses</t>
  </si>
  <si>
    <t>Tax deductible operating expenses</t>
  </si>
  <si>
    <t>Direct Cash Incentives</t>
  </si>
  <si>
    <t>PV Investment-based incentives (IBI)</t>
  </si>
  <si>
    <t>State IBI</t>
  </si>
  <si>
    <t>Utility IBI</t>
  </si>
  <si>
    <t>Total</t>
  </si>
  <si>
    <t>PV Capacity-based incentives (CBI)</t>
  </si>
  <si>
    <t>Federal CBI</t>
  </si>
  <si>
    <t>State CBI</t>
  </si>
  <si>
    <t>Utility CBI</t>
  </si>
  <si>
    <t>Wind Investment-based incentives (IBI)</t>
  </si>
  <si>
    <t>Wind Capacity-based incentives (CBI)</t>
  </si>
  <si>
    <t>Battery Investment-based incentives (IBI)</t>
  </si>
  <si>
    <t>Battery Capacity-based incentives (CBI)</t>
  </si>
  <si>
    <t>Total Power (per kW) CBI</t>
  </si>
  <si>
    <t>Total Storage Capacity (per kWh) CBI</t>
  </si>
  <si>
    <t>CHP Investment-based incentives (IBI)</t>
  </si>
  <si>
    <t>CHP Capacity-based incentives (CBI)</t>
  </si>
  <si>
    <t>Total CBI and IBI</t>
  </si>
  <si>
    <t>GHP Investment-based incentives (IBI)</t>
  </si>
  <si>
    <t>GHP Capacity-based incentives (CBI)</t>
  </si>
  <si>
    <t>Production-based incentives (PBI)</t>
  </si>
  <si>
    <t>New PV Combined PBI</t>
  </si>
  <si>
    <t>Existing PV Combined PBI</t>
  </si>
  <si>
    <t>Wind Combined PBI</t>
  </si>
  <si>
    <t>CHP Combined PBI</t>
  </si>
  <si>
    <t>Total taxable cash incentives</t>
  </si>
  <si>
    <t>Total non-taxable cash incentives</t>
  </si>
  <si>
    <t>Capital Depreciation</t>
  </si>
  <si>
    <t>PV Depreciation, Commercial only</t>
  </si>
  <si>
    <t>Percentage</t>
  </si>
  <si>
    <t>Bonus Basis</t>
  </si>
  <si>
    <t>Basis</t>
  </si>
  <si>
    <t>Amount</t>
  </si>
  <si>
    <t>Wind Depreciation, Commercial only</t>
  </si>
  <si>
    <t>Battery Depreciation, Commercial only</t>
  </si>
  <si>
    <t>CHP Depreciation, Commercial only</t>
  </si>
  <si>
    <t>Absorption Chiller Depreciation, Commercial only</t>
  </si>
  <si>
    <t>Hot TES Depreciation, Commercial only</t>
  </si>
  <si>
    <t>Cold TES Depreciation, Commercial only</t>
  </si>
  <si>
    <t>Steam Turbine Depreciation, Commercial only</t>
  </si>
  <si>
    <t>GHP Depreciation, Commercial only</t>
  </si>
  <si>
    <t>Total depreciation</t>
  </si>
  <si>
    <t>Tax benefits for LCOE Calculations</t>
  </si>
  <si>
    <t>PV income tax savings, $</t>
  </si>
  <si>
    <t>Wind income tax savings, $</t>
  </si>
  <si>
    <t>Federal Investment Tax Credit</t>
  </si>
  <si>
    <t>Federal ITC basis: PV</t>
  </si>
  <si>
    <t>Federal ITC amount: PV</t>
  </si>
  <si>
    <t>Federal ITC basis: Wind</t>
  </si>
  <si>
    <t>Federal ITC amount: Wind</t>
  </si>
  <si>
    <t>Federal ITC basis: Battery</t>
  </si>
  <si>
    <t>Federal ITC amount: Battery</t>
  </si>
  <si>
    <t>Federal ITC basis: CHP</t>
  </si>
  <si>
    <t>Federal ITC amount: CHP</t>
  </si>
  <si>
    <t>Federal ITC basis: GHP</t>
  </si>
  <si>
    <t>Federal ITC amount: GHP</t>
  </si>
  <si>
    <t>Total Federal ITC</t>
  </si>
  <si>
    <t>Total Cash Flows</t>
  </si>
  <si>
    <t>Upfront Capital Cost</t>
  </si>
  <si>
    <t>Operating expenses, after-tax</t>
  </si>
  <si>
    <t>Total Cash incentives, after-tax</t>
  </si>
  <si>
    <t>Depreciation Tax Shield</t>
  </si>
  <si>
    <t>Investment Tax Credit</t>
  </si>
  <si>
    <t>Free Cash Flow before income</t>
  </si>
  <si>
    <t>Discounted Cash Flow</t>
  </si>
  <si>
    <t>Optimal Life Cycle Cost</t>
  </si>
  <si>
    <t>Business as Usual electricity bill ($)</t>
  </si>
  <si>
    <t>Business as Usual export credits ($)</t>
  </si>
  <si>
    <t>Business as Usual boiler fuel bill ($)</t>
  </si>
  <si>
    <t>Net Operating expenses, after-tax</t>
  </si>
  <si>
    <t>BAU Life Cycle Cost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</si>
</sst>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0"/>
    <numFmt numFmtId="166" formatCode="0.0"/>
  </numFmts>
  <fonts count="5">
    <font>
      <sz val="11"/>
      <color theme="1"/>
      <name val="Calibri"/>
      <family val="2"/>
      <scheme val="minor"/>
    </font>
    <font>
      <b/>
      <sz val="14"/>
      <color rgb="FFFFFFFF"/>
      <name val="Segoe U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AEC9E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4" fontId="3" fillId="0" borderId="0" xfId="0" applyNumberFormat="1" applyFont="1"/>
    <xf numFmtId="166" fontId="3" fillId="4" borderId="3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 indent="1"/>
    </xf>
    <xf numFmtId="0" fontId="2" fillId="3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left" indent="2"/>
    </xf>
    <xf numFmtId="11" fontId="3" fillId="0" borderId="3" xfId="0" applyNumberFormat="1" applyFont="1" applyBorder="1"/>
    <xf numFmtId="0" fontId="2" fillId="0" borderId="3" xfId="0" applyFont="1" applyBorder="1"/>
    <xf numFmtId="164" fontId="3" fillId="3" borderId="3" xfId="0" applyNumberFormat="1" applyFont="1" applyFill="1" applyBorder="1" applyAlignment="1">
      <alignment horizontal="center"/>
    </xf>
    <xf numFmtId="164" fontId="3" fillId="4" borderId="3" xfId="0" applyNumberFormat="1" applyFont="1" applyFill="1" applyBorder="1" applyAlignment="1">
      <alignment horizontal="center"/>
    </xf>
    <xf numFmtId="164" fontId="3" fillId="0" borderId="4" xfId="0" applyNumberFormat="1" applyFont="1" applyBorder="1"/>
    <xf numFmtId="0" fontId="4" fillId="2" borderId="0" xfId="0" applyFont="1" applyFill="1"/>
    <xf numFmtId="0" fontId="2" fillId="3" borderId="5" xfId="0" applyFont="1" applyFill="1" applyBorder="1"/>
    <xf numFmtId="0" fontId="2" fillId="3" borderId="4" xfId="0" applyFont="1" applyFill="1" applyBorder="1"/>
    <xf numFmtId="0" fontId="3" fillId="0" borderId="0" xfId="0" applyFont="1" applyAlignment="1">
      <alignment horizontal="left" indent="1"/>
    </xf>
    <xf numFmtId="166" fontId="3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"/>
  <sheetViews>
    <sheetView tabSelected="1" workbookViewId="0"/>
  </sheetViews>
  <sheetFormatPr defaultRowHeight="15"/>
  <cols>
    <col min="1" max="1" width="74.7109375" customWidth="1"/>
    <col min="2" max="2" width="15.42578125" customWidth="1"/>
    <col min="3" max="3" width="14" customWidth="1"/>
    <col min="4" max="5" width="24.5703125" customWidth="1"/>
    <col min="6" max="6" width="27.5703125" customWidth="1"/>
  </cols>
  <sheetData>
    <row r="1" spans="1:6">
      <c r="A1" s="1" t="s">
        <v>0</v>
      </c>
      <c r="B1" s="2"/>
    </row>
    <row r="2" spans="1:6">
      <c r="A2" s="3" t="s">
        <v>1</v>
      </c>
      <c r="B2" s="4"/>
    </row>
    <row r="3" spans="1:6">
      <c r="A3" s="5" t="s">
        <v>2</v>
      </c>
      <c r="B3" s="6">
        <v>30</v>
      </c>
    </row>
    <row r="4" spans="1:6">
      <c r="A4" s="5" t="s">
        <v>3</v>
      </c>
      <c r="B4" s="6">
        <v>20</v>
      </c>
    </row>
    <row r="5" spans="1:6">
      <c r="A5" s="5" t="s">
        <v>4</v>
      </c>
      <c r="B5" s="7">
        <v>0.5</v>
      </c>
      <c r="D5" s="3" t="s">
        <v>138</v>
      </c>
      <c r="E5" s="4"/>
    </row>
    <row r="6" spans="1:6">
      <c r="A6" s="5" t="s">
        <v>5</v>
      </c>
      <c r="B6" s="7">
        <f>ROUND((('Inputs and Outputs'!B52 + -1*(NPV('Inputs and Outputs'!B89/100,'Optimal Cash Flow'!C10:'Optimal Cash Flow'!AA10)) - SUM('Optimal Cash Flow'!B39,'Optimal Cash Flow'!B34,NPV('Inputs and Outputs'!B89/100,'Optimal Cash Flow'!C82:'Optimal Cash Flow'!AA82),NPV('Inputs and Outputs'!B89/100,'Optimal Cash Flow'!C143),NPV('Inputs and Outputs'!B89/100,'Optimal Cash Flow'!C138:'Optimal Cash Flow'!AA138))) ) / ((NPV('Inputs and Outputs'!B89/100,'Inputs and Outputs'!C182:'Inputs and Outputs'!AA182) - NPV('Inputs and Outputs'!B89/100,'Inputs and Outputs'!C183:'Inputs and Outputs'!AA183))), 4)</f>
        <v>0</v>
      </c>
      <c r="D6" s="5" t="s">
        <v>139</v>
      </c>
      <c r="E6" s="8">
        <f>-'BAU Cash Flow'!B24</f>
        <v>0</v>
      </c>
    </row>
    <row r="7" spans="1:6">
      <c r="A7" s="5" t="s">
        <v>6</v>
      </c>
      <c r="B7" s="6">
        <v>10</v>
      </c>
      <c r="D7" s="5" t="s">
        <v>140</v>
      </c>
      <c r="E7" s="8">
        <f>-'Optimal Cash Flow'!B162</f>
        <v>0</v>
      </c>
      <c r="F7" s="5" t="s">
        <v>144</v>
      </c>
    </row>
    <row r="8" spans="1:6">
      <c r="A8" s="5" t="s">
        <v>7</v>
      </c>
      <c r="B8">
        <f>ROUND((B53 + (-1 * NPV(B89/100,'Optimal Cash Flow'!C12:'Optimal Cash Flow'!AA12)) - SUM('Optimal Cash Flow'!B48,'Optimal Cash Flow'!B43,NPV(B89/100,'Optimal Cash Flow'!C84:'Optimal Cash Flow'!AA84),NPV(B89/100,'Optimal Cash Flow'!C145),NPV(B89/100,'Optimal Cash Flow'!C139:'Optimal Cash Flow'!AA139)))/ NPV(B89/100, C184:AA184),4)</f>
        <v>0</v>
      </c>
      <c r="D8" s="5" t="s">
        <v>141</v>
      </c>
      <c r="E8" s="8">
        <f>E6 - E7</f>
        <v>0</v>
      </c>
      <c r="F8" s="5" t="s">
        <v>145</v>
      </c>
    </row>
    <row r="9" spans="1:6">
      <c r="A9" s="5" t="s">
        <v>8</v>
      </c>
      <c r="B9" s="6">
        <v>28.08</v>
      </c>
      <c r="D9" s="5" t="s">
        <v>142</v>
      </c>
      <c r="E9">
        <f>IF(E8=0,"",IRR(B199:AA199, 'Inputs and Outputs'!B89/100))</f>
        <v>0</v>
      </c>
    </row>
    <row r="10" spans="1:6">
      <c r="A10" s="5" t="s">
        <v>9</v>
      </c>
      <c r="B10" s="6">
        <v>10</v>
      </c>
      <c r="D10" s="5" t="s">
        <v>143</v>
      </c>
      <c r="E10">
        <f>IF('Inputs and Outputs'!B200=0,"", IF('Inputs and Outputs'!AA200 &lt; 0, "Over 25", SUM(IF('Inputs and Outputs'!C200&lt;0,1,IF('Inputs and Outputs'!B200&gt;0,0,-'Inputs and Outputs'!B200/'Inputs and Outputs'!C199)), IF('Inputs and Outputs'!D200&lt;0,1,IF('Inputs and Outputs'!C200&gt;0,0,-'Inputs and Outputs'!C200/'Inputs and Outputs'!D199)), IF('Inputs and Outputs'!E200&lt;0,1,IF('Inputs and Outputs'!D200&gt;0,0,-'Inputs and Outputs'!D200/'Inputs and Outputs'!E199)), IF('Inputs and Outputs'!F200&lt;0,1,IF('Inputs and Outputs'!E200&gt;0,0,-'Inputs and Outputs'!E200/'Inputs and Outputs'!F199)), IF('Inputs and Outputs'!G200&lt;0,1,IF('Inputs and Outputs'!F200&gt;0,0,-'Inputs and Outputs'!F200/'Inputs and Outputs'!G199)), IF('Inputs and Outputs'!H200&lt;0,1,IF('Inputs and Outputs'!G200&gt;0,0,-'Inputs and Outputs'!G200/'Inputs and Outputs'!H199)), IF('Inputs and Outputs'!I200&lt;0,1,IF('Inputs and Outputs'!H200&gt;0,0,-'Inputs and Outputs'!H200/'Inputs and Outputs'!I199)), IF('Inputs and Outputs'!J200&lt;0,1,IF('Inputs and Outputs'!I200&gt;0,0,-'Inputs and Outputs'!I200/'Inputs and Outputs'!J199)), IF('Inputs and Outputs'!K200&lt;0,1,IF('Inputs and Outputs'!J200&gt;0,0,-'Inputs and Outputs'!J200/'Inputs and Outputs'!K199)), IF('Inputs and Outputs'!L200&lt;0,1,IF('Inputs and Outputs'!K200&gt;0,0,-'Inputs and Outputs'!K200/'Inputs and Outputs'!L199)), IF('Inputs and Outputs'!M200&lt;0,1,IF('Inputs and Outputs'!L200&gt;0,0,-'Inputs and Outputs'!L200/'Inputs and Outputs'!M199)), IF('Inputs and Outputs'!N200&lt;0,1,IF('Inputs and Outputs'!M200&gt;0,0,-'Inputs and Outputs'!M200/'Inputs and Outputs'!N199)), IF('Inputs and Outputs'!O200&lt;0,1,IF('Inputs and Outputs'!N200&gt;0,0,-'Inputs and Outputs'!N200/'Inputs and Outputs'!O199)), IF('Inputs and Outputs'!P200&lt;0,1,IF('Inputs and Outputs'!O200&gt;0,0,-'Inputs and Outputs'!O200/'Inputs and Outputs'!P199)), IF('Inputs and Outputs'!Q200&lt;0,1,IF('Inputs and Outputs'!P200&gt;0,0,-'Inputs and Outputs'!P200/'Inputs and Outputs'!Q199)), IF('Inputs and Outputs'!R200&lt;0,1,IF('Inputs and Outputs'!Q200&gt;0,0,-'Inputs and Outputs'!Q200/'Inputs and Outputs'!R199)), IF('Inputs and Outputs'!S200&lt;0,1,IF('Inputs and Outputs'!R200&gt;0,0,-'Inputs and Outputs'!R200/'Inputs and Outputs'!S199)), IF('Inputs and Outputs'!T200&lt;0,1,IF('Inputs and Outputs'!S200&gt;0,0,-'Inputs and Outputs'!S200/'Inputs and Outputs'!T199)), IF('Inputs and Outputs'!U200&lt;0,1,IF('Inputs and Outputs'!T200&gt;0,0,-'Inputs and Outputs'!T200/'Inputs and Outputs'!U199)), IF('Inputs and Outputs'!V200&lt;0,1,IF('Inputs and Outputs'!U200&gt;0,0,-'Inputs and Outputs'!U200/'Inputs and Outputs'!V199)), IF('Inputs and Outputs'!W200&lt;0,1,IF('Inputs and Outputs'!V200&gt;0,0,-'Inputs and Outputs'!V200/'Inputs and Outputs'!W199)), IF('Inputs and Outputs'!X200&lt;0,1,IF('Inputs and Outputs'!W200&gt;0,0,-'Inputs and Outputs'!W200/'Inputs and Outputs'!X199)), IF('Inputs and Outputs'!Y200&lt;0,1,IF('Inputs and Outputs'!X200&gt;0,0,-'Inputs and Outputs'!X200/'Inputs and Outputs'!Y199)), IF('Inputs and Outputs'!Z200&lt;0,1,IF('Inputs and Outputs'!Y200&gt;0,0,-'Inputs and Outputs'!Y200/'Inputs and Outputs'!Z199)), IF('Inputs and Outputs'!AA200&lt;0,1,IF('Inputs and Outputs'!Z200&gt;0,0,-'Inputs and Outputs'!Z200/'Inputs and Outputs'!AA199)))))</f>
        <v>0</v>
      </c>
    </row>
    <row r="11" spans="1:6">
      <c r="A11" s="5" t="s">
        <v>10</v>
      </c>
      <c r="B11" s="6">
        <v>10</v>
      </c>
    </row>
    <row r="12" spans="1:6">
      <c r="A12" s="5" t="s">
        <v>11</v>
      </c>
      <c r="B12" s="6">
        <v>20.13</v>
      </c>
    </row>
    <row r="13" spans="1:6">
      <c r="A13" s="5" t="s">
        <v>12</v>
      </c>
      <c r="B13" s="6">
        <v>0</v>
      </c>
    </row>
    <row r="14" spans="1:6">
      <c r="A14" s="5" t="s">
        <v>13</v>
      </c>
      <c r="B14" s="6">
        <v>0</v>
      </c>
    </row>
    <row r="15" spans="1:6">
      <c r="A15" s="5" t="s">
        <v>14</v>
      </c>
      <c r="B15" s="6">
        <v>0</v>
      </c>
    </row>
    <row r="16" spans="1:6">
      <c r="A16" s="5" t="s">
        <v>15</v>
      </c>
      <c r="B16" s="6">
        <v>0</v>
      </c>
    </row>
    <row r="17" spans="1:2">
      <c r="A17" s="5" t="s">
        <v>16</v>
      </c>
      <c r="B17" s="6">
        <v>0</v>
      </c>
    </row>
    <row r="18" spans="1:2">
      <c r="A18" s="5" t="s">
        <v>17</v>
      </c>
      <c r="B18" s="6">
        <v>0</v>
      </c>
    </row>
    <row r="19" spans="1:2">
      <c r="A19" s="5" t="s">
        <v>18</v>
      </c>
      <c r="B19" s="6">
        <v>0</v>
      </c>
    </row>
    <row r="21" spans="1:2">
      <c r="A21" s="3" t="s">
        <v>19</v>
      </c>
      <c r="B21" s="4"/>
    </row>
    <row r="22" spans="1:2">
      <c r="A22" s="5" t="s">
        <v>20</v>
      </c>
      <c r="B22" s="6">
        <v>47185.82</v>
      </c>
    </row>
    <row r="23" spans="1:2">
      <c r="A23" s="5" t="s">
        <v>21</v>
      </c>
      <c r="B23" s="6">
        <v>0</v>
      </c>
    </row>
    <row r="24" spans="1:2">
      <c r="A24" s="5" t="s">
        <v>22</v>
      </c>
      <c r="B24" s="6">
        <v>41740.25</v>
      </c>
    </row>
    <row r="25" spans="1:2">
      <c r="A25" s="5" t="s">
        <v>23</v>
      </c>
      <c r="B25" s="6">
        <v>0</v>
      </c>
    </row>
    <row r="26" spans="1:2">
      <c r="A26" s="5" t="s">
        <v>24</v>
      </c>
      <c r="B26" s="6">
        <v>27222</v>
      </c>
    </row>
    <row r="27" spans="1:2">
      <c r="A27" s="5" t="s">
        <v>25</v>
      </c>
      <c r="B27" s="6">
        <v>40833</v>
      </c>
    </row>
    <row r="28" spans="1:2">
      <c r="A28" s="5" t="s">
        <v>26</v>
      </c>
      <c r="B28" s="6">
        <v>38917.24</v>
      </c>
    </row>
    <row r="29" spans="1:2">
      <c r="A29" s="5" t="s">
        <v>27</v>
      </c>
      <c r="B29" s="6">
        <v>26011</v>
      </c>
    </row>
    <row r="30" spans="1:2">
      <c r="A30" s="5" t="s">
        <v>28</v>
      </c>
      <c r="B30" s="6">
        <v>4582</v>
      </c>
    </row>
    <row r="31" spans="1:2">
      <c r="A31" s="5" t="s">
        <v>29</v>
      </c>
      <c r="B31" s="6">
        <v>0</v>
      </c>
    </row>
    <row r="32" spans="1:2">
      <c r="A32" s="5" t="s">
        <v>30</v>
      </c>
      <c r="B32" s="6">
        <v>0</v>
      </c>
    </row>
    <row r="33" spans="1:2">
      <c r="A33" s="5" t="s">
        <v>31</v>
      </c>
      <c r="B33" s="6">
        <v>0</v>
      </c>
    </row>
    <row r="34" spans="1:2">
      <c r="A34" s="5" t="s">
        <v>32</v>
      </c>
      <c r="B34" s="9">
        <f>SUM(B27,B29,B31,B33)-B26</f>
        <v>0</v>
      </c>
    </row>
    <row r="35" spans="1:2">
      <c r="A35" s="5" t="s">
        <v>33</v>
      </c>
      <c r="B35" s="6">
        <v>0</v>
      </c>
    </row>
    <row r="36" spans="1:2">
      <c r="A36" s="5" t="s">
        <v>34</v>
      </c>
      <c r="B36" s="6">
        <v>0</v>
      </c>
    </row>
    <row r="37" spans="1:2">
      <c r="A37" s="5" t="s">
        <v>35</v>
      </c>
      <c r="B37" s="6">
        <v>0</v>
      </c>
    </row>
    <row r="38" spans="1:2">
      <c r="A38" s="5" t="s">
        <v>36</v>
      </c>
      <c r="B38" s="6">
        <v>0</v>
      </c>
    </row>
    <row r="39" spans="1:2">
      <c r="A39" s="5" t="s">
        <v>37</v>
      </c>
      <c r="B39" s="6">
        <v>0</v>
      </c>
    </row>
    <row r="40" spans="1:2">
      <c r="A40" s="5" t="s">
        <v>38</v>
      </c>
      <c r="B40" s="9">
        <f>ROUND(('Inputs and Outputs'!B29 + SUM('Inputs and Outputs'!B28))/1027221.96,3)</f>
        <v>0</v>
      </c>
    </row>
    <row r="41" spans="1:2">
      <c r="A41" s="5" t="s">
        <v>39</v>
      </c>
      <c r="B41" s="9">
        <f>IF(B22=0,"N/A",ROUND((B22 - B24)/B22,2))</f>
        <v>0</v>
      </c>
    </row>
    <row r="42" spans="1:2">
      <c r="A42" s="5" t="s">
        <v>40</v>
      </c>
      <c r="B42" s="9">
        <f>IF(B35=0,"N/A",ROUND((B35 - SUM(B36, B37))/B35,2))</f>
        <v>0</v>
      </c>
    </row>
    <row r="43" spans="1:2">
      <c r="A43" s="5" t="s">
        <v>41</v>
      </c>
      <c r="B43" s="6">
        <v>211.4812</v>
      </c>
    </row>
    <row r="44" spans="1:2">
      <c r="A44" s="5" t="s">
        <v>42</v>
      </c>
      <c r="B44" s="6">
        <v>216.3844</v>
      </c>
    </row>
    <row r="45" spans="1:2">
      <c r="A45" s="5" t="s">
        <v>43</v>
      </c>
      <c r="B45" s="6">
        <v>207.9004</v>
      </c>
    </row>
    <row r="46" spans="1:2">
      <c r="A46" s="5" t="s">
        <v>44</v>
      </c>
      <c r="B46" s="6">
        <v>216.3844</v>
      </c>
    </row>
    <row r="47" spans="1:2">
      <c r="A47" s="5" t="s">
        <v>45</v>
      </c>
      <c r="B47" s="6">
        <v>3.5808</v>
      </c>
    </row>
    <row r="48" spans="1:2">
      <c r="A48" s="5" t="s">
        <v>46</v>
      </c>
      <c r="B48" s="6">
        <v>0</v>
      </c>
    </row>
    <row r="50" spans="1:2">
      <c r="A50" s="3" t="s">
        <v>47</v>
      </c>
      <c r="B50" s="4"/>
    </row>
    <row r="51" spans="1:2">
      <c r="A51" s="5" t="s">
        <v>48</v>
      </c>
      <c r="B51" s="6">
        <v>81997.55250000001</v>
      </c>
    </row>
    <row r="52" spans="1:2">
      <c r="A52" s="5" t="s">
        <v>49</v>
      </c>
      <c r="B52" s="6">
        <v>17900</v>
      </c>
    </row>
    <row r="53" spans="1:2">
      <c r="A53" s="5" t="s">
        <v>50</v>
      </c>
      <c r="B53" s="6">
        <v>31370</v>
      </c>
    </row>
    <row r="54" spans="1:2">
      <c r="A54" s="5" t="s">
        <v>51</v>
      </c>
      <c r="B54" s="6">
        <v>14464</v>
      </c>
    </row>
    <row r="55" spans="1:2">
      <c r="A55" s="5" t="s">
        <v>52</v>
      </c>
      <c r="B55" s="6">
        <v>18259.15</v>
      </c>
    </row>
    <row r="56" spans="1:2">
      <c r="A56" s="5" t="s">
        <v>53</v>
      </c>
      <c r="B56" s="6">
        <v>0</v>
      </c>
    </row>
    <row r="57" spans="1:2">
      <c r="A57" s="5" t="s">
        <v>54</v>
      </c>
      <c r="B57" s="6">
        <v>0</v>
      </c>
    </row>
    <row r="58" spans="1:2">
      <c r="A58" s="5" t="s">
        <v>55</v>
      </c>
      <c r="B58" s="6">
        <v>0</v>
      </c>
    </row>
    <row r="59" spans="1:2">
      <c r="A59" s="5" t="s">
        <v>56</v>
      </c>
      <c r="B59" s="6">
        <v>0</v>
      </c>
    </row>
    <row r="60" spans="1:2">
      <c r="A60" s="5" t="s">
        <v>57</v>
      </c>
      <c r="B60" s="6">
        <v>0</v>
      </c>
    </row>
    <row r="61" spans="1:2">
      <c r="A61" s="5" t="s">
        <v>58</v>
      </c>
      <c r="B61" s="6">
        <v>0</v>
      </c>
    </row>
    <row r="62" spans="1:2">
      <c r="A62" s="10" t="s">
        <v>59</v>
      </c>
      <c r="B62" s="6"/>
    </row>
    <row r="63" spans="1:2">
      <c r="A63" s="11" t="s">
        <v>60</v>
      </c>
      <c r="B63" s="6">
        <v>18</v>
      </c>
    </row>
    <row r="64" spans="1:2">
      <c r="A64" s="11" t="s">
        <v>61</v>
      </c>
      <c r="B64" s="6">
        <v>36</v>
      </c>
    </row>
    <row r="65" spans="1:2">
      <c r="A65" s="11" t="s">
        <v>62</v>
      </c>
      <c r="B65" s="6">
        <v>20</v>
      </c>
    </row>
    <row r="66" spans="1:2">
      <c r="A66" s="11" t="s">
        <v>63</v>
      </c>
      <c r="B66" s="6">
        <v>0</v>
      </c>
    </row>
    <row r="67" spans="1:2">
      <c r="A67" s="11" t="s">
        <v>64</v>
      </c>
      <c r="B67" s="6">
        <v>1048.8</v>
      </c>
    </row>
    <row r="68" spans="1:2">
      <c r="A68" s="11" t="s">
        <v>65</v>
      </c>
      <c r="B68" s="6">
        <v>124.5</v>
      </c>
    </row>
    <row r="69" spans="1:2">
      <c r="A69" s="11" t="s">
        <v>66</v>
      </c>
      <c r="B69" s="6">
        <v>715</v>
      </c>
    </row>
    <row r="70" spans="1:2">
      <c r="A70" s="11" t="s">
        <v>67</v>
      </c>
      <c r="B70" s="6">
        <v>10</v>
      </c>
    </row>
    <row r="71" spans="1:2">
      <c r="A71" s="11" t="s">
        <v>68</v>
      </c>
      <c r="B71" s="6">
        <v>318</v>
      </c>
    </row>
    <row r="72" spans="1:2">
      <c r="A72" s="11" t="s">
        <v>69</v>
      </c>
      <c r="B72" s="6">
        <v>10</v>
      </c>
    </row>
    <row r="73" spans="1:2">
      <c r="A73" s="11" t="s">
        <v>70</v>
      </c>
      <c r="B73" s="7">
        <v>0</v>
      </c>
    </row>
    <row r="74" spans="1:2">
      <c r="A74" s="11" t="s">
        <v>71</v>
      </c>
      <c r="B74" s="7">
        <v>0</v>
      </c>
    </row>
    <row r="75" spans="1:2">
      <c r="A75" s="11" t="s">
        <v>72</v>
      </c>
      <c r="B75" s="7">
        <v>0</v>
      </c>
    </row>
    <row r="76" spans="1:2">
      <c r="A76" s="11" t="s">
        <v>73</v>
      </c>
      <c r="B76" s="6">
        <v>0</v>
      </c>
    </row>
    <row r="77" spans="1:2">
      <c r="A77" s="11" t="s">
        <v>74</v>
      </c>
      <c r="B77" s="6">
        <v>0</v>
      </c>
    </row>
    <row r="78" spans="1:2">
      <c r="A78" s="11" t="s">
        <v>75</v>
      </c>
      <c r="B78" s="6">
        <v>0</v>
      </c>
    </row>
    <row r="79" spans="1:2">
      <c r="A79" s="11" t="s">
        <v>76</v>
      </c>
      <c r="B79" s="6">
        <v>0</v>
      </c>
    </row>
    <row r="80" spans="1:2">
      <c r="A80" s="11" t="s">
        <v>77</v>
      </c>
      <c r="B80" s="6">
        <v>0</v>
      </c>
    </row>
    <row r="81" spans="1:4">
      <c r="A81" s="11" t="s">
        <v>78</v>
      </c>
      <c r="B81" s="6">
        <v>0</v>
      </c>
    </row>
    <row r="83" spans="1:4">
      <c r="A83" s="3" t="s">
        <v>79</v>
      </c>
      <c r="B83" s="4"/>
    </row>
    <row r="84" spans="1:4">
      <c r="A84" s="5" t="s">
        <v>80</v>
      </c>
      <c r="B84" s="6">
        <v>25</v>
      </c>
    </row>
    <row r="85" spans="1:4">
      <c r="A85" s="5" t="s">
        <v>81</v>
      </c>
      <c r="B85" s="7">
        <v>2.5</v>
      </c>
    </row>
    <row r="86" spans="1:4">
      <c r="A86" s="5" t="s">
        <v>82</v>
      </c>
      <c r="B86" s="7">
        <v>1.7</v>
      </c>
    </row>
    <row r="87" spans="1:4">
      <c r="A87" s="5" t="s">
        <v>83</v>
      </c>
      <c r="B87" s="7">
        <v>1.5</v>
      </c>
    </row>
    <row r="88" spans="1:4">
      <c r="A88" s="5" t="s">
        <v>84</v>
      </c>
      <c r="B88" s="7">
        <v>1.5</v>
      </c>
    </row>
    <row r="89" spans="1:4">
      <c r="A89" s="5" t="s">
        <v>85</v>
      </c>
      <c r="B89" s="7">
        <v>6.38</v>
      </c>
    </row>
    <row r="91" spans="1:4">
      <c r="A91" s="3" t="s">
        <v>86</v>
      </c>
      <c r="B91" s="4"/>
    </row>
    <row r="92" spans="1:4">
      <c r="A92" s="5" t="s">
        <v>87</v>
      </c>
      <c r="B92" s="7">
        <v>26</v>
      </c>
    </row>
    <row r="94" spans="1:4">
      <c r="A94" s="3" t="s">
        <v>88</v>
      </c>
      <c r="B94" s="12"/>
      <c r="C94" s="12"/>
      <c r="D94" s="4"/>
    </row>
    <row r="95" spans="1:4">
      <c r="A95" s="10" t="s">
        <v>89</v>
      </c>
      <c r="D95" s="5" t="s">
        <v>172</v>
      </c>
    </row>
    <row r="96" spans="1:4">
      <c r="A96" s="11" t="s">
        <v>90</v>
      </c>
      <c r="B96" s="13" t="s">
        <v>173</v>
      </c>
      <c r="C96" s="13" t="s">
        <v>174</v>
      </c>
      <c r="D96" s="13" t="s">
        <v>91</v>
      </c>
    </row>
    <row r="97" spans="1:6">
      <c r="A97" s="14" t="s">
        <v>91</v>
      </c>
      <c r="B97" s="5">
        <v>30</v>
      </c>
      <c r="C97" s="15">
        <v>10000000000</v>
      </c>
      <c r="D97" s="13" t="s">
        <v>197</v>
      </c>
    </row>
    <row r="99" spans="1:6">
      <c r="A99" s="3" t="s">
        <v>92</v>
      </c>
      <c r="B99" s="12"/>
      <c r="C99" s="12"/>
      <c r="D99" s="12"/>
      <c r="E99" s="4"/>
    </row>
    <row r="100" spans="1:6">
      <c r="A100" s="10" t="s">
        <v>93</v>
      </c>
      <c r="D100" s="13" t="s">
        <v>175</v>
      </c>
      <c r="E100" s="13" t="s">
        <v>176</v>
      </c>
    </row>
    <row r="101" spans="1:6">
      <c r="A101" s="11" t="s">
        <v>90</v>
      </c>
      <c r="B101" s="5" t="s">
        <v>173</v>
      </c>
      <c r="C101" s="5" t="s">
        <v>177</v>
      </c>
      <c r="D101" s="5" t="s">
        <v>91</v>
      </c>
      <c r="E101" s="5" t="s">
        <v>91</v>
      </c>
    </row>
    <row r="102" spans="1:6">
      <c r="A102" s="14" t="s">
        <v>94</v>
      </c>
      <c r="B102" s="5">
        <v>0</v>
      </c>
      <c r="C102" s="15">
        <v>10000000000</v>
      </c>
      <c r="D102" s="5" t="s">
        <v>198</v>
      </c>
      <c r="E102" s="5" t="s">
        <v>197</v>
      </c>
    </row>
    <row r="103" spans="1:6">
      <c r="A103" s="14" t="s">
        <v>95</v>
      </c>
      <c r="B103" s="5">
        <v>0</v>
      </c>
      <c r="C103" s="15">
        <v>10000000000</v>
      </c>
      <c r="D103" s="6" t="s">
        <v>198</v>
      </c>
      <c r="E103" s="6" t="s">
        <v>197</v>
      </c>
    </row>
    <row r="104" spans="1:6">
      <c r="A104" s="10" t="s">
        <v>96</v>
      </c>
      <c r="B104" s="5" t="s">
        <v>178</v>
      </c>
      <c r="C104" s="5" t="s">
        <v>177</v>
      </c>
      <c r="D104" s="6"/>
      <c r="E104" s="6"/>
    </row>
    <row r="105" spans="1:6">
      <c r="A105" s="14" t="s">
        <v>97</v>
      </c>
      <c r="B105" s="5">
        <v>0</v>
      </c>
      <c r="C105" s="15">
        <v>10000000000</v>
      </c>
      <c r="D105" s="6" t="s">
        <v>198</v>
      </c>
      <c r="E105" s="6" t="s">
        <v>198</v>
      </c>
    </row>
    <row r="106" spans="1:6">
      <c r="A106" s="14" t="s">
        <v>98</v>
      </c>
      <c r="B106" s="5">
        <v>0</v>
      </c>
      <c r="C106" s="15">
        <v>10000000000</v>
      </c>
      <c r="D106" s="6" t="s">
        <v>198</v>
      </c>
      <c r="E106" s="6" t="s">
        <v>197</v>
      </c>
    </row>
    <row r="107" spans="1:6">
      <c r="A107" s="14" t="s">
        <v>99</v>
      </c>
      <c r="B107" s="5">
        <v>0</v>
      </c>
      <c r="C107" s="15">
        <v>10000000000</v>
      </c>
      <c r="D107" s="6" t="s">
        <v>198</v>
      </c>
      <c r="E107" s="6" t="s">
        <v>197</v>
      </c>
    </row>
    <row r="108" spans="1:6">
      <c r="A108" s="10" t="s">
        <v>100</v>
      </c>
      <c r="B108" s="13" t="s">
        <v>179</v>
      </c>
      <c r="C108" s="13" t="s">
        <v>180</v>
      </c>
      <c r="D108" s="13" t="s">
        <v>181</v>
      </c>
      <c r="E108" s="13" t="s">
        <v>182</v>
      </c>
      <c r="F108" s="13" t="s">
        <v>183</v>
      </c>
    </row>
    <row r="109" spans="1:6">
      <c r="A109" s="14" t="s">
        <v>101</v>
      </c>
      <c r="B109" s="5">
        <v>0</v>
      </c>
      <c r="C109" s="15">
        <v>1000000000</v>
      </c>
      <c r="D109" s="13" t="s">
        <v>197</v>
      </c>
      <c r="E109" s="13">
        <v>1</v>
      </c>
      <c r="F109" s="15">
        <v>1000000000</v>
      </c>
    </row>
    <row r="111" spans="1:6">
      <c r="A111" s="3" t="s">
        <v>102</v>
      </c>
      <c r="B111" s="12"/>
      <c r="C111" s="12"/>
      <c r="D111" s="4"/>
    </row>
    <row r="112" spans="1:6">
      <c r="A112" s="10" t="s">
        <v>89</v>
      </c>
      <c r="D112" s="5" t="s">
        <v>172</v>
      </c>
    </row>
    <row r="113" spans="1:6">
      <c r="A113" s="11" t="s">
        <v>90</v>
      </c>
      <c r="B113" s="13" t="s">
        <v>173</v>
      </c>
      <c r="C113" s="13" t="s">
        <v>174</v>
      </c>
      <c r="D113" s="13" t="s">
        <v>91</v>
      </c>
    </row>
    <row r="114" spans="1:6">
      <c r="A114" s="14" t="s">
        <v>91</v>
      </c>
      <c r="B114" s="5">
        <v>30</v>
      </c>
      <c r="C114" s="15">
        <v>10000000000</v>
      </c>
      <c r="D114" s="13" t="s">
        <v>197</v>
      </c>
    </row>
    <row r="116" spans="1:6">
      <c r="A116" s="3" t="s">
        <v>103</v>
      </c>
      <c r="B116" s="12"/>
      <c r="C116" s="12"/>
      <c r="D116" s="12"/>
      <c r="E116" s="4"/>
    </row>
    <row r="117" spans="1:6">
      <c r="A117" s="10" t="s">
        <v>93</v>
      </c>
      <c r="D117" s="13" t="s">
        <v>175</v>
      </c>
      <c r="E117" s="13" t="s">
        <v>176</v>
      </c>
    </row>
    <row r="118" spans="1:6">
      <c r="A118" s="11" t="s">
        <v>90</v>
      </c>
      <c r="B118" s="5" t="s">
        <v>173</v>
      </c>
      <c r="C118" s="5" t="s">
        <v>177</v>
      </c>
      <c r="D118" s="5" t="s">
        <v>91</v>
      </c>
      <c r="E118" s="5" t="s">
        <v>91</v>
      </c>
    </row>
    <row r="119" spans="1:6">
      <c r="A119" s="14" t="s">
        <v>94</v>
      </c>
      <c r="B119" s="5">
        <v>0</v>
      </c>
      <c r="C119" s="15">
        <v>10000000000</v>
      </c>
      <c r="D119" s="5" t="s">
        <v>198</v>
      </c>
      <c r="E119" s="5" t="s">
        <v>197</v>
      </c>
    </row>
    <row r="120" spans="1:6">
      <c r="A120" s="14" t="s">
        <v>95</v>
      </c>
      <c r="B120" s="5">
        <v>0</v>
      </c>
      <c r="C120" s="15">
        <v>10000000000</v>
      </c>
      <c r="D120" s="6" t="s">
        <v>198</v>
      </c>
      <c r="E120" s="6" t="s">
        <v>197</v>
      </c>
    </row>
    <row r="121" spans="1:6">
      <c r="A121" s="10" t="s">
        <v>96</v>
      </c>
      <c r="B121" s="5" t="s">
        <v>178</v>
      </c>
      <c r="C121" s="5" t="s">
        <v>177</v>
      </c>
      <c r="D121" s="6"/>
      <c r="E121" s="6"/>
    </row>
    <row r="122" spans="1:6">
      <c r="A122" s="14" t="s">
        <v>97</v>
      </c>
      <c r="B122" s="5">
        <v>0</v>
      </c>
      <c r="C122" s="15">
        <v>10000000000</v>
      </c>
      <c r="D122" s="6" t="s">
        <v>198</v>
      </c>
      <c r="E122" s="6" t="s">
        <v>198</v>
      </c>
    </row>
    <row r="123" spans="1:6">
      <c r="A123" s="14" t="s">
        <v>98</v>
      </c>
      <c r="B123" s="5">
        <v>0</v>
      </c>
      <c r="C123" s="15">
        <v>10000000000</v>
      </c>
      <c r="D123" s="6" t="s">
        <v>198</v>
      </c>
      <c r="E123" s="6" t="s">
        <v>197</v>
      </c>
    </row>
    <row r="124" spans="1:6">
      <c r="A124" s="14" t="s">
        <v>99</v>
      </c>
      <c r="B124" s="5">
        <v>0</v>
      </c>
      <c r="C124" s="15">
        <v>10000000000</v>
      </c>
      <c r="D124" s="6" t="s">
        <v>198</v>
      </c>
      <c r="E124" s="6" t="s">
        <v>197</v>
      </c>
    </row>
    <row r="125" spans="1:6">
      <c r="A125" s="10" t="s">
        <v>100</v>
      </c>
      <c r="B125" s="13" t="s">
        <v>179</v>
      </c>
      <c r="C125" s="13" t="s">
        <v>180</v>
      </c>
      <c r="D125" s="13" t="s">
        <v>181</v>
      </c>
      <c r="E125" s="13" t="s">
        <v>182</v>
      </c>
      <c r="F125" s="13" t="s">
        <v>183</v>
      </c>
    </row>
    <row r="126" spans="1:6">
      <c r="A126" s="14" t="s">
        <v>101</v>
      </c>
      <c r="B126" s="5">
        <v>0</v>
      </c>
      <c r="C126" s="15">
        <v>1000000000</v>
      </c>
      <c r="D126" s="13" t="s">
        <v>197</v>
      </c>
      <c r="E126" s="13">
        <v>1</v>
      </c>
      <c r="F126" s="15">
        <v>1000000000</v>
      </c>
    </row>
    <row r="128" spans="1:6">
      <c r="A128" s="3" t="s">
        <v>104</v>
      </c>
      <c r="B128" s="12"/>
      <c r="C128" s="12"/>
      <c r="D128" s="4"/>
    </row>
    <row r="129" spans="1:5">
      <c r="A129" s="10" t="s">
        <v>89</v>
      </c>
      <c r="D129" s="5" t="s">
        <v>172</v>
      </c>
    </row>
    <row r="130" spans="1:5">
      <c r="A130" s="11" t="s">
        <v>90</v>
      </c>
      <c r="B130" s="13" t="s">
        <v>173</v>
      </c>
      <c r="C130" s="13" t="s">
        <v>174</v>
      </c>
      <c r="D130" s="13" t="s">
        <v>91</v>
      </c>
    </row>
    <row r="131" spans="1:5">
      <c r="A131" s="14" t="s">
        <v>91</v>
      </c>
      <c r="B131" s="5">
        <v>30</v>
      </c>
      <c r="C131" s="15">
        <v>10000000000</v>
      </c>
      <c r="D131" s="13" t="s">
        <v>197</v>
      </c>
    </row>
    <row r="133" spans="1:5">
      <c r="A133" s="3" t="s">
        <v>105</v>
      </c>
      <c r="B133" s="12"/>
      <c r="C133" s="12"/>
      <c r="D133" s="12"/>
      <c r="E133" s="4"/>
    </row>
    <row r="134" spans="1:5">
      <c r="A134" s="10" t="s">
        <v>93</v>
      </c>
      <c r="D134" s="13" t="s">
        <v>175</v>
      </c>
      <c r="E134" s="13" t="s">
        <v>176</v>
      </c>
    </row>
    <row r="135" spans="1:5">
      <c r="A135" s="11" t="s">
        <v>90</v>
      </c>
      <c r="B135" s="5" t="s">
        <v>173</v>
      </c>
      <c r="C135" s="5" t="s">
        <v>177</v>
      </c>
      <c r="D135" s="5" t="s">
        <v>91</v>
      </c>
      <c r="E135" s="5" t="s">
        <v>91</v>
      </c>
    </row>
    <row r="136" spans="1:5">
      <c r="A136" s="14" t="s">
        <v>94</v>
      </c>
      <c r="B136" s="5">
        <v>0</v>
      </c>
      <c r="C136" s="15">
        <v>0</v>
      </c>
      <c r="D136" s="5" t="s">
        <v>198</v>
      </c>
      <c r="E136" s="5" t="s">
        <v>197</v>
      </c>
    </row>
    <row r="137" spans="1:5">
      <c r="A137" s="14" t="s">
        <v>95</v>
      </c>
      <c r="B137" s="5">
        <v>0</v>
      </c>
      <c r="C137" s="15">
        <v>0</v>
      </c>
      <c r="D137" s="6" t="s">
        <v>198</v>
      </c>
      <c r="E137" s="6" t="s">
        <v>197</v>
      </c>
    </row>
    <row r="138" spans="1:5">
      <c r="A138" s="10" t="s">
        <v>96</v>
      </c>
      <c r="B138" s="5" t="s">
        <v>178</v>
      </c>
      <c r="C138" s="5" t="s">
        <v>177</v>
      </c>
      <c r="D138" s="6"/>
      <c r="E138" s="6"/>
    </row>
    <row r="139" spans="1:5">
      <c r="A139" s="14" t="s">
        <v>106</v>
      </c>
    </row>
    <row r="140" spans="1:5">
      <c r="A140" s="14" t="s">
        <v>107</v>
      </c>
    </row>
    <row r="142" spans="1:5">
      <c r="A142" s="3" t="s">
        <v>108</v>
      </c>
      <c r="B142" s="12"/>
      <c r="C142" s="12"/>
      <c r="D142" s="4"/>
    </row>
    <row r="143" spans="1:5">
      <c r="A143" s="10" t="s">
        <v>89</v>
      </c>
      <c r="D143" s="5" t="s">
        <v>172</v>
      </c>
    </row>
    <row r="144" spans="1:5">
      <c r="A144" s="11" t="s">
        <v>90</v>
      </c>
      <c r="B144" s="13" t="s">
        <v>173</v>
      </c>
      <c r="C144" s="13" t="s">
        <v>174</v>
      </c>
      <c r="D144" s="13" t="s">
        <v>91</v>
      </c>
    </row>
    <row r="145" spans="1:6">
      <c r="A145" s="14" t="s">
        <v>91</v>
      </c>
      <c r="B145" s="5">
        <v>0</v>
      </c>
      <c r="C145" s="15">
        <v>10000000000</v>
      </c>
      <c r="D145" s="13" t="s">
        <v>197</v>
      </c>
    </row>
    <row r="147" spans="1:6">
      <c r="A147" s="3" t="s">
        <v>109</v>
      </c>
      <c r="B147" s="12"/>
      <c r="C147" s="12"/>
      <c r="D147" s="12"/>
      <c r="E147" s="4"/>
    </row>
    <row r="148" spans="1:6">
      <c r="A148" s="10" t="s">
        <v>93</v>
      </c>
      <c r="D148" s="13" t="s">
        <v>175</v>
      </c>
      <c r="E148" s="13" t="s">
        <v>176</v>
      </c>
    </row>
    <row r="149" spans="1:6">
      <c r="A149" s="11" t="s">
        <v>90</v>
      </c>
      <c r="B149" s="5" t="s">
        <v>173</v>
      </c>
      <c r="C149" s="5" t="s">
        <v>177</v>
      </c>
      <c r="D149" s="5" t="s">
        <v>91</v>
      </c>
      <c r="E149" s="5" t="s">
        <v>91</v>
      </c>
    </row>
    <row r="150" spans="1:6">
      <c r="A150" s="14" t="s">
        <v>94</v>
      </c>
      <c r="B150" s="5">
        <v>0</v>
      </c>
      <c r="C150" s="15">
        <v>0</v>
      </c>
      <c r="D150" s="5" t="s">
        <v>198</v>
      </c>
      <c r="E150" s="5" t="s">
        <v>197</v>
      </c>
    </row>
    <row r="151" spans="1:6">
      <c r="A151" s="14" t="s">
        <v>95</v>
      </c>
      <c r="B151" s="5">
        <v>0</v>
      </c>
      <c r="C151" s="15">
        <v>0</v>
      </c>
      <c r="D151" s="6" t="s">
        <v>198</v>
      </c>
      <c r="E151" s="6" t="s">
        <v>197</v>
      </c>
    </row>
    <row r="152" spans="1:6">
      <c r="A152" s="10" t="s">
        <v>96</v>
      </c>
      <c r="B152" s="5" t="s">
        <v>178</v>
      </c>
      <c r="C152" s="5" t="s">
        <v>177</v>
      </c>
      <c r="D152" s="6"/>
      <c r="E152" s="6"/>
    </row>
    <row r="153" spans="1:6">
      <c r="A153" s="14" t="s">
        <v>97</v>
      </c>
      <c r="B153" s="5">
        <v>0</v>
      </c>
      <c r="C153" s="15">
        <v>10000000000</v>
      </c>
      <c r="D153" s="6" t="s">
        <v>198</v>
      </c>
      <c r="E153" s="6" t="s">
        <v>198</v>
      </c>
    </row>
    <row r="154" spans="1:6">
      <c r="A154" s="14" t="s">
        <v>98</v>
      </c>
      <c r="B154" s="5">
        <v>0</v>
      </c>
      <c r="C154" s="15">
        <v>10000000000</v>
      </c>
      <c r="D154" s="6" t="s">
        <v>198</v>
      </c>
      <c r="E154" s="6" t="s">
        <v>197</v>
      </c>
    </row>
    <row r="155" spans="1:6">
      <c r="A155" s="14" t="s">
        <v>99</v>
      </c>
      <c r="B155" s="5">
        <v>0</v>
      </c>
      <c r="C155" s="15">
        <v>10000000000</v>
      </c>
      <c r="D155" s="6" t="s">
        <v>198</v>
      </c>
      <c r="E155" s="6" t="s">
        <v>197</v>
      </c>
    </row>
    <row r="156" spans="1:6">
      <c r="A156" s="10" t="s">
        <v>100</v>
      </c>
      <c r="B156" s="13" t="s">
        <v>179</v>
      </c>
      <c r="C156" s="13" t="s">
        <v>180</v>
      </c>
      <c r="D156" s="13" t="s">
        <v>181</v>
      </c>
      <c r="E156" s="13" t="s">
        <v>182</v>
      </c>
      <c r="F156" s="13" t="s">
        <v>183</v>
      </c>
    </row>
    <row r="157" spans="1:6">
      <c r="A157" s="14" t="s">
        <v>101</v>
      </c>
      <c r="B157" s="5">
        <v>0</v>
      </c>
      <c r="C157" s="15">
        <v>0</v>
      </c>
      <c r="D157" s="13" t="s">
        <v>197</v>
      </c>
      <c r="E157" s="13">
        <v>0</v>
      </c>
      <c r="F157" s="15">
        <v>0</v>
      </c>
    </row>
    <row r="159" spans="1:6">
      <c r="A159" s="3" t="s">
        <v>110</v>
      </c>
      <c r="B159" s="12"/>
      <c r="C159" s="12"/>
      <c r="D159" s="4"/>
    </row>
    <row r="160" spans="1:6">
      <c r="A160" s="10" t="s">
        <v>89</v>
      </c>
      <c r="D160" s="5" t="s">
        <v>172</v>
      </c>
    </row>
    <row r="161" spans="1:20">
      <c r="A161" s="11" t="s">
        <v>90</v>
      </c>
      <c r="B161" s="13" t="s">
        <v>173</v>
      </c>
      <c r="C161" s="13" t="s">
        <v>174</v>
      </c>
      <c r="D161" s="13" t="s">
        <v>91</v>
      </c>
    </row>
    <row r="162" spans="1:20">
      <c r="A162" s="14" t="s">
        <v>91</v>
      </c>
      <c r="B162" s="5">
        <v>0</v>
      </c>
      <c r="C162" s="15">
        <v>10000000000</v>
      </c>
      <c r="D162" s="13" t="s">
        <v>197</v>
      </c>
    </row>
    <row r="164" spans="1:20">
      <c r="A164" s="3" t="s">
        <v>111</v>
      </c>
      <c r="B164" s="12"/>
      <c r="C164" s="12"/>
      <c r="D164" s="12"/>
      <c r="E164" s="4"/>
    </row>
    <row r="165" spans="1:20">
      <c r="A165" s="10" t="s">
        <v>93</v>
      </c>
      <c r="D165" s="13" t="s">
        <v>175</v>
      </c>
      <c r="E165" s="13" t="s">
        <v>176</v>
      </c>
    </row>
    <row r="166" spans="1:20">
      <c r="A166" s="11" t="s">
        <v>90</v>
      </c>
      <c r="B166" s="5" t="s">
        <v>173</v>
      </c>
      <c r="C166" s="5" t="s">
        <v>177</v>
      </c>
      <c r="D166" s="5" t="s">
        <v>91</v>
      </c>
      <c r="E166" s="5" t="s">
        <v>91</v>
      </c>
    </row>
    <row r="167" spans="1:20">
      <c r="A167" s="14" t="s">
        <v>94</v>
      </c>
      <c r="B167" s="5">
        <v>0</v>
      </c>
      <c r="C167" s="15">
        <v>0</v>
      </c>
      <c r="D167" s="5" t="s">
        <v>198</v>
      </c>
      <c r="E167" s="5" t="s">
        <v>197</v>
      </c>
    </row>
    <row r="168" spans="1:20">
      <c r="A168" s="14" t="s">
        <v>95</v>
      </c>
      <c r="B168" s="5">
        <v>0</v>
      </c>
      <c r="C168" s="15">
        <v>0</v>
      </c>
      <c r="D168" s="6" t="s">
        <v>198</v>
      </c>
      <c r="E168" s="6" t="s">
        <v>197</v>
      </c>
    </row>
    <row r="169" spans="1:20">
      <c r="A169" s="10" t="s">
        <v>96</v>
      </c>
      <c r="B169" s="5" t="s">
        <v>178</v>
      </c>
      <c r="C169" s="5" t="s">
        <v>177</v>
      </c>
      <c r="D169" s="6"/>
      <c r="E169" s="6"/>
    </row>
    <row r="170" spans="1:20">
      <c r="A170" s="14" t="s">
        <v>112</v>
      </c>
      <c r="B170" s="5">
        <v>0</v>
      </c>
      <c r="C170" s="15">
        <v>10000000000</v>
      </c>
      <c r="D170" s="6" t="s">
        <v>198</v>
      </c>
      <c r="E170" s="6" t="s">
        <v>198</v>
      </c>
    </row>
    <row r="171" spans="1:20">
      <c r="A171" s="14" t="s">
        <v>113</v>
      </c>
      <c r="B171" s="5">
        <v>0</v>
      </c>
      <c r="C171" s="15">
        <v>10000000000</v>
      </c>
      <c r="D171" s="6" t="s">
        <v>198</v>
      </c>
      <c r="E171" s="6" t="s">
        <v>197</v>
      </c>
    </row>
    <row r="172" spans="1:20">
      <c r="A172" s="14" t="s">
        <v>114</v>
      </c>
      <c r="B172" s="5">
        <v>0</v>
      </c>
      <c r="C172" s="15">
        <v>10000000000</v>
      </c>
      <c r="D172" s="6" t="s">
        <v>198</v>
      </c>
      <c r="E172" s="6" t="s">
        <v>197</v>
      </c>
    </row>
    <row r="173" spans="1:20">
      <c r="A173" s="10" t="s">
        <v>100</v>
      </c>
      <c r="B173" s="13" t="s">
        <v>179</v>
      </c>
      <c r="C173" s="13" t="s">
        <v>180</v>
      </c>
      <c r="D173" s="13" t="s">
        <v>181</v>
      </c>
      <c r="E173" s="13" t="s">
        <v>182</v>
      </c>
      <c r="F173" s="13" t="s">
        <v>183</v>
      </c>
    </row>
    <row r="174" spans="1:20">
      <c r="A174" s="14" t="s">
        <v>101</v>
      </c>
      <c r="B174" s="5">
        <v>0</v>
      </c>
      <c r="C174" s="15">
        <v>0</v>
      </c>
      <c r="D174" s="13" t="s">
        <v>197</v>
      </c>
      <c r="E174" s="13">
        <v>0</v>
      </c>
      <c r="F174" s="15">
        <v>0</v>
      </c>
    </row>
    <row r="176" spans="1:20">
      <c r="A176" s="3" t="s">
        <v>115</v>
      </c>
      <c r="B176" s="12" t="s">
        <v>184</v>
      </c>
      <c r="C176" s="12" t="s">
        <v>185</v>
      </c>
      <c r="D176" s="12" t="s">
        <v>186</v>
      </c>
      <c r="E176" s="12" t="s">
        <v>187</v>
      </c>
      <c r="F176" s="12" t="s">
        <v>188</v>
      </c>
      <c r="G176" s="12" t="s">
        <v>189</v>
      </c>
      <c r="H176" s="12" t="s">
        <v>190</v>
      </c>
      <c r="I176" s="12" t="s">
        <v>191</v>
      </c>
      <c r="J176" s="12" t="s">
        <v>192</v>
      </c>
      <c r="L176" s="3" t="s">
        <v>193</v>
      </c>
      <c r="M176" s="12"/>
      <c r="N176" s="12"/>
      <c r="O176" s="12"/>
      <c r="P176" s="12"/>
      <c r="Q176" s="12"/>
      <c r="R176" s="12"/>
      <c r="S176" s="12"/>
      <c r="T176" s="4"/>
    </row>
    <row r="177" spans="1:27">
      <c r="A177" s="5" t="s">
        <v>116</v>
      </c>
      <c r="B177" s="5">
        <v>5</v>
      </c>
      <c r="C177" s="5">
        <v>7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L177" s="16" t="s">
        <v>194</v>
      </c>
      <c r="M177" s="5">
        <v>1</v>
      </c>
      <c r="N177" s="5">
        <v>2</v>
      </c>
      <c r="O177" s="5">
        <v>3</v>
      </c>
      <c r="P177" s="5">
        <v>4</v>
      </c>
      <c r="Q177" s="5">
        <v>5</v>
      </c>
      <c r="R177" s="5">
        <v>6</v>
      </c>
      <c r="S177" s="13">
        <v>7</v>
      </c>
      <c r="T177" s="13">
        <v>8</v>
      </c>
    </row>
    <row r="178" spans="1:27">
      <c r="A178" s="5" t="s">
        <v>117</v>
      </c>
      <c r="B178" s="5">
        <v>0.6</v>
      </c>
      <c r="C178" s="5">
        <v>0.6</v>
      </c>
      <c r="D178" s="5">
        <v>0.6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L178" s="16" t="s">
        <v>195</v>
      </c>
      <c r="M178" s="5">
        <v>0.2</v>
      </c>
      <c r="N178" s="5">
        <v>0.32</v>
      </c>
      <c r="O178" s="5">
        <v>0.192</v>
      </c>
      <c r="P178" s="5">
        <v>0.1152</v>
      </c>
      <c r="Q178" s="5">
        <v>0.1152</v>
      </c>
      <c r="R178" s="5">
        <v>0.0576</v>
      </c>
      <c r="S178" s="13"/>
      <c r="T178" s="13"/>
    </row>
    <row r="179" spans="1:27">
      <c r="L179" s="16" t="s">
        <v>196</v>
      </c>
      <c r="M179" s="5">
        <v>0.1429</v>
      </c>
      <c r="N179" s="5">
        <v>0.2449</v>
      </c>
      <c r="O179" s="5">
        <v>0.1749</v>
      </c>
      <c r="P179" s="5">
        <v>0.1249</v>
      </c>
      <c r="Q179" s="5">
        <v>0.0893</v>
      </c>
      <c r="R179" s="5">
        <v>0.0892</v>
      </c>
      <c r="S179" s="13">
        <v>0.0893</v>
      </c>
      <c r="T179" s="13">
        <v>0.0446</v>
      </c>
    </row>
    <row r="181" spans="1:27">
      <c r="A181" s="3" t="s">
        <v>118</v>
      </c>
      <c r="B181" s="12" t="s">
        <v>146</v>
      </c>
      <c r="C181" s="12">
        <v>1</v>
      </c>
      <c r="D181" s="12">
        <v>2</v>
      </c>
      <c r="E181" s="12">
        <v>3</v>
      </c>
      <c r="F181" s="12">
        <v>4</v>
      </c>
      <c r="G181" s="12">
        <v>5</v>
      </c>
      <c r="H181" s="12">
        <v>6</v>
      </c>
      <c r="I181" s="12">
        <v>7</v>
      </c>
      <c r="J181" s="12">
        <v>8</v>
      </c>
      <c r="K181" s="12">
        <v>9</v>
      </c>
      <c r="L181" s="12">
        <v>10</v>
      </c>
      <c r="M181" s="12">
        <v>11</v>
      </c>
      <c r="N181" s="12">
        <v>12</v>
      </c>
      <c r="O181" s="12">
        <v>13</v>
      </c>
      <c r="P181" s="12">
        <v>14</v>
      </c>
      <c r="Q181" s="12">
        <v>15</v>
      </c>
      <c r="R181" s="12">
        <v>16</v>
      </c>
      <c r="S181" s="12">
        <v>17</v>
      </c>
      <c r="T181" s="12">
        <v>18</v>
      </c>
      <c r="U181" s="12">
        <v>19</v>
      </c>
      <c r="V181" s="12">
        <v>20</v>
      </c>
      <c r="W181" s="12">
        <v>21</v>
      </c>
      <c r="X181" s="12">
        <v>22</v>
      </c>
      <c r="Y181" s="12">
        <v>23</v>
      </c>
      <c r="Z181" s="12">
        <v>24</v>
      </c>
      <c r="AA181" s="12">
        <v>25</v>
      </c>
    </row>
    <row r="182" spans="1:27">
      <c r="A182" s="5" t="s">
        <v>119</v>
      </c>
      <c r="B182" s="17">
        <v>0</v>
      </c>
      <c r="C182" s="18">
        <f>B27*(1 - (B5/100))^0</f>
        <v>0</v>
      </c>
      <c r="D182" s="18">
        <f>B27*(1 - (B5/100))^1</f>
        <v>0</v>
      </c>
      <c r="E182" s="18">
        <f>B27*(1 - (B5/100))^2</f>
        <v>0</v>
      </c>
      <c r="F182" s="18">
        <f>B27*(1 - (B5/100))^3</f>
        <v>0</v>
      </c>
      <c r="G182" s="18">
        <f>B27*(1 - (B5/100))^4</f>
        <v>0</v>
      </c>
      <c r="H182" s="18">
        <f>B27*(1 - (B5/100))^5</f>
        <v>0</v>
      </c>
      <c r="I182" s="18">
        <f>B27*(1 - (B5/100))^6</f>
        <v>0</v>
      </c>
      <c r="J182" s="18">
        <f>B27*(1 - (B5/100))^7</f>
        <v>0</v>
      </c>
      <c r="K182" s="18">
        <f>B27*(1 - (B5/100))^8</f>
        <v>0</v>
      </c>
      <c r="L182" s="18">
        <f>B27*(1 - (B5/100))^9</f>
        <v>0</v>
      </c>
      <c r="M182" s="18">
        <f>B27*(1 - (B5/100))^10</f>
        <v>0</v>
      </c>
      <c r="N182" s="18">
        <f>B27*(1 - (B5/100))^11</f>
        <v>0</v>
      </c>
      <c r="O182" s="18">
        <f>B27*(1 - (B5/100))^12</f>
        <v>0</v>
      </c>
      <c r="P182" s="18">
        <f>B27*(1 - (B5/100))^13</f>
        <v>0</v>
      </c>
      <c r="Q182" s="18">
        <f>B27*(1 - (B5/100))^14</f>
        <v>0</v>
      </c>
      <c r="R182" s="18">
        <f>B27*(1 - (B5/100))^15</f>
        <v>0</v>
      </c>
      <c r="S182" s="18">
        <f>B27*(1 - (B5/100))^16</f>
        <v>0</v>
      </c>
      <c r="T182" s="18">
        <f>B27*(1 - (B5/100))^17</f>
        <v>0</v>
      </c>
      <c r="U182" s="18">
        <f>B27*(1 - (B5/100))^18</f>
        <v>0</v>
      </c>
      <c r="V182" s="18">
        <f>B27*(1 - (B5/100))^19</f>
        <v>0</v>
      </c>
      <c r="W182" s="18">
        <f>B27*(1 - (B5/100))^20</f>
        <v>0</v>
      </c>
      <c r="X182" s="18">
        <f>B27*(1 - (B5/100))^21</f>
        <v>0</v>
      </c>
      <c r="Y182" s="18">
        <f>B27*(1 - (B5/100))^22</f>
        <v>0</v>
      </c>
      <c r="Z182" s="18">
        <f>B27*(1 - (B5/100))^23</f>
        <v>0</v>
      </c>
      <c r="AA182" s="18">
        <f>B27*(1 - (B5/100))^24</f>
        <v>0</v>
      </c>
    </row>
    <row r="183" spans="1:27">
      <c r="A183" s="5" t="s">
        <v>120</v>
      </c>
      <c r="B183" s="17">
        <v>0</v>
      </c>
      <c r="C183" s="18">
        <f>B26*(1 - (B5/100))^0</f>
        <v>0</v>
      </c>
      <c r="D183" s="18">
        <f>B26*(1 - (B5/100))^1</f>
        <v>0</v>
      </c>
      <c r="E183" s="18">
        <f>B26*(1 - (B5/100))^2</f>
        <v>0</v>
      </c>
      <c r="F183" s="18">
        <f>B26*(1 - (B5/100))^3</f>
        <v>0</v>
      </c>
      <c r="G183" s="18">
        <f>B26*(1 - (B5/100))^4</f>
        <v>0</v>
      </c>
      <c r="H183" s="18">
        <f>B26*(1 - (B5/100))^5</f>
        <v>0</v>
      </c>
      <c r="I183" s="18">
        <f>B26*(1 - (B5/100))^6</f>
        <v>0</v>
      </c>
      <c r="J183" s="18">
        <f>B26*(1 - (B5/100))^7</f>
        <v>0</v>
      </c>
      <c r="K183" s="18">
        <f>B26*(1 - (B5/100))^8</f>
        <v>0</v>
      </c>
      <c r="L183" s="18">
        <f>B26*(1 - (B5/100))^9</f>
        <v>0</v>
      </c>
      <c r="M183" s="18">
        <f>B26*(1 - (B5/100))^10</f>
        <v>0</v>
      </c>
      <c r="N183" s="18">
        <f>B26*(1 - (B5/100))^11</f>
        <v>0</v>
      </c>
      <c r="O183" s="18">
        <f>B26*(1 - (B5/100))^12</f>
        <v>0</v>
      </c>
      <c r="P183" s="18">
        <f>B26*(1 - (B5/100))^13</f>
        <v>0</v>
      </c>
      <c r="Q183" s="18">
        <f>B26*(1 - (B5/100))^14</f>
        <v>0</v>
      </c>
      <c r="R183" s="18">
        <f>B26*(1 - (B5/100))^15</f>
        <v>0</v>
      </c>
      <c r="S183" s="18">
        <f>B26*(1 - (B5/100))^16</f>
        <v>0</v>
      </c>
      <c r="T183" s="18">
        <f>B26*(1 - (B5/100))^17</f>
        <v>0</v>
      </c>
      <c r="U183" s="18">
        <f>B26*(1 - (B5/100))^18</f>
        <v>0</v>
      </c>
      <c r="V183" s="18">
        <f>B26*(1 - (B5/100))^19</f>
        <v>0</v>
      </c>
      <c r="W183" s="18">
        <f>B26*(1 - (B5/100))^20</f>
        <v>0</v>
      </c>
      <c r="X183" s="18">
        <f>B26*(1 - (B5/100))^21</f>
        <v>0</v>
      </c>
      <c r="Y183" s="18">
        <f>B26*(1 - (B5/100))^22</f>
        <v>0</v>
      </c>
      <c r="Z183" s="18">
        <f>B26*(1 - (B5/100))^23</f>
        <v>0</v>
      </c>
      <c r="AA183" s="18">
        <f>B26*(1 - (B5/100))^24</f>
        <v>0</v>
      </c>
    </row>
    <row r="184" spans="1:27">
      <c r="A184" s="5" t="s">
        <v>121</v>
      </c>
      <c r="B184" s="17">
        <v>0</v>
      </c>
      <c r="C184" s="18">
        <f>B29</f>
        <v>0</v>
      </c>
      <c r="D184" s="18">
        <f>B29</f>
        <v>0</v>
      </c>
      <c r="E184" s="18">
        <f>B29</f>
        <v>0</v>
      </c>
      <c r="F184" s="18">
        <f>B29</f>
        <v>0</v>
      </c>
      <c r="G184" s="18">
        <f>B29</f>
        <v>0</v>
      </c>
      <c r="H184" s="18">
        <f>B29</f>
        <v>0</v>
      </c>
      <c r="I184" s="18">
        <f>B29</f>
        <v>0</v>
      </c>
      <c r="J184" s="18">
        <f>B29</f>
        <v>0</v>
      </c>
      <c r="K184" s="18">
        <f>B29</f>
        <v>0</v>
      </c>
      <c r="L184" s="18">
        <f>B29</f>
        <v>0</v>
      </c>
      <c r="M184" s="18">
        <f>B29</f>
        <v>0</v>
      </c>
      <c r="N184" s="18">
        <f>B29</f>
        <v>0</v>
      </c>
      <c r="O184" s="18">
        <f>B29</f>
        <v>0</v>
      </c>
      <c r="P184" s="18">
        <f>B29</f>
        <v>0</v>
      </c>
      <c r="Q184" s="18">
        <f>B29</f>
        <v>0</v>
      </c>
      <c r="R184" s="18">
        <f>B29</f>
        <v>0</v>
      </c>
      <c r="S184" s="18">
        <f>B29</f>
        <v>0</v>
      </c>
      <c r="T184" s="18">
        <f>B29</f>
        <v>0</v>
      </c>
      <c r="U184" s="18">
        <f>B29</f>
        <v>0</v>
      </c>
      <c r="V184" s="18">
        <f>B29</f>
        <v>0</v>
      </c>
      <c r="W184" s="18">
        <f>B29</f>
        <v>0</v>
      </c>
      <c r="X184" s="18">
        <f>B29</f>
        <v>0</v>
      </c>
      <c r="Y184" s="18">
        <f>B29</f>
        <v>0</v>
      </c>
      <c r="Z184" s="18">
        <f>B29</f>
        <v>0</v>
      </c>
      <c r="AA184" s="18">
        <f>B29</f>
        <v>0</v>
      </c>
    </row>
    <row r="185" spans="1:27">
      <c r="A185" s="5" t="s">
        <v>122</v>
      </c>
      <c r="B185" s="17">
        <v>0</v>
      </c>
      <c r="C185" s="18">
        <f>B30</f>
        <v>0</v>
      </c>
      <c r="D185" s="18">
        <f>B30</f>
        <v>0</v>
      </c>
      <c r="E185" s="18">
        <f>B30</f>
        <v>0</v>
      </c>
      <c r="F185" s="18">
        <f>B30</f>
        <v>0</v>
      </c>
      <c r="G185" s="18">
        <f>B30</f>
        <v>0</v>
      </c>
      <c r="H185" s="18">
        <f>B30</f>
        <v>0</v>
      </c>
      <c r="I185" s="18">
        <f>B30</f>
        <v>0</v>
      </c>
      <c r="J185" s="18">
        <f>B30</f>
        <v>0</v>
      </c>
      <c r="K185" s="18">
        <f>B30</f>
        <v>0</v>
      </c>
      <c r="L185" s="18">
        <f>B30</f>
        <v>0</v>
      </c>
      <c r="M185" s="18">
        <f>B30</f>
        <v>0</v>
      </c>
      <c r="N185" s="18">
        <f>B30</f>
        <v>0</v>
      </c>
      <c r="O185" s="18">
        <f>B30</f>
        <v>0</v>
      </c>
      <c r="P185" s="18">
        <f>B30</f>
        <v>0</v>
      </c>
      <c r="Q185" s="18">
        <f>B30</f>
        <v>0</v>
      </c>
      <c r="R185" s="18">
        <f>B30</f>
        <v>0</v>
      </c>
      <c r="S185" s="18">
        <f>B30</f>
        <v>0</v>
      </c>
      <c r="T185" s="18">
        <f>B30</f>
        <v>0</v>
      </c>
      <c r="U185" s="18">
        <f>B30</f>
        <v>0</v>
      </c>
      <c r="V185" s="18">
        <f>B30</f>
        <v>0</v>
      </c>
      <c r="W185" s="18">
        <f>B30</f>
        <v>0</v>
      </c>
      <c r="X185" s="18">
        <f>B30</f>
        <v>0</v>
      </c>
      <c r="Y185" s="18">
        <f>B30</f>
        <v>0</v>
      </c>
      <c r="Z185" s="18">
        <f>B30</f>
        <v>0</v>
      </c>
      <c r="AA185" s="18">
        <f>B30</f>
        <v>0</v>
      </c>
    </row>
    <row r="186" spans="1:27">
      <c r="A186" s="5" t="s">
        <v>123</v>
      </c>
      <c r="B186" s="17">
        <v>0</v>
      </c>
      <c r="C186" s="18">
        <f>B31</f>
        <v>0</v>
      </c>
      <c r="D186" s="18">
        <f>B31</f>
        <v>0</v>
      </c>
      <c r="E186" s="18">
        <f>B31</f>
        <v>0</v>
      </c>
      <c r="F186" s="18">
        <f>B31</f>
        <v>0</v>
      </c>
      <c r="G186" s="18">
        <f>B31</f>
        <v>0</v>
      </c>
      <c r="H186" s="18">
        <f>B31</f>
        <v>0</v>
      </c>
      <c r="I186" s="18">
        <f>B31</f>
        <v>0</v>
      </c>
      <c r="J186" s="18">
        <f>B31</f>
        <v>0</v>
      </c>
      <c r="K186" s="18">
        <f>B31</f>
        <v>0</v>
      </c>
      <c r="L186" s="18">
        <f>B31</f>
        <v>0</v>
      </c>
      <c r="M186" s="18">
        <f>B31</f>
        <v>0</v>
      </c>
      <c r="N186" s="18">
        <f>B31</f>
        <v>0</v>
      </c>
      <c r="O186" s="18">
        <f>B31</f>
        <v>0</v>
      </c>
      <c r="P186" s="18">
        <f>B31</f>
        <v>0</v>
      </c>
      <c r="Q186" s="18">
        <f>B31</f>
        <v>0</v>
      </c>
      <c r="R186" s="18">
        <f>B31</f>
        <v>0</v>
      </c>
      <c r="S186" s="18">
        <f>B31</f>
        <v>0</v>
      </c>
      <c r="T186" s="18">
        <f>B31</f>
        <v>0</v>
      </c>
      <c r="U186" s="18">
        <f>B31</f>
        <v>0</v>
      </c>
      <c r="V186" s="18">
        <f>B31</f>
        <v>0</v>
      </c>
      <c r="W186" s="18">
        <f>B31</f>
        <v>0</v>
      </c>
      <c r="X186" s="18">
        <f>B31</f>
        <v>0</v>
      </c>
      <c r="Y186" s="18">
        <f>B31</f>
        <v>0</v>
      </c>
      <c r="Z186" s="18">
        <f>B31</f>
        <v>0</v>
      </c>
      <c r="AA186" s="18">
        <f>B31</f>
        <v>0</v>
      </c>
    </row>
    <row r="187" spans="1:27">
      <c r="A187" s="5" t="s">
        <v>124</v>
      </c>
      <c r="B187" s="17">
        <v>0</v>
      </c>
      <c r="C187" s="18">
        <f>B38</f>
        <v>0</v>
      </c>
      <c r="D187" s="18">
        <f>B38</f>
        <v>0</v>
      </c>
      <c r="E187" s="18">
        <f>B38</f>
        <v>0</v>
      </c>
      <c r="F187" s="18">
        <f>B38</f>
        <v>0</v>
      </c>
      <c r="G187" s="18">
        <f>B38</f>
        <v>0</v>
      </c>
      <c r="H187" s="18">
        <f>B38</f>
        <v>0</v>
      </c>
      <c r="I187" s="18">
        <f>B38</f>
        <v>0</v>
      </c>
      <c r="J187" s="18">
        <f>B38</f>
        <v>0</v>
      </c>
      <c r="K187" s="18">
        <f>B38</f>
        <v>0</v>
      </c>
      <c r="L187" s="18">
        <f>B38</f>
        <v>0</v>
      </c>
      <c r="M187" s="18">
        <f>B38</f>
        <v>0</v>
      </c>
      <c r="N187" s="18">
        <f>B38</f>
        <v>0</v>
      </c>
      <c r="O187" s="18">
        <f>B38</f>
        <v>0</v>
      </c>
      <c r="P187" s="18">
        <f>B38</f>
        <v>0</v>
      </c>
      <c r="Q187" s="18">
        <f>B38</f>
        <v>0</v>
      </c>
      <c r="R187" s="18">
        <f>B38</f>
        <v>0</v>
      </c>
      <c r="S187" s="18">
        <f>B38</f>
        <v>0</v>
      </c>
      <c r="T187" s="18">
        <f>B38</f>
        <v>0</v>
      </c>
      <c r="U187" s="18">
        <f>B38</f>
        <v>0</v>
      </c>
      <c r="V187" s="18">
        <f>B38</f>
        <v>0</v>
      </c>
      <c r="W187" s="18">
        <f>B38</f>
        <v>0</v>
      </c>
      <c r="X187" s="18">
        <f>B38</f>
        <v>0</v>
      </c>
      <c r="Y187" s="18">
        <f>B38</f>
        <v>0</v>
      </c>
      <c r="Z187" s="18">
        <f>B38</f>
        <v>0</v>
      </c>
      <c r="AA187" s="18">
        <f>B38</f>
        <v>0</v>
      </c>
    </row>
    <row r="188" spans="1:27">
      <c r="A188" s="5" t="s">
        <v>125</v>
      </c>
      <c r="B188" s="17">
        <v>0</v>
      </c>
      <c r="C188" s="18">
        <f>B33</f>
        <v>0</v>
      </c>
      <c r="D188" s="18">
        <f>B33</f>
        <v>0</v>
      </c>
      <c r="E188" s="18">
        <f>B33</f>
        <v>0</v>
      </c>
      <c r="F188" s="18">
        <f>B33</f>
        <v>0</v>
      </c>
      <c r="G188" s="18">
        <f>B33</f>
        <v>0</v>
      </c>
      <c r="H188" s="18">
        <f>B33</f>
        <v>0</v>
      </c>
      <c r="I188" s="18">
        <f>B33</f>
        <v>0</v>
      </c>
      <c r="J188" s="18">
        <f>B33</f>
        <v>0</v>
      </c>
      <c r="K188" s="18">
        <f>B33</f>
        <v>0</v>
      </c>
      <c r="L188" s="18">
        <f>B33</f>
        <v>0</v>
      </c>
      <c r="M188" s="18">
        <f>B33</f>
        <v>0</v>
      </c>
      <c r="N188" s="18">
        <f>B33</f>
        <v>0</v>
      </c>
      <c r="O188" s="18">
        <f>B33</f>
        <v>0</v>
      </c>
      <c r="P188" s="18">
        <f>B33</f>
        <v>0</v>
      </c>
      <c r="Q188" s="18">
        <f>B33</f>
        <v>0</v>
      </c>
      <c r="R188" s="18">
        <f>B33</f>
        <v>0</v>
      </c>
      <c r="S188" s="18">
        <f>B33</f>
        <v>0</v>
      </c>
      <c r="T188" s="18">
        <f>B33</f>
        <v>0</v>
      </c>
      <c r="U188" s="18">
        <f>B33</f>
        <v>0</v>
      </c>
      <c r="V188" s="18">
        <f>B33</f>
        <v>0</v>
      </c>
      <c r="W188" s="18">
        <f>B33</f>
        <v>0</v>
      </c>
      <c r="X188" s="18">
        <f>B33</f>
        <v>0</v>
      </c>
      <c r="Y188" s="18">
        <f>B33</f>
        <v>0</v>
      </c>
      <c r="Z188" s="18">
        <f>B33</f>
        <v>0</v>
      </c>
      <c r="AA188" s="18">
        <f>B33</f>
        <v>0</v>
      </c>
    </row>
    <row r="189" spans="1:27">
      <c r="A189" s="5" t="s">
        <v>126</v>
      </c>
      <c r="B189" s="17">
        <v>0</v>
      </c>
      <c r="C189" s="18">
        <f>B39</f>
        <v>0</v>
      </c>
      <c r="D189" s="18">
        <f>B39</f>
        <v>0</v>
      </c>
      <c r="E189" s="18">
        <f>B39</f>
        <v>0</v>
      </c>
      <c r="F189" s="18">
        <f>B39</f>
        <v>0</v>
      </c>
      <c r="G189" s="18">
        <f>B39</f>
        <v>0</v>
      </c>
      <c r="H189" s="18">
        <f>B39</f>
        <v>0</v>
      </c>
      <c r="I189" s="18">
        <f>B39</f>
        <v>0</v>
      </c>
      <c r="J189" s="18">
        <f>B39</f>
        <v>0</v>
      </c>
      <c r="K189" s="18">
        <f>B39</f>
        <v>0</v>
      </c>
      <c r="L189" s="18">
        <f>B39</f>
        <v>0</v>
      </c>
      <c r="M189" s="18">
        <f>B39</f>
        <v>0</v>
      </c>
      <c r="N189" s="18">
        <f>B39</f>
        <v>0</v>
      </c>
      <c r="O189" s="18">
        <f>B39</f>
        <v>0</v>
      </c>
      <c r="P189" s="18">
        <f>B39</f>
        <v>0</v>
      </c>
      <c r="Q189" s="18">
        <f>B39</f>
        <v>0</v>
      </c>
      <c r="R189" s="18">
        <f>B39</f>
        <v>0</v>
      </c>
      <c r="S189" s="18">
        <f>B39</f>
        <v>0</v>
      </c>
      <c r="T189" s="18">
        <f>B39</f>
        <v>0</v>
      </c>
      <c r="U189" s="18">
        <f>B39</f>
        <v>0</v>
      </c>
      <c r="V189" s="18">
        <f>B39</f>
        <v>0</v>
      </c>
      <c r="W189" s="18">
        <f>B39</f>
        <v>0</v>
      </c>
      <c r="X189" s="18">
        <f>B39</f>
        <v>0</v>
      </c>
      <c r="Y189" s="18">
        <f>B39</f>
        <v>0</v>
      </c>
      <c r="Z189" s="18">
        <f>B39</f>
        <v>0</v>
      </c>
      <c r="AA189" s="18">
        <f>B39</f>
        <v>0</v>
      </c>
    </row>
    <row r="190" spans="1:27">
      <c r="A190" s="5" t="s">
        <v>127</v>
      </c>
      <c r="B190" s="17">
        <v>0</v>
      </c>
      <c r="C190" s="9">
        <f>M178</f>
        <v>0</v>
      </c>
      <c r="D190" s="9">
        <f>N178</f>
        <v>0</v>
      </c>
      <c r="E190" s="9">
        <f>O178</f>
        <v>0</v>
      </c>
      <c r="F190" s="9">
        <f>P178</f>
        <v>0</v>
      </c>
      <c r="G190" s="9">
        <f>Q178</f>
        <v>0</v>
      </c>
      <c r="H190" s="9">
        <f>R178</f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</row>
    <row r="191" spans="1:27">
      <c r="A191" s="5" t="s">
        <v>128</v>
      </c>
      <c r="B191" s="17">
        <v>0</v>
      </c>
      <c r="C191" s="9">
        <f>M178</f>
        <v>0</v>
      </c>
      <c r="D191" s="9">
        <f>N178</f>
        <v>0</v>
      </c>
      <c r="E191" s="9">
        <f>O178</f>
        <v>0</v>
      </c>
      <c r="F191" s="9">
        <f>P178</f>
        <v>0</v>
      </c>
      <c r="G191" s="9">
        <f>Q178</f>
        <v>0</v>
      </c>
      <c r="H191" s="9">
        <f>R178</f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</row>
    <row r="192" spans="1:27">
      <c r="A192" s="5" t="s">
        <v>129</v>
      </c>
      <c r="B192" s="17">
        <v>0</v>
      </c>
      <c r="C192" s="9">
        <f>M179</f>
        <v>0</v>
      </c>
      <c r="D192" s="9">
        <f>N179</f>
        <v>0</v>
      </c>
      <c r="E192" s="9">
        <f>O179</f>
        <v>0</v>
      </c>
      <c r="F192" s="9">
        <f>P179</f>
        <v>0</v>
      </c>
      <c r="G192" s="9">
        <f>Q179</f>
        <v>0</v>
      </c>
      <c r="H192" s="9">
        <f>R179</f>
        <v>0</v>
      </c>
      <c r="I192" s="9">
        <f>S179</f>
        <v>0</v>
      </c>
      <c r="J192" s="9">
        <f>T179</f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</row>
    <row r="193" spans="1:27">
      <c r="A193" s="5" t="s">
        <v>130</v>
      </c>
      <c r="B193" s="17">
        <v>0</v>
      </c>
      <c r="C193" s="9">
        <v>0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</row>
    <row r="194" spans="1:27">
      <c r="A194" s="5" t="s">
        <v>131</v>
      </c>
      <c r="B194" s="17">
        <v>0</v>
      </c>
      <c r="C194" s="9">
        <v>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</row>
    <row r="195" spans="1:27">
      <c r="A195" s="5" t="s">
        <v>132</v>
      </c>
      <c r="B195" s="17">
        <v>0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</row>
    <row r="196" spans="1:27">
      <c r="A196" s="5" t="s">
        <v>133</v>
      </c>
      <c r="B196" s="17">
        <v>0</v>
      </c>
      <c r="C196" s="9">
        <v>0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</row>
    <row r="197" spans="1:27">
      <c r="A197" s="5" t="s">
        <v>134</v>
      </c>
      <c r="B197" s="17">
        <v>0</v>
      </c>
      <c r="C197" s="9">
        <v>0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</row>
    <row r="198" spans="1:27">
      <c r="A198" s="5" t="s">
        <v>135</v>
      </c>
      <c r="B198" s="17">
        <v>0</v>
      </c>
      <c r="C198" s="9">
        <v>0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</row>
    <row r="199" spans="1:27">
      <c r="A199" s="5" t="s">
        <v>136</v>
      </c>
      <c r="B199" s="8" cm="1">
        <f t="array" ref="B199:AA199">'Optimal Cash Flow'!B160:AA160 - 'BAU Cash Flow'!B22:AA22</f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</row>
    <row r="200" spans="1:27">
      <c r="A200" s="5" t="s">
        <v>137</v>
      </c>
      <c r="B200" s="7">
        <f>B199</f>
        <v>0</v>
      </c>
      <c r="C200" s="19">
        <f>C199+B200</f>
        <v>0</v>
      </c>
      <c r="D200" s="19">
        <f>D199+C200</f>
        <v>0</v>
      </c>
      <c r="E200" s="19">
        <f>E199+D200</f>
        <v>0</v>
      </c>
      <c r="F200" s="19">
        <f>F199+E200</f>
        <v>0</v>
      </c>
      <c r="G200" s="19">
        <f>G199+F200</f>
        <v>0</v>
      </c>
      <c r="H200" s="19">
        <f>H199+G200</f>
        <v>0</v>
      </c>
      <c r="I200" s="19">
        <f>I199+H200</f>
        <v>0</v>
      </c>
      <c r="J200" s="19">
        <f>J199+I200</f>
        <v>0</v>
      </c>
      <c r="K200" s="19">
        <f>K199+J200</f>
        <v>0</v>
      </c>
      <c r="L200" s="19">
        <f>L199+K200</f>
        <v>0</v>
      </c>
      <c r="M200" s="19">
        <f>M199+L200</f>
        <v>0</v>
      </c>
      <c r="N200" s="19">
        <f>N199+M200</f>
        <v>0</v>
      </c>
      <c r="O200" s="19">
        <f>O199+N200</f>
        <v>0</v>
      </c>
      <c r="P200" s="19">
        <f>P199+O200</f>
        <v>0</v>
      </c>
      <c r="Q200" s="19">
        <f>Q199+P200</f>
        <v>0</v>
      </c>
      <c r="R200" s="19">
        <f>R199+Q200</f>
        <v>0</v>
      </c>
      <c r="S200" s="19">
        <f>S199+R200</f>
        <v>0</v>
      </c>
      <c r="T200" s="19">
        <f>T199+S200</f>
        <v>0</v>
      </c>
      <c r="U200" s="19">
        <f>U199+T200</f>
        <v>0</v>
      </c>
      <c r="V200" s="19">
        <f>V199+U200</f>
        <v>0</v>
      </c>
      <c r="W200" s="19">
        <f>W199+V200</f>
        <v>0</v>
      </c>
      <c r="X200" s="19">
        <f>X199+W200</f>
        <v>0</v>
      </c>
      <c r="Y200" s="19">
        <f>Y199+X200</f>
        <v>0</v>
      </c>
      <c r="Z200" s="19">
        <f>Z199+Y200</f>
        <v>0</v>
      </c>
      <c r="AA200" s="19">
        <f>AA199+Z200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2.42578125" customWidth="1"/>
    <col min="2" max="27" width="11.140625" customWidth="1"/>
  </cols>
  <sheetData>
    <row r="1" spans="1:27">
      <c r="A1" s="20" t="s">
        <v>199</v>
      </c>
    </row>
    <row r="2" spans="1:27">
      <c r="A2" s="21" t="s">
        <v>200</v>
      </c>
      <c r="B2" s="21">
        <v>0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K2" s="21">
        <v>9</v>
      </c>
      <c r="L2" s="21">
        <v>10</v>
      </c>
      <c r="M2" s="21">
        <v>11</v>
      </c>
      <c r="N2" s="21">
        <v>12</v>
      </c>
      <c r="O2" s="21">
        <v>13</v>
      </c>
      <c r="P2" s="21">
        <v>14</v>
      </c>
      <c r="Q2" s="21">
        <v>15</v>
      </c>
      <c r="R2" s="21">
        <v>16</v>
      </c>
      <c r="S2" s="21">
        <v>17</v>
      </c>
      <c r="T2" s="21">
        <v>18</v>
      </c>
      <c r="U2" s="21">
        <v>19</v>
      </c>
      <c r="V2" s="21">
        <v>20</v>
      </c>
      <c r="W2" s="21">
        <v>21</v>
      </c>
      <c r="X2" s="21">
        <v>22</v>
      </c>
      <c r="Y2" s="21">
        <v>23</v>
      </c>
      <c r="Z2" s="21">
        <v>24</v>
      </c>
      <c r="AA2" s="21">
        <v>25</v>
      </c>
    </row>
    <row r="4" spans="1:27">
      <c r="A4" s="22" t="s">
        <v>201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>
      <c r="A5" s="8" t="s">
        <v>202</v>
      </c>
      <c r="C5" s="8" cm="1">
        <f t="array" ref="C5:AA5">-'Inputs and Outputs'!B24 * (1 + 'Inputs and Outputs'!B86/100)^C2:AA2</f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>
      <c r="A6" s="8" t="s">
        <v>203</v>
      </c>
      <c r="C6" s="8" cm="1">
        <f t="array" ref="C6:AA6">'Inputs and Outputs'!B25 * (1 + 'Inputs and Outputs'!B86/100)^C2:AA2</f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>
      <c r="A7" s="8" t="s">
        <v>204</v>
      </c>
      <c r="C7" s="8" cm="1">
        <f t="array" ref="C7:AA7">(-1*('Inputs and Outputs'!B36 * (1 + 'Inputs and Outputs'!B87/100)^C2:AA2))</f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>
      <c r="A8" s="8" t="s">
        <v>205</v>
      </c>
      <c r="C8" s="8" cm="1">
        <f t="array" ref="C8:AA8">(-1*('Inputs and Outputs'!B37 * (1 + 'Inputs and Outputs'!B88/100)^C2:AA2))</f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>
      <c r="A9" s="8" t="s">
        <v>59</v>
      </c>
    </row>
    <row r="10" spans="1:27">
      <c r="A10" s="23" t="s">
        <v>206</v>
      </c>
      <c r="C10" s="8" cm="1">
        <f t="array" ref="C10:AA10">-'Inputs and Outputs'!B63 * (1 + 'Inputs and Outputs'!B85/100)^C2:AA2 * ('Inputs and Outputs'!B3 - 'Inputs and Outputs'!B4)</f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>
      <c r="A11" s="23" t="s">
        <v>207</v>
      </c>
      <c r="C11" s="8" cm="1">
        <f t="array" ref="C11:AA11">-'Inputs and Outputs'!B63 * (1 + 'Inputs and Outputs'!B85/100)^C2:AA2 * ('Inputs and Outputs'!B4)</f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>
      <c r="A12" s="23" t="s">
        <v>208</v>
      </c>
      <c r="C12" s="8" cm="1">
        <f t="array" ref="C12:AA12">-'Inputs and Outputs'!B64 * (1 + 'Inputs and Outputs'!B85/100)^C2:AA2 * ('Inputs and Outputs'!B7)</f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>
      <c r="A13" s="23" t="s">
        <v>209</v>
      </c>
      <c r="C13" s="8" cm="1">
        <f t="array" ref="C13:AA13">-'Inputs and Outputs'!B65 * (1 + 'Inputs and Outputs'!B85/100)^C2:AA2 * ('Inputs and Outputs'!B9)</f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>
      <c r="A14" s="23" t="s">
        <v>210</v>
      </c>
      <c r="C14" s="8" cm="1">
        <f t="array" ref="C14:AA14">-'Inputs and Outputs'!B66 * (1 + 'Inputs and Outputs'!B85/100)^C2:AA2 * ('Inputs and Outputs'!B30)</f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>
      <c r="A15" s="23" t="s">
        <v>211</v>
      </c>
      <c r="C15" s="8" cm="1">
        <f t="array" ref="C15:AA15">-'Inputs and Outputs'!B67 * (1+'Inputs and Outputs'!B85/100)^C2:AA2</f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>
      <c r="A16" s="23" t="s">
        <v>212</v>
      </c>
      <c r="C16" s="8" cm="1">
        <f t="array" ref="C16:AA16">-IF(C2:AA2 = 'Inputs and Outputs'!B70, 'Inputs and Outputs'!B11 * 'Inputs and Outputs'!B69, 0)</f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>
      <c r="A17" s="23" t="s">
        <v>213</v>
      </c>
      <c r="C17" s="8" cm="1">
        <f t="array" ref="C17:AA17">-IF(C2:AA2 = 'Inputs and Outputs'!B70, 'Inputs and Outputs'!B12 * 'Inputs and Outputs'!B71, 0)</f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>
      <c r="A18" s="23" t="s">
        <v>214</v>
      </c>
      <c r="C18" s="8" cm="1">
        <f t="array" ref="C18:AA18">-'Inputs and Outputs'!B73 * 'Inputs and Outputs'!B13 * (1+'Inputs and Outputs'!B85/100)^C2:AA2</f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</row>
    <row r="19" spans="1:27">
      <c r="A19" s="23" t="s">
        <v>215</v>
      </c>
      <c r="C19" s="8" cm="1">
        <f t="array" ref="C19:AA19">-'Inputs and Outputs'!B74 * 'Inputs and Outputs'!B31 * (1+'Inputs and Outputs'!B85/100)^C2:AA2</f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>
      <c r="A20" s="23" t="s">
        <v>216</v>
      </c>
      <c r="C20" s="8" cm="1">
        <f t="array" ref="C20:AA20">-'Inputs and Outputs'!B75 * 'Inputs and Outputs'!B13 * 'Inputs and Outputs'!B32 * (1+'Inputs and Outputs'!B85/100)^C2:AA2</f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>
      <c r="A21" s="23" t="s">
        <v>217</v>
      </c>
      <c r="C21" s="8" cm="1">
        <f t="array" ref="C21:AA21">-'Inputs and Outputs'!B76 * 'Inputs and Outputs'!B14 * (1+'Inputs and Outputs'!B85/100)^C2:AA2</f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</row>
    <row r="22" spans="1:27">
      <c r="A22" s="23" t="s">
        <v>218</v>
      </c>
      <c r="C22" s="8" cm="1">
        <f t="array" ref="C22:AA22">-'Inputs and Outputs'!B77 * 'Inputs and Outputs'!B15 * (1+'Inputs and Outputs'!B85/100)^C2:AA2</f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</row>
    <row r="23" spans="1:27">
      <c r="A23" s="23" t="s">
        <v>219</v>
      </c>
      <c r="C23" s="8" cm="1">
        <f t="array" ref="C23:AA23">-'Inputs and Outputs'!B78 * 'Inputs and Outputs'!B16 * (1+'Inputs and Outputs'!B85/100)^C2:AA2</f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>
      <c r="A24" s="23" t="s">
        <v>220</v>
      </c>
      <c r="C24" s="8" cm="1">
        <f t="array" ref="C24:AA24">-'Inputs and Outputs'!B79 * 'Inputs and Outputs'!B17 * (1+'Inputs and Outputs'!B85/100)^C2:AA2</f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>
      <c r="A25" s="23" t="s">
        <v>221</v>
      </c>
      <c r="C25" s="8" cm="1">
        <f t="array" ref="C25:AA25">-'Inputs and Outputs'!B80 * 'Inputs and Outputs'!B33 * (1+'Inputs and Outputs'!B85/100)^C2:AA2</f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</row>
    <row r="26" spans="1:27">
      <c r="A26" s="23" t="s">
        <v>222</v>
      </c>
      <c r="C26" s="8" cm="1">
        <f t="array" ref="C26:AA26">-'Inputs and Outputs'!B81 * (1+'Inputs and Outputs'!B85/100)^C2:AA2</f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</row>
    <row r="27" spans="1:27">
      <c r="A27" s="19" t="s">
        <v>223</v>
      </c>
      <c r="C27" s="8">
        <f>SUM(C5:C26)</f>
        <v>0</v>
      </c>
      <c r="D27" s="8">
        <f>SUM(D5:D26)</f>
        <v>0</v>
      </c>
      <c r="E27" s="8">
        <f>SUM(E5:E26)</f>
        <v>0</v>
      </c>
      <c r="F27" s="8">
        <f>SUM(F5:F26)</f>
        <v>0</v>
      </c>
      <c r="G27" s="8">
        <f>SUM(G5:G26)</f>
        <v>0</v>
      </c>
      <c r="H27" s="8">
        <f>SUM(H5:H26)</f>
        <v>0</v>
      </c>
      <c r="I27" s="8">
        <f>SUM(I5:I26)</f>
        <v>0</v>
      </c>
      <c r="J27" s="8">
        <f>SUM(J5:J26)</f>
        <v>0</v>
      </c>
      <c r="K27" s="8">
        <f>SUM(K5:K26)</f>
        <v>0</v>
      </c>
      <c r="L27" s="8">
        <f>SUM(L5:L26)</f>
        <v>0</v>
      </c>
      <c r="M27" s="8">
        <f>SUM(M5:M26)</f>
        <v>0</v>
      </c>
      <c r="N27" s="8">
        <f>SUM(N5:N26)</f>
        <v>0</v>
      </c>
      <c r="O27" s="8">
        <f>SUM(O5:O26)</f>
        <v>0</v>
      </c>
      <c r="P27" s="8">
        <f>SUM(P5:P26)</f>
        <v>0</v>
      </c>
      <c r="Q27" s="8">
        <f>SUM(Q5:Q26)</f>
        <v>0</v>
      </c>
      <c r="R27" s="8">
        <f>SUM(R5:R26)</f>
        <v>0</v>
      </c>
      <c r="S27" s="8">
        <f>SUM(S5:S26)</f>
        <v>0</v>
      </c>
      <c r="T27" s="8">
        <f>SUM(T5:T26)</f>
        <v>0</v>
      </c>
      <c r="U27" s="8">
        <f>SUM(U5:U26)</f>
        <v>0</v>
      </c>
      <c r="V27" s="8">
        <f>SUM(V5:V26)</f>
        <v>0</v>
      </c>
      <c r="W27" s="8">
        <f>SUM(W5:W26)</f>
        <v>0</v>
      </c>
      <c r="X27" s="8">
        <f>SUM(X5:X26)</f>
        <v>0</v>
      </c>
      <c r="Y27" s="8">
        <f>SUM(Y5:Y26)</f>
        <v>0</v>
      </c>
      <c r="Z27" s="8">
        <f>SUM(Z5:Z26)</f>
        <v>0</v>
      </c>
      <c r="AA27" s="8">
        <f>SUM(AA5:AA26)</f>
        <v>0</v>
      </c>
    </row>
    <row r="28" spans="1:27">
      <c r="A28" s="19" t="s">
        <v>224</v>
      </c>
      <c r="C28" s="8">
        <f>IF('Inputs and Outputs'!B92 &gt; 0, C27, 0)</f>
        <v>0</v>
      </c>
      <c r="D28" s="8">
        <f>IF('Inputs and Outputs'!B92 &gt; 0, D27, 0)</f>
        <v>0</v>
      </c>
      <c r="E28" s="8">
        <f>IF('Inputs and Outputs'!B92 &gt; 0, E27, 0)</f>
        <v>0</v>
      </c>
      <c r="F28" s="8">
        <f>IF('Inputs and Outputs'!B92 &gt; 0, F27, 0)</f>
        <v>0</v>
      </c>
      <c r="G28" s="8">
        <f>IF('Inputs and Outputs'!B92 &gt; 0, G27, 0)</f>
        <v>0</v>
      </c>
      <c r="H28" s="8">
        <f>IF('Inputs and Outputs'!B92 &gt; 0, H27, 0)</f>
        <v>0</v>
      </c>
      <c r="I28" s="8">
        <f>IF('Inputs and Outputs'!B92 &gt; 0, I27, 0)</f>
        <v>0</v>
      </c>
      <c r="J28" s="8">
        <f>IF('Inputs and Outputs'!B92 &gt; 0, J27, 0)</f>
        <v>0</v>
      </c>
      <c r="K28" s="8">
        <f>IF('Inputs and Outputs'!B92 &gt; 0, K27, 0)</f>
        <v>0</v>
      </c>
      <c r="L28" s="8">
        <f>IF('Inputs and Outputs'!B92 &gt; 0, L27, 0)</f>
        <v>0</v>
      </c>
      <c r="M28" s="8">
        <f>IF('Inputs and Outputs'!B92 &gt; 0, M27, 0)</f>
        <v>0</v>
      </c>
      <c r="N28" s="8">
        <f>IF('Inputs and Outputs'!B92 &gt; 0, N27, 0)</f>
        <v>0</v>
      </c>
      <c r="O28" s="8">
        <f>IF('Inputs and Outputs'!B92 &gt; 0, O27, 0)</f>
        <v>0</v>
      </c>
      <c r="P28" s="8">
        <f>IF('Inputs and Outputs'!B92 &gt; 0, P27, 0)</f>
        <v>0</v>
      </c>
      <c r="Q28" s="8">
        <f>IF('Inputs and Outputs'!B92 &gt; 0, Q27, 0)</f>
        <v>0</v>
      </c>
      <c r="R28" s="8">
        <f>IF('Inputs and Outputs'!B92 &gt; 0, R27, 0)</f>
        <v>0</v>
      </c>
      <c r="S28" s="8">
        <f>IF('Inputs and Outputs'!B92 &gt; 0, S27, 0)</f>
        <v>0</v>
      </c>
      <c r="T28" s="8">
        <f>IF('Inputs and Outputs'!B92 &gt; 0, T27, 0)</f>
        <v>0</v>
      </c>
      <c r="U28" s="8">
        <f>IF('Inputs and Outputs'!B92 &gt; 0, U27, 0)</f>
        <v>0</v>
      </c>
      <c r="V28" s="8">
        <f>IF('Inputs and Outputs'!B92 &gt; 0, V27, 0)</f>
        <v>0</v>
      </c>
      <c r="W28" s="8">
        <f>IF('Inputs and Outputs'!B92 &gt; 0, W27, 0)</f>
        <v>0</v>
      </c>
      <c r="X28" s="8">
        <f>IF('Inputs and Outputs'!B92 &gt; 0, X27, 0)</f>
        <v>0</v>
      </c>
      <c r="Y28" s="8">
        <f>IF('Inputs and Outputs'!B92 &gt; 0, Y27, 0)</f>
        <v>0</v>
      </c>
      <c r="Z28" s="8">
        <f>IF('Inputs and Outputs'!B92 &gt; 0, Z27, 0)</f>
        <v>0</v>
      </c>
      <c r="AA28" s="8">
        <f>IF('Inputs and Outputs'!B92 &gt; 0, AA27, 0)</f>
        <v>0</v>
      </c>
    </row>
    <row r="30" spans="1:27">
      <c r="A30" s="22" t="s">
        <v>225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>
      <c r="A31" s="8" t="s">
        <v>226</v>
      </c>
    </row>
    <row r="32" spans="1:27">
      <c r="A32" s="23" t="s">
        <v>227</v>
      </c>
      <c r="B32" s="8">
        <f>MIN(('Inputs and Outputs'!B102/100)*('Inputs and Outputs'!B52-B33-B38),'Inputs and Outputs'!C102)</f>
        <v>0</v>
      </c>
    </row>
    <row r="33" spans="1:2">
      <c r="A33" s="23" t="s">
        <v>228</v>
      </c>
      <c r="B33" s="8">
        <f>MIN(('Inputs and Outputs'!B103/100)*'Inputs and Outputs'!B52,'Inputs and Outputs'!C103)</f>
        <v>0</v>
      </c>
    </row>
    <row r="34" spans="1:2">
      <c r="A34" s="23" t="s">
        <v>229</v>
      </c>
      <c r="B34" s="8">
        <f>SUM(B32,B33)</f>
        <v>0</v>
      </c>
    </row>
    <row r="35" spans="1:2">
      <c r="A35" s="8" t="s">
        <v>230</v>
      </c>
      <c r="B35" s="8"/>
    </row>
    <row r="36" spans="1:2">
      <c r="A36" s="23" t="s">
        <v>231</v>
      </c>
      <c r="B36" s="8">
        <f>MIN('Inputs and Outputs'!B105*'Inputs and Outputs'!B3*1000,'Inputs and Outputs'!C105)</f>
        <v>0</v>
      </c>
    </row>
    <row r="37" spans="1:2">
      <c r="A37" s="23" t="s">
        <v>232</v>
      </c>
      <c r="B37" s="8">
        <f>MIN('Inputs and Outputs'!B106*'Inputs and Outputs'!B3*1000,'Inputs and Outputs'!C106)</f>
        <v>0</v>
      </c>
    </row>
    <row r="38" spans="1:2">
      <c r="A38" s="23" t="s">
        <v>233</v>
      </c>
      <c r="B38" s="8">
        <f>MIN('Inputs and Outputs'!B107*'Inputs and Outputs'!B3*1000,'Inputs and Outputs'!C107)</f>
        <v>0</v>
      </c>
    </row>
    <row r="39" spans="1:2">
      <c r="A39" s="23" t="s">
        <v>229</v>
      </c>
      <c r="B39" s="8">
        <f>SUM(B36,B37,B38)</f>
        <v>0</v>
      </c>
    </row>
    <row r="40" spans="1:2">
      <c r="A40" s="8" t="s">
        <v>234</v>
      </c>
      <c r="B40" s="8"/>
    </row>
    <row r="41" spans="1:2">
      <c r="A41" s="23" t="s">
        <v>227</v>
      </c>
      <c r="B41" s="8">
        <f>MIN(('Inputs and Outputs'!B119/100)*('Inputs and Outputs'!B53-B42-B47),'Inputs and Outputs'!C119)</f>
        <v>0</v>
      </c>
    </row>
    <row r="42" spans="1:2">
      <c r="A42" s="23" t="s">
        <v>228</v>
      </c>
      <c r="B42" s="8">
        <f>MIN(('Inputs and Outputs'!B120/100)*'Inputs and Outputs'!B53,'Inputs and Outputs'!C120)</f>
        <v>0</v>
      </c>
    </row>
    <row r="43" spans="1:2">
      <c r="A43" s="23" t="s">
        <v>229</v>
      </c>
      <c r="B43" s="8">
        <f>SUM(B41,B42)</f>
        <v>0</v>
      </c>
    </row>
    <row r="44" spans="1:2">
      <c r="A44" s="8" t="s">
        <v>235</v>
      </c>
      <c r="B44" s="8"/>
    </row>
    <row r="45" spans="1:2">
      <c r="A45" s="23" t="s">
        <v>231</v>
      </c>
      <c r="B45" s="8">
        <f>MIN('Inputs and Outputs'!B122*'Inputs and Outputs'!B7*1000,'Inputs and Outputs'!C122)</f>
        <v>0</v>
      </c>
    </row>
    <row r="46" spans="1:2">
      <c r="A46" s="23" t="s">
        <v>232</v>
      </c>
      <c r="B46" s="8">
        <f>MIN('Inputs and Outputs'!B123*'Inputs and Outputs'!B7*1000,'Inputs and Outputs'!C123)</f>
        <v>0</v>
      </c>
    </row>
    <row r="47" spans="1:2">
      <c r="A47" s="23" t="s">
        <v>233</v>
      </c>
      <c r="B47" s="8">
        <f>MIN('Inputs and Outputs'!B124*'Inputs and Outputs'!B7*1000,'Inputs and Outputs'!C124)</f>
        <v>0</v>
      </c>
    </row>
    <row r="48" spans="1:2">
      <c r="A48" s="23" t="s">
        <v>229</v>
      </c>
      <c r="B48" s="8">
        <f>SUM(B45,B46,B47)</f>
        <v>0</v>
      </c>
    </row>
    <row r="49" spans="1:2">
      <c r="A49" s="8" t="s">
        <v>236</v>
      </c>
      <c r="B49" s="8"/>
    </row>
    <row r="50" spans="1:2">
      <c r="A50" s="23" t="s">
        <v>227</v>
      </c>
      <c r="B50" s="8">
        <f>MIN(('Inputs and Outputs'!B136/100)*('Inputs and Outputs'!B55),'Inputs and Outputs'!C136)</f>
        <v>0</v>
      </c>
    </row>
    <row r="51" spans="1:2">
      <c r="A51" s="23" t="s">
        <v>228</v>
      </c>
      <c r="B51" s="8">
        <f>MIN(('Inputs and Outputs'!B137/100)*'Inputs and Outputs'!B55,'Inputs and Outputs'!C137)</f>
        <v>0</v>
      </c>
    </row>
    <row r="52" spans="1:2">
      <c r="A52" s="23" t="s">
        <v>229</v>
      </c>
      <c r="B52" s="8">
        <f>SUM(B50,B51)</f>
        <v>0</v>
      </c>
    </row>
    <row r="53" spans="1:2">
      <c r="A53" s="8" t="s">
        <v>237</v>
      </c>
      <c r="B53" s="8"/>
    </row>
    <row r="54" spans="1:2">
      <c r="A54" s="23" t="s">
        <v>238</v>
      </c>
      <c r="B54" s="8">
        <f>MIN('Inputs and Outputs'!B139*'Inputs and Outputs'!B11*1000,'Inputs and Outputs'!C139)</f>
        <v>0</v>
      </c>
    </row>
    <row r="55" spans="1:2">
      <c r="A55" s="23" t="s">
        <v>239</v>
      </c>
      <c r="B55" s="8">
        <f>MIN('Inputs and Outputs'!B140*'Inputs and Outputs'!B12*1000,'Inputs and Outputs'!C140)</f>
        <v>0</v>
      </c>
    </row>
    <row r="56" spans="1:2">
      <c r="A56" s="23" t="s">
        <v>229</v>
      </c>
      <c r="B56" s="8">
        <f>SUM(B54,B55)</f>
        <v>0</v>
      </c>
    </row>
    <row r="57" spans="1:2">
      <c r="A57" s="8" t="s">
        <v>240</v>
      </c>
      <c r="B57" s="8"/>
    </row>
    <row r="58" spans="1:2">
      <c r="A58" s="23" t="s">
        <v>227</v>
      </c>
      <c r="B58" s="8">
        <f>MIN(('Inputs and Outputs'!B150/100)*('Inputs and Outputs'!B56-B59-B64),'Inputs and Outputs'!C150)</f>
        <v>0</v>
      </c>
    </row>
    <row r="59" spans="1:2">
      <c r="A59" s="23" t="s">
        <v>228</v>
      </c>
      <c r="B59" s="8">
        <f>MIN(('Inputs and Outputs'!B151/100)*'Inputs and Outputs'!B56,'Inputs and Outputs'!C151)</f>
        <v>0</v>
      </c>
    </row>
    <row r="60" spans="1:2">
      <c r="A60" s="23" t="s">
        <v>229</v>
      </c>
      <c r="B60" s="8">
        <f>SUM(B58,B59)</f>
        <v>0</v>
      </c>
    </row>
    <row r="61" spans="1:2">
      <c r="A61" s="8" t="s">
        <v>241</v>
      </c>
      <c r="B61" s="8"/>
    </row>
    <row r="62" spans="1:2">
      <c r="A62" s="23" t="s">
        <v>231</v>
      </c>
      <c r="B62" s="8">
        <f>MIN('Inputs and Outputs'!B153*'Inputs and Outputs'!B13*1000,'Inputs and Outputs'!C153)</f>
        <v>0</v>
      </c>
    </row>
    <row r="63" spans="1:2">
      <c r="A63" s="23" t="s">
        <v>232</v>
      </c>
      <c r="B63" s="8">
        <f>MIN('Inputs and Outputs'!B154*'Inputs and Outputs'!B13*1000,'Inputs and Outputs'!C154)</f>
        <v>0</v>
      </c>
    </row>
    <row r="64" spans="1:2">
      <c r="A64" s="23" t="s">
        <v>233</v>
      </c>
      <c r="B64" s="8">
        <f>MIN('Inputs and Outputs'!B155*'Inputs and Outputs'!B13*1000,'Inputs and Outputs'!C155)</f>
        <v>0</v>
      </c>
    </row>
    <row r="65" spans="1:2">
      <c r="A65" s="23" t="s">
        <v>229</v>
      </c>
      <c r="B65" s="8">
        <f>SUM(B62,B63,B64)</f>
        <v>0</v>
      </c>
    </row>
    <row r="66" spans="1:2">
      <c r="B66" s="8"/>
    </row>
    <row r="67" spans="1:2">
      <c r="A67" s="8" t="s">
        <v>242</v>
      </c>
      <c r="B67" s="8">
        <f>SUM(B34,B39,B43,B48,B52,B56,B60,B65)</f>
        <v>0</v>
      </c>
    </row>
    <row r="68" spans="1:2">
      <c r="B68" s="8"/>
    </row>
    <row r="69" spans="1:2">
      <c r="A69" s="8" t="s">
        <v>243</v>
      </c>
    </row>
    <row r="70" spans="1:2">
      <c r="A70" s="23" t="s">
        <v>227</v>
      </c>
      <c r="B70" s="8">
        <f>MIN(('Inputs and Outputs'!B167/100)*('Inputs and Outputs'!B61-B71-B76),'Inputs and Outputs'!C167)</f>
        <v>0</v>
      </c>
    </row>
    <row r="71" spans="1:2">
      <c r="A71" s="23" t="s">
        <v>228</v>
      </c>
      <c r="B71" s="8">
        <f>MIN(('Inputs and Outputs'!B168/100)*'Inputs and Outputs'!B61,'Inputs and Outputs'!C168)</f>
        <v>0</v>
      </c>
    </row>
    <row r="72" spans="1:2">
      <c r="A72" s="23" t="s">
        <v>229</v>
      </c>
      <c r="B72" s="8">
        <f>SUM(B70,B71)</f>
        <v>0</v>
      </c>
    </row>
    <row r="73" spans="1:2">
      <c r="A73" s="8" t="s">
        <v>244</v>
      </c>
      <c r="B73" s="8"/>
    </row>
    <row r="74" spans="1:2">
      <c r="A74" s="23" t="s">
        <v>231</v>
      </c>
      <c r="B74" s="8">
        <f>MIN('Inputs and Outputs'!B170*'Inputs and Outputs'!B18,'Inputs and Outputs'!C170)</f>
        <v>0</v>
      </c>
    </row>
    <row r="75" spans="1:2">
      <c r="A75" s="23" t="s">
        <v>232</v>
      </c>
      <c r="B75" s="8">
        <f>MIN('Inputs and Outputs'!B171*'Inputs and Outputs'!B18,'Inputs and Outputs'!C171)</f>
        <v>0</v>
      </c>
    </row>
    <row r="76" spans="1:2">
      <c r="A76" s="23" t="s">
        <v>233</v>
      </c>
      <c r="B76" s="8">
        <f>MIN('Inputs and Outputs'!B172*'Inputs and Outputs'!B18,'Inputs and Outputs'!C172)</f>
        <v>0</v>
      </c>
    </row>
    <row r="77" spans="1:2">
      <c r="A77" s="23" t="s">
        <v>229</v>
      </c>
      <c r="B77" s="8">
        <f>SUM(B74,B75,B76)</f>
        <v>0</v>
      </c>
    </row>
    <row r="78" spans="1:2">
      <c r="B78" s="8"/>
    </row>
    <row r="79" spans="1:2">
      <c r="A79" s="8" t="s">
        <v>242</v>
      </c>
      <c r="B79" s="8">
        <f>SUM(B34,B39,B43,B48,B52,B56,B60,B65,B72,B77)</f>
        <v>0</v>
      </c>
    </row>
    <row r="80" spans="1:2">
      <c r="B80" s="8"/>
    </row>
    <row r="81" spans="1:27">
      <c r="A81" s="8" t="s">
        <v>245</v>
      </c>
    </row>
    <row r="82" spans="1:27">
      <c r="A82" s="23" t="s">
        <v>246</v>
      </c>
      <c r="C82" s="8">
        <f>IF(0 &lt; 'Inputs and Outputs'!E109, MIN('Inputs and Outputs'!B109 * ('Inputs and Outputs'!C182 - 'Inputs and Outputs'!C183), 'Inputs and Outputs'!C109 * (1 - 'Inputs and Outputs'!B5/100)^0), 0)</f>
        <v>0</v>
      </c>
      <c r="D82" s="8">
        <f>IF(1 &lt; 'Inputs and Outputs'!E109, MIN('Inputs and Outputs'!B109 * ('Inputs and Outputs'!D182 - 'Inputs and Outputs'!D183), 'Inputs and Outputs'!C109 * (1 - 'Inputs and Outputs'!B5/100)^1), 0)</f>
        <v>0</v>
      </c>
      <c r="E82" s="8">
        <f>IF(2 &lt; 'Inputs and Outputs'!E109, MIN('Inputs and Outputs'!B109 * ('Inputs and Outputs'!E182 - 'Inputs and Outputs'!E183), 'Inputs and Outputs'!C109 * (1 - 'Inputs and Outputs'!B5/100)^2), 0)</f>
        <v>0</v>
      </c>
      <c r="F82" s="8">
        <f>IF(3 &lt; 'Inputs and Outputs'!E109, MIN('Inputs and Outputs'!B109 * ('Inputs and Outputs'!F182 - 'Inputs and Outputs'!F183), 'Inputs and Outputs'!C109 * (1 - 'Inputs and Outputs'!B5/100)^3), 0)</f>
        <v>0</v>
      </c>
      <c r="G82" s="8">
        <f>IF(4 &lt; 'Inputs and Outputs'!E109, MIN('Inputs and Outputs'!B109 * ('Inputs and Outputs'!G182 - 'Inputs and Outputs'!G183), 'Inputs and Outputs'!C109 * (1 - 'Inputs and Outputs'!B5/100)^4), 0)</f>
        <v>0</v>
      </c>
      <c r="H82" s="8">
        <f>IF(5 &lt; 'Inputs and Outputs'!E109, MIN('Inputs and Outputs'!B109 * ('Inputs and Outputs'!H182 - 'Inputs and Outputs'!H183), 'Inputs and Outputs'!C109 * (1 - 'Inputs and Outputs'!B5/100)^5), 0)</f>
        <v>0</v>
      </c>
      <c r="I82" s="8">
        <f>IF(6 &lt; 'Inputs and Outputs'!E109, MIN('Inputs and Outputs'!B109 * ('Inputs and Outputs'!I182 - 'Inputs and Outputs'!I183), 'Inputs and Outputs'!C109 * (1 - 'Inputs and Outputs'!B5/100)^6), 0)</f>
        <v>0</v>
      </c>
      <c r="J82" s="8">
        <f>IF(7 &lt; 'Inputs and Outputs'!E109, MIN('Inputs and Outputs'!B109 * ('Inputs and Outputs'!J182 - 'Inputs and Outputs'!J183), 'Inputs and Outputs'!C109 * (1 - 'Inputs and Outputs'!B5/100)^7), 0)</f>
        <v>0</v>
      </c>
      <c r="K82" s="8">
        <f>IF(8 &lt; 'Inputs and Outputs'!E109, MIN('Inputs and Outputs'!B109 * ('Inputs and Outputs'!K182 - 'Inputs and Outputs'!K183), 'Inputs and Outputs'!C109 * (1 - 'Inputs and Outputs'!B5/100)^8), 0)</f>
        <v>0</v>
      </c>
      <c r="L82" s="8">
        <f>IF(9 &lt; 'Inputs and Outputs'!E109, MIN('Inputs and Outputs'!B109 * ('Inputs and Outputs'!L182 - 'Inputs and Outputs'!L183), 'Inputs and Outputs'!C109 * (1 - 'Inputs and Outputs'!B5/100)^9), 0)</f>
        <v>0</v>
      </c>
      <c r="M82" s="8">
        <f>IF(10 &lt; 'Inputs and Outputs'!E109, MIN('Inputs and Outputs'!B109 * ('Inputs and Outputs'!M182 - 'Inputs and Outputs'!M183), 'Inputs and Outputs'!C109 * (1 - 'Inputs and Outputs'!B5/100)^10), 0)</f>
        <v>0</v>
      </c>
      <c r="N82" s="8">
        <f>IF(11 &lt; 'Inputs and Outputs'!E109, MIN('Inputs and Outputs'!B109 * ('Inputs and Outputs'!N182 - 'Inputs and Outputs'!N183), 'Inputs and Outputs'!C109 * (1 - 'Inputs and Outputs'!B5/100)^11), 0)</f>
        <v>0</v>
      </c>
      <c r="O82" s="8">
        <f>IF(12 &lt; 'Inputs and Outputs'!E109, MIN('Inputs and Outputs'!B109 * ('Inputs and Outputs'!O182 - 'Inputs and Outputs'!O183), 'Inputs and Outputs'!C109 * (1 - 'Inputs and Outputs'!B5/100)^12), 0)</f>
        <v>0</v>
      </c>
      <c r="P82" s="8">
        <f>IF(13 &lt; 'Inputs and Outputs'!E109, MIN('Inputs and Outputs'!B109 * ('Inputs and Outputs'!P182 - 'Inputs and Outputs'!P183), 'Inputs and Outputs'!C109 * (1 - 'Inputs and Outputs'!B5/100)^13), 0)</f>
        <v>0</v>
      </c>
      <c r="Q82" s="8">
        <f>IF(14 &lt; 'Inputs and Outputs'!E109, MIN('Inputs and Outputs'!B109 * ('Inputs and Outputs'!Q182 - 'Inputs and Outputs'!Q183), 'Inputs and Outputs'!C109 * (1 - 'Inputs and Outputs'!B5/100)^14), 0)</f>
        <v>0</v>
      </c>
      <c r="R82" s="8">
        <f>IF(15 &lt; 'Inputs and Outputs'!E109, MIN('Inputs and Outputs'!B109 * ('Inputs and Outputs'!R182 - 'Inputs and Outputs'!R183), 'Inputs and Outputs'!C109 * (1 - 'Inputs and Outputs'!B5/100)^15), 0)</f>
        <v>0</v>
      </c>
      <c r="S82" s="8">
        <f>IF(16 &lt; 'Inputs and Outputs'!E109, MIN('Inputs and Outputs'!B109 * ('Inputs and Outputs'!S182 - 'Inputs and Outputs'!S183), 'Inputs and Outputs'!C109 * (1 - 'Inputs and Outputs'!B5/100)^16), 0)</f>
        <v>0</v>
      </c>
      <c r="T82" s="8">
        <f>IF(17 &lt; 'Inputs and Outputs'!E109, MIN('Inputs and Outputs'!B109 * ('Inputs and Outputs'!T182 - 'Inputs and Outputs'!T183), 'Inputs and Outputs'!C109 * (1 - 'Inputs and Outputs'!B5/100)^17), 0)</f>
        <v>0</v>
      </c>
      <c r="U82" s="8">
        <f>IF(18 &lt; 'Inputs and Outputs'!E109, MIN('Inputs and Outputs'!B109 * ('Inputs and Outputs'!U182 - 'Inputs and Outputs'!U183), 'Inputs and Outputs'!C109 * (1 - 'Inputs and Outputs'!B5/100)^18), 0)</f>
        <v>0</v>
      </c>
      <c r="V82" s="8">
        <f>IF(19 &lt; 'Inputs and Outputs'!E109, MIN('Inputs and Outputs'!B109 * ('Inputs and Outputs'!V182 - 'Inputs and Outputs'!V183), 'Inputs and Outputs'!C109 * (1 - 'Inputs and Outputs'!B5/100)^19), 0)</f>
        <v>0</v>
      </c>
      <c r="W82" s="8">
        <f>IF(20 &lt; 'Inputs and Outputs'!E109, MIN('Inputs and Outputs'!B109 * ('Inputs and Outputs'!W182 - 'Inputs and Outputs'!W183), 'Inputs and Outputs'!C109 * (1 - 'Inputs and Outputs'!B5/100)^20), 0)</f>
        <v>0</v>
      </c>
      <c r="X82" s="8">
        <f>IF(21 &lt; 'Inputs and Outputs'!E109, MIN('Inputs and Outputs'!B109 * ('Inputs and Outputs'!X182 - 'Inputs and Outputs'!X183), 'Inputs and Outputs'!C109 * (1 - 'Inputs and Outputs'!B5/100)^21), 0)</f>
        <v>0</v>
      </c>
      <c r="Y82" s="8">
        <f>IF(22 &lt; 'Inputs and Outputs'!E109, MIN('Inputs and Outputs'!B109 * ('Inputs and Outputs'!Y182 - 'Inputs and Outputs'!Y183), 'Inputs and Outputs'!C109 * (1 - 'Inputs and Outputs'!B5/100)^22), 0)</f>
        <v>0</v>
      </c>
      <c r="Z82" s="8">
        <f>IF(23 &lt; 'Inputs and Outputs'!E109, MIN('Inputs and Outputs'!B109 * ('Inputs and Outputs'!Z182 - 'Inputs and Outputs'!Z183), 'Inputs and Outputs'!C109 * (1 - 'Inputs and Outputs'!B5/100)^23), 0)</f>
        <v>0</v>
      </c>
      <c r="AA82" s="8">
        <f>IF(24 &lt; 'Inputs and Outputs'!E109, MIN('Inputs and Outputs'!B109 * ('Inputs and Outputs'!AA182 - 'Inputs and Outputs'!AA183), 'Inputs and Outputs'!C109 * (1 - 'Inputs and Outputs'!B5/100)^24), 0)</f>
        <v>0</v>
      </c>
    </row>
    <row r="83" spans="1:27">
      <c r="A83" s="23" t="s">
        <v>247</v>
      </c>
      <c r="C83" s="8">
        <f>IF(0 &lt; 'Inputs and Outputs'!E109, MIN('Inputs and Outputs'!B109 * ('Inputs and Outputs'!C183), 'Inputs and Outputs'!C109 * (1 - 'Inputs and Outputs'!B5/100)^0), 0)</f>
        <v>0</v>
      </c>
      <c r="D83" s="8">
        <f>IF(1 &lt; 'Inputs and Outputs'!E109, MIN('Inputs and Outputs'!B109 * ('Inputs and Outputs'!D183), 'Inputs and Outputs'!C109 * (1 - 'Inputs and Outputs'!B5/100)^1), 0)</f>
        <v>0</v>
      </c>
      <c r="E83" s="8">
        <f>IF(2 &lt; 'Inputs and Outputs'!E109, MIN('Inputs and Outputs'!B109 * ('Inputs and Outputs'!E183), 'Inputs and Outputs'!C109 * (1 - 'Inputs and Outputs'!B5/100)^2), 0)</f>
        <v>0</v>
      </c>
      <c r="F83" s="8">
        <f>IF(3 &lt; 'Inputs and Outputs'!E109, MIN('Inputs and Outputs'!B109 * ('Inputs and Outputs'!F183), 'Inputs and Outputs'!C109 * (1 - 'Inputs and Outputs'!B5/100)^3), 0)</f>
        <v>0</v>
      </c>
      <c r="G83" s="8">
        <f>IF(4 &lt; 'Inputs and Outputs'!E109, MIN('Inputs and Outputs'!B109 * ('Inputs and Outputs'!G183), 'Inputs and Outputs'!C109 * (1 - 'Inputs and Outputs'!B5/100)^4), 0)</f>
        <v>0</v>
      </c>
      <c r="H83" s="8">
        <f>IF(5 &lt; 'Inputs and Outputs'!E109, MIN('Inputs and Outputs'!B109 * ('Inputs and Outputs'!H183), 'Inputs and Outputs'!C109 * (1 - 'Inputs and Outputs'!B5/100)^5), 0)</f>
        <v>0</v>
      </c>
      <c r="I83" s="8">
        <f>IF(6 &lt; 'Inputs and Outputs'!E109, MIN('Inputs and Outputs'!B109 * ('Inputs and Outputs'!I183), 'Inputs and Outputs'!C109 * (1 - 'Inputs and Outputs'!B5/100)^6), 0)</f>
        <v>0</v>
      </c>
      <c r="J83" s="8">
        <f>IF(7 &lt; 'Inputs and Outputs'!E109, MIN('Inputs and Outputs'!B109 * ('Inputs and Outputs'!J183), 'Inputs and Outputs'!C109 * (1 - 'Inputs and Outputs'!B5/100)^7), 0)</f>
        <v>0</v>
      </c>
      <c r="K83" s="8">
        <f>IF(8 &lt; 'Inputs and Outputs'!E109, MIN('Inputs and Outputs'!B109 * ('Inputs and Outputs'!K183), 'Inputs and Outputs'!C109 * (1 - 'Inputs and Outputs'!B5/100)^8), 0)</f>
        <v>0</v>
      </c>
      <c r="L83" s="8">
        <f>IF(9 &lt; 'Inputs and Outputs'!E109, MIN('Inputs and Outputs'!B109 * ('Inputs and Outputs'!L183), 'Inputs and Outputs'!C109 * (1 - 'Inputs and Outputs'!B5/100)^9), 0)</f>
        <v>0</v>
      </c>
      <c r="M83" s="8">
        <f>IF(10 &lt; 'Inputs and Outputs'!E109, MIN('Inputs and Outputs'!B109 * ('Inputs and Outputs'!M183), 'Inputs and Outputs'!C109 * (1 - 'Inputs and Outputs'!B5/100)^10), 0)</f>
        <v>0</v>
      </c>
      <c r="N83" s="8">
        <f>IF(11 &lt; 'Inputs and Outputs'!E109, MIN('Inputs and Outputs'!B109 * ('Inputs and Outputs'!N183), 'Inputs and Outputs'!C109 * (1 - 'Inputs and Outputs'!B5/100)^11), 0)</f>
        <v>0</v>
      </c>
      <c r="O83" s="8">
        <f>IF(12 &lt; 'Inputs and Outputs'!E109, MIN('Inputs and Outputs'!B109 * ('Inputs and Outputs'!O183), 'Inputs and Outputs'!C109 * (1 - 'Inputs and Outputs'!B5/100)^12), 0)</f>
        <v>0</v>
      </c>
      <c r="P83" s="8">
        <f>IF(13 &lt; 'Inputs and Outputs'!E109, MIN('Inputs and Outputs'!B109 * ('Inputs and Outputs'!P183), 'Inputs and Outputs'!C109 * (1 - 'Inputs and Outputs'!B5/100)^13), 0)</f>
        <v>0</v>
      </c>
      <c r="Q83" s="8">
        <f>IF(14 &lt; 'Inputs and Outputs'!E109, MIN('Inputs and Outputs'!B109 * ('Inputs and Outputs'!Q183), 'Inputs and Outputs'!C109 * (1 - 'Inputs and Outputs'!B5/100)^14), 0)</f>
        <v>0</v>
      </c>
      <c r="R83" s="8">
        <f>IF(15 &lt; 'Inputs and Outputs'!E109, MIN('Inputs and Outputs'!B109 * ('Inputs and Outputs'!R183), 'Inputs and Outputs'!C109 * (1 - 'Inputs and Outputs'!B5/100)^15), 0)</f>
        <v>0</v>
      </c>
      <c r="S83" s="8">
        <f>IF(16 &lt; 'Inputs and Outputs'!E109, MIN('Inputs and Outputs'!B109 * ('Inputs and Outputs'!S183), 'Inputs and Outputs'!C109 * (1 - 'Inputs and Outputs'!B5/100)^16), 0)</f>
        <v>0</v>
      </c>
      <c r="T83" s="8">
        <f>IF(17 &lt; 'Inputs and Outputs'!E109, MIN('Inputs and Outputs'!B109 * ('Inputs and Outputs'!T183), 'Inputs and Outputs'!C109 * (1 - 'Inputs and Outputs'!B5/100)^17), 0)</f>
        <v>0</v>
      </c>
      <c r="U83" s="8">
        <f>IF(18 &lt; 'Inputs and Outputs'!E109, MIN('Inputs and Outputs'!B109 * ('Inputs and Outputs'!U183), 'Inputs and Outputs'!C109 * (1 - 'Inputs and Outputs'!B5/100)^18), 0)</f>
        <v>0</v>
      </c>
      <c r="V83" s="8">
        <f>IF(19 &lt; 'Inputs and Outputs'!E109, MIN('Inputs and Outputs'!B109 * ('Inputs and Outputs'!V183), 'Inputs and Outputs'!C109 * (1 - 'Inputs and Outputs'!B5/100)^19), 0)</f>
        <v>0</v>
      </c>
      <c r="W83" s="8">
        <f>IF(20 &lt; 'Inputs and Outputs'!E109, MIN('Inputs and Outputs'!B109 * ('Inputs and Outputs'!W183), 'Inputs and Outputs'!C109 * (1 - 'Inputs and Outputs'!B5/100)^20), 0)</f>
        <v>0</v>
      </c>
      <c r="X83" s="8">
        <f>IF(21 &lt; 'Inputs and Outputs'!E109, MIN('Inputs and Outputs'!B109 * ('Inputs and Outputs'!X183), 'Inputs and Outputs'!C109 * (1 - 'Inputs and Outputs'!B5/100)^21), 0)</f>
        <v>0</v>
      </c>
      <c r="Y83" s="8">
        <f>IF(22 &lt; 'Inputs and Outputs'!E109, MIN('Inputs and Outputs'!B109 * ('Inputs and Outputs'!Y183), 'Inputs and Outputs'!C109 * (1 - 'Inputs and Outputs'!B5/100)^22), 0)</f>
        <v>0</v>
      </c>
      <c r="Z83" s="8">
        <f>IF(23 &lt; 'Inputs and Outputs'!E109, MIN('Inputs and Outputs'!B109 * ('Inputs and Outputs'!Z183), 'Inputs and Outputs'!C109 * (1 - 'Inputs and Outputs'!B5/100)^23), 0)</f>
        <v>0</v>
      </c>
      <c r="AA83" s="8">
        <f>IF(24 &lt; 'Inputs and Outputs'!E109, MIN('Inputs and Outputs'!B109 * ('Inputs and Outputs'!AA183), 'Inputs and Outputs'!C109 * (1 - 'Inputs and Outputs'!B5/100)^24), 0)</f>
        <v>0</v>
      </c>
    </row>
    <row r="84" spans="1:27">
      <c r="A84" s="23" t="s">
        <v>248</v>
      </c>
      <c r="C84" s="8">
        <f>IF(0 &lt; 'Inputs and Outputs'!E126, MIN('Inputs and Outputs'!B126 * 'Inputs and Outputs'!C184, 'Inputs and Outputs'!C126), 0)</f>
        <v>0</v>
      </c>
      <c r="D84" s="8">
        <f>IF(1 &lt; 'Inputs and Outputs'!E126, MIN('Inputs and Outputs'!B126 * 'Inputs and Outputs'!D184, 'Inputs and Outputs'!C126), 0)</f>
        <v>0</v>
      </c>
      <c r="E84" s="8">
        <f>IF(2 &lt; 'Inputs and Outputs'!E126, MIN('Inputs and Outputs'!B126 * 'Inputs and Outputs'!E184, 'Inputs and Outputs'!C126), 0)</f>
        <v>0</v>
      </c>
      <c r="F84" s="8">
        <f>IF(3 &lt; 'Inputs and Outputs'!E126, MIN('Inputs and Outputs'!B126 * 'Inputs and Outputs'!F184, 'Inputs and Outputs'!C126), 0)</f>
        <v>0</v>
      </c>
      <c r="G84" s="8">
        <f>IF(4 &lt; 'Inputs and Outputs'!E126, MIN('Inputs and Outputs'!B126 * 'Inputs and Outputs'!G184, 'Inputs and Outputs'!C126), 0)</f>
        <v>0</v>
      </c>
      <c r="H84" s="8">
        <f>IF(5 &lt; 'Inputs and Outputs'!E126, MIN('Inputs and Outputs'!B126 * 'Inputs and Outputs'!H184, 'Inputs and Outputs'!C126), 0)</f>
        <v>0</v>
      </c>
      <c r="I84" s="8">
        <f>IF(6 &lt; 'Inputs and Outputs'!E126, MIN('Inputs and Outputs'!B126 * 'Inputs and Outputs'!I184, 'Inputs and Outputs'!C126), 0)</f>
        <v>0</v>
      </c>
      <c r="J84" s="8">
        <f>IF(7 &lt; 'Inputs and Outputs'!E126, MIN('Inputs and Outputs'!B126 * 'Inputs and Outputs'!J184, 'Inputs and Outputs'!C126), 0)</f>
        <v>0</v>
      </c>
      <c r="K84" s="8">
        <f>IF(8 &lt; 'Inputs and Outputs'!E126, MIN('Inputs and Outputs'!B126 * 'Inputs and Outputs'!K184, 'Inputs and Outputs'!C126), 0)</f>
        <v>0</v>
      </c>
      <c r="L84" s="8">
        <f>IF(9 &lt; 'Inputs and Outputs'!E126, MIN('Inputs and Outputs'!B126 * 'Inputs and Outputs'!L184, 'Inputs and Outputs'!C126), 0)</f>
        <v>0</v>
      </c>
      <c r="M84" s="8">
        <f>IF(10 &lt; 'Inputs and Outputs'!E126, MIN('Inputs and Outputs'!B126 * 'Inputs and Outputs'!M184, 'Inputs and Outputs'!C126), 0)</f>
        <v>0</v>
      </c>
      <c r="N84" s="8">
        <f>IF(11 &lt; 'Inputs and Outputs'!E126, MIN('Inputs and Outputs'!B126 * 'Inputs and Outputs'!N184, 'Inputs and Outputs'!C126), 0)</f>
        <v>0</v>
      </c>
      <c r="O84" s="8">
        <f>IF(12 &lt; 'Inputs and Outputs'!E126, MIN('Inputs and Outputs'!B126 * 'Inputs and Outputs'!O184, 'Inputs and Outputs'!C126), 0)</f>
        <v>0</v>
      </c>
      <c r="P84" s="8">
        <f>IF(13 &lt; 'Inputs and Outputs'!E126, MIN('Inputs and Outputs'!B126 * 'Inputs and Outputs'!P184, 'Inputs and Outputs'!C126), 0)</f>
        <v>0</v>
      </c>
      <c r="Q84" s="8">
        <f>IF(14 &lt; 'Inputs and Outputs'!E126, MIN('Inputs and Outputs'!B126 * 'Inputs and Outputs'!Q184, 'Inputs and Outputs'!C126), 0)</f>
        <v>0</v>
      </c>
      <c r="R84" s="8">
        <f>IF(15 &lt; 'Inputs and Outputs'!E126, MIN('Inputs and Outputs'!B126 * 'Inputs and Outputs'!R184, 'Inputs and Outputs'!C126), 0)</f>
        <v>0</v>
      </c>
      <c r="S84" s="8">
        <f>IF(16 &lt; 'Inputs and Outputs'!E126, MIN('Inputs and Outputs'!B126 * 'Inputs and Outputs'!S184, 'Inputs and Outputs'!C126), 0)</f>
        <v>0</v>
      </c>
      <c r="T84" s="8">
        <f>IF(17 &lt; 'Inputs and Outputs'!E126, MIN('Inputs and Outputs'!B126 * 'Inputs and Outputs'!T184, 'Inputs and Outputs'!C126), 0)</f>
        <v>0</v>
      </c>
      <c r="U84" s="8">
        <f>IF(18 &lt; 'Inputs and Outputs'!E126, MIN('Inputs and Outputs'!B126 * 'Inputs and Outputs'!U184, 'Inputs and Outputs'!C126), 0)</f>
        <v>0</v>
      </c>
      <c r="V84" s="8">
        <f>IF(19 &lt; 'Inputs and Outputs'!E126, MIN('Inputs and Outputs'!B126 * 'Inputs and Outputs'!V184, 'Inputs and Outputs'!C126), 0)</f>
        <v>0</v>
      </c>
      <c r="W84" s="8">
        <f>IF(20 &lt; 'Inputs and Outputs'!E126, MIN('Inputs and Outputs'!B126 * 'Inputs and Outputs'!W184, 'Inputs and Outputs'!C126), 0)</f>
        <v>0</v>
      </c>
      <c r="X84" s="8">
        <f>IF(21 &lt; 'Inputs and Outputs'!E126, MIN('Inputs and Outputs'!B126 * 'Inputs and Outputs'!X184, 'Inputs and Outputs'!C126), 0)</f>
        <v>0</v>
      </c>
      <c r="Y84" s="8">
        <f>IF(22 &lt; 'Inputs and Outputs'!E126, MIN('Inputs and Outputs'!B126 * 'Inputs and Outputs'!Y184, 'Inputs and Outputs'!C126), 0)</f>
        <v>0</v>
      </c>
      <c r="Z84" s="8">
        <f>IF(23 &lt; 'Inputs and Outputs'!E126, MIN('Inputs and Outputs'!B126 * 'Inputs and Outputs'!Z184, 'Inputs and Outputs'!C126), 0)</f>
        <v>0</v>
      </c>
      <c r="AA84" s="8">
        <f>IF(24 &lt; 'Inputs and Outputs'!E126, MIN('Inputs and Outputs'!B126 * 'Inputs and Outputs'!AA184, 'Inputs and Outputs'!C126), 0)</f>
        <v>0</v>
      </c>
    </row>
    <row r="85" spans="1:27">
      <c r="A85" s="23" t="s">
        <v>249</v>
      </c>
      <c r="C85" s="8">
        <f>IF(0 &lt; 'Inputs and Outputs'!E157, MIN('Inputs and Outputs'!B157 * 'Inputs and Outputs'!C186, 'Inputs and Outputs'!C157), 0)</f>
        <v>0</v>
      </c>
      <c r="D85" s="8">
        <f>IF(1 &lt; 'Inputs and Outputs'!E157, MIN('Inputs and Outputs'!B157 * 'Inputs and Outputs'!D186, 'Inputs and Outputs'!C157), 0)</f>
        <v>0</v>
      </c>
      <c r="E85" s="8">
        <f>IF(2 &lt; 'Inputs and Outputs'!E157, MIN('Inputs and Outputs'!B157 * 'Inputs and Outputs'!E186, 'Inputs and Outputs'!C157), 0)</f>
        <v>0</v>
      </c>
      <c r="F85" s="8">
        <f>IF(3 &lt; 'Inputs and Outputs'!E157, MIN('Inputs and Outputs'!B157 * 'Inputs and Outputs'!F186, 'Inputs and Outputs'!C157), 0)</f>
        <v>0</v>
      </c>
      <c r="G85" s="8">
        <f>IF(4 &lt; 'Inputs and Outputs'!E157, MIN('Inputs and Outputs'!B157 * 'Inputs and Outputs'!G186, 'Inputs and Outputs'!C157), 0)</f>
        <v>0</v>
      </c>
      <c r="H85" s="8">
        <f>IF(5 &lt; 'Inputs and Outputs'!E157, MIN('Inputs and Outputs'!B157 * 'Inputs and Outputs'!H186, 'Inputs and Outputs'!C157), 0)</f>
        <v>0</v>
      </c>
      <c r="I85" s="8">
        <f>IF(6 &lt; 'Inputs and Outputs'!E157, MIN('Inputs and Outputs'!B157 * 'Inputs and Outputs'!I186, 'Inputs and Outputs'!C157), 0)</f>
        <v>0</v>
      </c>
      <c r="J85" s="8">
        <f>IF(7 &lt; 'Inputs and Outputs'!E157, MIN('Inputs and Outputs'!B157 * 'Inputs and Outputs'!J186, 'Inputs and Outputs'!C157), 0)</f>
        <v>0</v>
      </c>
      <c r="K85" s="8">
        <f>IF(8 &lt; 'Inputs and Outputs'!E157, MIN('Inputs and Outputs'!B157 * 'Inputs and Outputs'!K186, 'Inputs and Outputs'!C157), 0)</f>
        <v>0</v>
      </c>
      <c r="L85" s="8">
        <f>IF(9 &lt; 'Inputs and Outputs'!E157, MIN('Inputs and Outputs'!B157 * 'Inputs and Outputs'!L186, 'Inputs and Outputs'!C157), 0)</f>
        <v>0</v>
      </c>
      <c r="M85" s="8">
        <f>IF(10 &lt; 'Inputs and Outputs'!E157, MIN('Inputs and Outputs'!B157 * 'Inputs and Outputs'!M186, 'Inputs and Outputs'!C157), 0)</f>
        <v>0</v>
      </c>
      <c r="N85" s="8">
        <f>IF(11 &lt; 'Inputs and Outputs'!E157, MIN('Inputs and Outputs'!B157 * 'Inputs and Outputs'!N186, 'Inputs and Outputs'!C157), 0)</f>
        <v>0</v>
      </c>
      <c r="O85" s="8">
        <f>IF(12 &lt; 'Inputs and Outputs'!E157, MIN('Inputs and Outputs'!B157 * 'Inputs and Outputs'!O186, 'Inputs and Outputs'!C157), 0)</f>
        <v>0</v>
      </c>
      <c r="P85" s="8">
        <f>IF(13 &lt; 'Inputs and Outputs'!E157, MIN('Inputs and Outputs'!B157 * 'Inputs and Outputs'!P186, 'Inputs and Outputs'!C157), 0)</f>
        <v>0</v>
      </c>
      <c r="Q85" s="8">
        <f>IF(14 &lt; 'Inputs and Outputs'!E157, MIN('Inputs and Outputs'!B157 * 'Inputs and Outputs'!Q186, 'Inputs and Outputs'!C157), 0)</f>
        <v>0</v>
      </c>
      <c r="R85" s="8">
        <f>IF(15 &lt; 'Inputs and Outputs'!E157, MIN('Inputs and Outputs'!B157 * 'Inputs and Outputs'!R186, 'Inputs and Outputs'!C157), 0)</f>
        <v>0</v>
      </c>
      <c r="S85" s="8">
        <f>IF(16 &lt; 'Inputs and Outputs'!E157, MIN('Inputs and Outputs'!B157 * 'Inputs and Outputs'!S186, 'Inputs and Outputs'!C157), 0)</f>
        <v>0</v>
      </c>
      <c r="T85" s="8">
        <f>IF(17 &lt; 'Inputs and Outputs'!E157, MIN('Inputs and Outputs'!B157 * 'Inputs and Outputs'!T186, 'Inputs and Outputs'!C157), 0)</f>
        <v>0</v>
      </c>
      <c r="U85" s="8">
        <f>IF(18 &lt; 'Inputs and Outputs'!E157, MIN('Inputs and Outputs'!B157 * 'Inputs and Outputs'!U186, 'Inputs and Outputs'!C157), 0)</f>
        <v>0</v>
      </c>
      <c r="V85" s="8">
        <f>IF(19 &lt; 'Inputs and Outputs'!E157, MIN('Inputs and Outputs'!B157 * 'Inputs and Outputs'!V186, 'Inputs and Outputs'!C157), 0)</f>
        <v>0</v>
      </c>
      <c r="W85" s="8">
        <f>IF(20 &lt; 'Inputs and Outputs'!E157, MIN('Inputs and Outputs'!B157 * 'Inputs and Outputs'!W186, 'Inputs and Outputs'!C157), 0)</f>
        <v>0</v>
      </c>
      <c r="X85" s="8">
        <f>IF(21 &lt; 'Inputs and Outputs'!E157, MIN('Inputs and Outputs'!B157 * 'Inputs and Outputs'!X186, 'Inputs and Outputs'!C157), 0)</f>
        <v>0</v>
      </c>
      <c r="Y85" s="8">
        <f>IF(22 &lt; 'Inputs and Outputs'!E157, MIN('Inputs and Outputs'!B157 * 'Inputs and Outputs'!Y186, 'Inputs and Outputs'!C157), 0)</f>
        <v>0</v>
      </c>
      <c r="Z85" s="8">
        <f>IF(23 &lt; 'Inputs and Outputs'!E157, MIN('Inputs and Outputs'!B157 * 'Inputs and Outputs'!Z186, 'Inputs and Outputs'!C157), 0)</f>
        <v>0</v>
      </c>
      <c r="AA85" s="8">
        <f>IF(24 &lt; 'Inputs and Outputs'!E157, MIN('Inputs and Outputs'!B157 * 'Inputs and Outputs'!AA186, 'Inputs and Outputs'!C157), 0)</f>
        <v>0</v>
      </c>
    </row>
    <row r="86" spans="1:27">
      <c r="A86" s="19" t="s">
        <v>250</v>
      </c>
      <c r="B86" s="19">
        <f>IF('Inputs and Outputs'!D102="Yes", B32, 0) + IF('Inputs and Outputs'!D103="Yes", B33, 0) + IF('Inputs and Outputs'!D105="Yes", B36,0) + IF('Inputs and Outputs'!D106="Yes", B37, 0) + IF('Inputs and Outputs'!D107="Yes", B38, 0)+IF('Inputs and Outputs'!D136="Yes", B50, 0)+IF('Inputs and Outputs'!D137="Yes", B51, 0)+IF('Inputs and Outputs'!D139="Yes", B54, 0)+IF('Inputs and Outputs'!D140="Yes", B55, 0)+IF('Inputs and Outputs'!D119="Yes", B41, 0)+IF('Inputs and Outputs'!D120="Yes", B42, 0)+IF('Inputs and Outputs'!D123="Yes", B45, 0)+IF('Inputs and Outputs'!D122="Yes", B46, 0)+IF('Inputs and Outputs'!D124="Yes", B47, 0)+IF('Inputs and Outputs'!D150="Yes", B58, 0)+IF('Inputs and Outputs'!D151="Yes", B59, 0)+IF('Inputs and Outputs'!D154="Yes", B62, 0)+IF('Inputs and Outputs'!D153="Yes", B63, 0)+IF('Inputs and Outputs'!D155="Yes", B64, 0)+IF('Inputs and Outputs'!D167="Yes", B70, 0)+IF('Inputs and Outputs'!D168="Yes", B71, 0)+IF('Inputs and Outputs'!D171="Yes", B74, 0)+IF('Inputs and Outputs'!D170="Yes", B75, 0)+IF('Inputs and Outputs'!D172="Yes", B76, 0)</f>
        <v>0</v>
      </c>
      <c r="C86" s="19">
        <f>IF('Inputs and Outputs'!D109="Yes", C82, 0) + IF('Inputs and Outputs'!D109="Yes", C83, 0) + IF('Inputs and Outputs'!D126="Yes", C84, 0)+IF('Inputs and Outputs'!D157="Yes", C85, 0)</f>
        <v>0</v>
      </c>
      <c r="D86" s="19">
        <f>IF('Inputs and Outputs'!D109="Yes", D82, 0) + IF('Inputs and Outputs'!D109="Yes", D83, 0) + IF('Inputs and Outputs'!D126="Yes", D84, 0)+IF('Inputs and Outputs'!D157="Yes", D85, 0)</f>
        <v>0</v>
      </c>
      <c r="E86" s="19">
        <f>IF('Inputs and Outputs'!D109="Yes", E82, 0) + IF('Inputs and Outputs'!D109="Yes", E83, 0) + IF('Inputs and Outputs'!D126="Yes", E84, 0)+IF('Inputs and Outputs'!D157="Yes", E85, 0)</f>
        <v>0</v>
      </c>
      <c r="F86" s="19">
        <f>IF('Inputs and Outputs'!D109="Yes", F82, 0) + IF('Inputs and Outputs'!D109="Yes", F83, 0) + IF('Inputs and Outputs'!D126="Yes", F84, 0)+IF('Inputs and Outputs'!D157="Yes", F85, 0)</f>
        <v>0</v>
      </c>
      <c r="G86" s="19">
        <f>IF('Inputs and Outputs'!D109="Yes", G82, 0) + IF('Inputs and Outputs'!D109="Yes", G83, 0) + IF('Inputs and Outputs'!D126="Yes", G84, 0)+IF('Inputs and Outputs'!D157="Yes", G85, 0)</f>
        <v>0</v>
      </c>
      <c r="H86" s="19">
        <f>IF('Inputs and Outputs'!D109="Yes", H82, 0) + IF('Inputs and Outputs'!D109="Yes", H83, 0) + IF('Inputs and Outputs'!D126="Yes", H84, 0)+IF('Inputs and Outputs'!D157="Yes", H85, 0)</f>
        <v>0</v>
      </c>
      <c r="I86" s="19">
        <f>IF('Inputs and Outputs'!D109="Yes", I82, 0) + IF('Inputs and Outputs'!D109="Yes", I83, 0) + IF('Inputs and Outputs'!D126="Yes", I84, 0)+IF('Inputs and Outputs'!D157="Yes", I85, 0)</f>
        <v>0</v>
      </c>
      <c r="J86" s="19">
        <f>IF('Inputs and Outputs'!D109="Yes", J82, 0) + IF('Inputs and Outputs'!D109="Yes", J83, 0) + IF('Inputs and Outputs'!D126="Yes", J84, 0)+IF('Inputs and Outputs'!D157="Yes", J85, 0)</f>
        <v>0</v>
      </c>
      <c r="K86" s="19">
        <f>IF('Inputs and Outputs'!D109="Yes", K82, 0) + IF('Inputs and Outputs'!D109="Yes", K83, 0) + IF('Inputs and Outputs'!D126="Yes", K84, 0)+IF('Inputs and Outputs'!D157="Yes", K85, 0)</f>
        <v>0</v>
      </c>
      <c r="L86" s="19">
        <f>IF('Inputs and Outputs'!D109="Yes", L82, 0) + IF('Inputs and Outputs'!D109="Yes", L83, 0) + IF('Inputs and Outputs'!D126="Yes", L84, 0)+IF('Inputs and Outputs'!D157="Yes", L85, 0)</f>
        <v>0</v>
      </c>
      <c r="M86" s="19">
        <f>IF('Inputs and Outputs'!D109="Yes", M82, 0) + IF('Inputs and Outputs'!D109="Yes", M83, 0) + IF('Inputs and Outputs'!D126="Yes", M84, 0)+IF('Inputs and Outputs'!D157="Yes", M85, 0)</f>
        <v>0</v>
      </c>
      <c r="N86" s="19">
        <f>IF('Inputs and Outputs'!D109="Yes", N82, 0) + IF('Inputs and Outputs'!D109="Yes", N83, 0) + IF('Inputs and Outputs'!D126="Yes", N84, 0)+IF('Inputs and Outputs'!D157="Yes", N85, 0)</f>
        <v>0</v>
      </c>
      <c r="O86" s="19">
        <f>IF('Inputs and Outputs'!D109="Yes", O82, 0) + IF('Inputs and Outputs'!D109="Yes", O83, 0) + IF('Inputs and Outputs'!D126="Yes", O84, 0)+IF('Inputs and Outputs'!D157="Yes", O85, 0)</f>
        <v>0</v>
      </c>
      <c r="P86" s="19">
        <f>IF('Inputs and Outputs'!D109="Yes", P82, 0) + IF('Inputs and Outputs'!D109="Yes", P83, 0) + IF('Inputs and Outputs'!D126="Yes", P84, 0)+IF('Inputs and Outputs'!D157="Yes", P85, 0)</f>
        <v>0</v>
      </c>
      <c r="Q86" s="19">
        <f>IF('Inputs and Outputs'!D109="Yes", Q82, 0) + IF('Inputs and Outputs'!D109="Yes", Q83, 0) + IF('Inputs and Outputs'!D126="Yes", Q84, 0)+IF('Inputs and Outputs'!D157="Yes", Q85, 0)</f>
        <v>0</v>
      </c>
      <c r="R86" s="19">
        <f>IF('Inputs and Outputs'!D109="Yes", R82, 0) + IF('Inputs and Outputs'!D109="Yes", R83, 0) + IF('Inputs and Outputs'!D126="Yes", R84, 0)+IF('Inputs and Outputs'!D157="Yes", R85, 0)</f>
        <v>0</v>
      </c>
      <c r="S86" s="19">
        <f>IF('Inputs and Outputs'!D109="Yes", S82, 0) + IF('Inputs and Outputs'!D109="Yes", S83, 0) + IF('Inputs and Outputs'!D126="Yes", S84, 0)+IF('Inputs and Outputs'!D157="Yes", S85, 0)</f>
        <v>0</v>
      </c>
      <c r="T86" s="19">
        <f>IF('Inputs and Outputs'!D109="Yes", T82, 0) + IF('Inputs and Outputs'!D109="Yes", T83, 0) + IF('Inputs and Outputs'!D126="Yes", T84, 0)+IF('Inputs and Outputs'!D157="Yes", T85, 0)</f>
        <v>0</v>
      </c>
      <c r="U86" s="19">
        <f>IF('Inputs and Outputs'!D109="Yes", U82, 0) + IF('Inputs and Outputs'!D109="Yes", U83, 0) + IF('Inputs and Outputs'!D126="Yes", U84, 0)+IF('Inputs and Outputs'!D157="Yes", U85, 0)</f>
        <v>0</v>
      </c>
      <c r="V86" s="19">
        <f>IF('Inputs and Outputs'!D109="Yes", V82, 0) + IF('Inputs and Outputs'!D109="Yes", V83, 0) + IF('Inputs and Outputs'!D126="Yes", V84, 0)+IF('Inputs and Outputs'!D157="Yes", V85, 0)</f>
        <v>0</v>
      </c>
      <c r="W86" s="19">
        <f>IF('Inputs and Outputs'!D109="Yes", W82, 0) + IF('Inputs and Outputs'!D109="Yes", W83, 0) + IF('Inputs and Outputs'!D126="Yes", W84, 0)+IF('Inputs and Outputs'!D157="Yes", W85, 0)</f>
        <v>0</v>
      </c>
      <c r="X86" s="19">
        <f>IF('Inputs and Outputs'!D109="Yes", X82, 0) + IF('Inputs and Outputs'!D109="Yes", X83, 0) + IF('Inputs and Outputs'!D126="Yes", X84, 0)+IF('Inputs and Outputs'!D157="Yes", X85, 0)</f>
        <v>0</v>
      </c>
      <c r="Y86" s="19">
        <f>IF('Inputs and Outputs'!D109="Yes", Y82, 0) + IF('Inputs and Outputs'!D109="Yes", Y83, 0) + IF('Inputs and Outputs'!D126="Yes", Y84, 0)+IF('Inputs and Outputs'!D157="Yes", Y85, 0)</f>
        <v>0</v>
      </c>
      <c r="Z86" s="19">
        <f>IF('Inputs and Outputs'!D109="Yes", Z82, 0) + IF('Inputs and Outputs'!D109="Yes", Z83, 0) + IF('Inputs and Outputs'!D126="Yes", Z84, 0)+IF('Inputs and Outputs'!D157="Yes", Z85, 0)</f>
        <v>0</v>
      </c>
      <c r="AA86" s="19">
        <f>IF('Inputs and Outputs'!D109="Yes", AA82, 0) + IF('Inputs and Outputs'!D109="Yes", AA83, 0) + IF('Inputs and Outputs'!D126="Yes", AA84, 0)+IF('Inputs and Outputs'!D157="Yes", AA85, 0)</f>
        <v>0</v>
      </c>
    </row>
    <row r="87" spans="1:27">
      <c r="A87" s="19" t="s">
        <v>251</v>
      </c>
      <c r="B87" s="19">
        <f>IF('Inputs and Outputs'!D102="No", B32, 0) + IF('Inputs and Outputs'!D103="No", B33, 0) + IF('Inputs and Outputs'!D105="No", B36,0) + IF('Inputs and Outputs'!D106="No", B37, 0) + IF('Inputs and Outputs'!D107="No", B38, 0) + IF('Inputs and Outputs'!D109="No", B82, 0) + IF('Inputs and Outputs'!D109="No", B83, 0)+IF('Inputs and Outputs'!D136="No", B50, 0)+IF('Inputs and Outputs'!D137="No", B51, 0)+IF('Inputs and Outputs'!D139="No", B54, 0)+IF('Inputs and Outputs'!D140="No", B55, 0)+IF('Inputs and Outputs'!D119="No", B41, 0)+IF('Inputs and Outputs'!D120="No", B42, 0)+IF('Inputs and Outputs'!D123="No", B45, 0)+IF('Inputs and Outputs'!D122="No", B46, 0)+IF('Inputs and Outputs'!D124="No", B47, 0)+IF('Inputs and Outputs'!D126="No", B84, 0)+IF('Inputs and Outputs'!D150="No", B58, 0)+IF('Inputs and Outputs'!D151="No", B59, 0)+IF('Inputs and Outputs'!D154="No", B62, 0)+IF('Inputs and Outputs'!D153="No", B63, 0)+IF('Inputs and Outputs'!D155="No", B64, 0)+IF('Inputs and Outputs'!D157="No", B85, 0)+IF('Inputs and Outputs'!D167="No", B70, 0)+IF('Inputs and Outputs'!D168="No", B71, 0)+IF('Inputs and Outputs'!D171="No", B74, 0)+IF('Inputs and Outputs'!D170="No", B75, 0)+IF('Inputs and Outputs'!D172="No", B76, 0)</f>
        <v>0</v>
      </c>
      <c r="C87" s="19">
        <f>IF('Inputs and Outputs'!D109="No", C82, 0) + IF('Inputs and Outputs'!D109="No", C83, 0)+IF('Inputs and Outputs'!D126="No", C84, 0)+IF('Inputs and Outputs'!D157="No", C85, 0)</f>
        <v>0</v>
      </c>
      <c r="D87" s="19">
        <f>IF('Inputs and Outputs'!D109="No", D82, 0) + IF('Inputs and Outputs'!D109="No", D83, 0)+IF('Inputs and Outputs'!D126="No", D84, 0)+IF('Inputs and Outputs'!D157="No", D85, 0)</f>
        <v>0</v>
      </c>
      <c r="E87" s="19">
        <f>IF('Inputs and Outputs'!D109="No", E82, 0) + IF('Inputs and Outputs'!D109="No", E83, 0)+IF('Inputs and Outputs'!D126="No", E84, 0)+IF('Inputs and Outputs'!D157="No", E85, 0)</f>
        <v>0</v>
      </c>
      <c r="F87" s="19">
        <f>IF('Inputs and Outputs'!D109="No", F82, 0) + IF('Inputs and Outputs'!D109="No", F83, 0)+IF('Inputs and Outputs'!D126="No", F84, 0)+IF('Inputs and Outputs'!D157="No", F85, 0)</f>
        <v>0</v>
      </c>
      <c r="G87" s="19">
        <f>IF('Inputs and Outputs'!D109="No", G82, 0) + IF('Inputs and Outputs'!D109="No", G83, 0)+IF('Inputs and Outputs'!D126="No", G84, 0)+IF('Inputs and Outputs'!D157="No", G85, 0)</f>
        <v>0</v>
      </c>
      <c r="H87" s="19">
        <f>IF('Inputs and Outputs'!D109="No", H82, 0) + IF('Inputs and Outputs'!D109="No", H83, 0)+IF('Inputs and Outputs'!D126="No", H84, 0)+IF('Inputs and Outputs'!D157="No", H85, 0)</f>
        <v>0</v>
      </c>
      <c r="I87" s="19">
        <f>IF('Inputs and Outputs'!D109="No", I82, 0) + IF('Inputs and Outputs'!D109="No", I83, 0)+IF('Inputs and Outputs'!D126="No", I84, 0)+IF('Inputs and Outputs'!D157="No", I85, 0)</f>
        <v>0</v>
      </c>
      <c r="J87" s="19">
        <f>IF('Inputs and Outputs'!D109="No", J82, 0) + IF('Inputs and Outputs'!D109="No", J83, 0)+IF('Inputs and Outputs'!D126="No", J84, 0)+IF('Inputs and Outputs'!D157="No", J85, 0)</f>
        <v>0</v>
      </c>
      <c r="K87" s="19">
        <f>IF('Inputs and Outputs'!D109="No", K82, 0) + IF('Inputs and Outputs'!D109="No", K83, 0)+IF('Inputs and Outputs'!D126="No", K84, 0)+IF('Inputs and Outputs'!D157="No", K85, 0)</f>
        <v>0</v>
      </c>
      <c r="L87" s="19">
        <f>IF('Inputs and Outputs'!D109="No", L82, 0) + IF('Inputs and Outputs'!D109="No", L83, 0)+IF('Inputs and Outputs'!D126="No", L84, 0)+IF('Inputs and Outputs'!D157="No", L85, 0)</f>
        <v>0</v>
      </c>
      <c r="M87" s="19">
        <f>IF('Inputs and Outputs'!D109="No", M82, 0) + IF('Inputs and Outputs'!D109="No", M83, 0)+IF('Inputs and Outputs'!D126="No", M84, 0)+IF('Inputs and Outputs'!D157="No", M85, 0)</f>
        <v>0</v>
      </c>
      <c r="N87" s="19">
        <f>IF('Inputs and Outputs'!D109="No", N82, 0) + IF('Inputs and Outputs'!D109="No", N83, 0)+IF('Inputs and Outputs'!D126="No", N84, 0)+IF('Inputs and Outputs'!D157="No", N85, 0)</f>
        <v>0</v>
      </c>
      <c r="O87" s="19">
        <f>IF('Inputs and Outputs'!D109="No", O82, 0) + IF('Inputs and Outputs'!D109="No", O83, 0)+IF('Inputs and Outputs'!D126="No", O84, 0)+IF('Inputs and Outputs'!D157="No", O85, 0)</f>
        <v>0</v>
      </c>
      <c r="P87" s="19">
        <f>IF('Inputs and Outputs'!D109="No", P82, 0) + IF('Inputs and Outputs'!D109="No", P83, 0)+IF('Inputs and Outputs'!D126="No", P84, 0)+IF('Inputs and Outputs'!D157="No", P85, 0)</f>
        <v>0</v>
      </c>
      <c r="Q87" s="19">
        <f>IF('Inputs and Outputs'!D109="No", Q82, 0) + IF('Inputs and Outputs'!D109="No", Q83, 0)+IF('Inputs and Outputs'!D126="No", Q84, 0)+IF('Inputs and Outputs'!D157="No", Q85, 0)</f>
        <v>0</v>
      </c>
      <c r="R87" s="19">
        <f>IF('Inputs and Outputs'!D109="No", R82, 0) + IF('Inputs and Outputs'!D109="No", R83, 0)+IF('Inputs and Outputs'!D126="No", R84, 0)+IF('Inputs and Outputs'!D157="No", R85, 0)</f>
        <v>0</v>
      </c>
      <c r="S87" s="19">
        <f>IF('Inputs and Outputs'!D109="No", S82, 0) + IF('Inputs and Outputs'!D109="No", S83, 0)+IF('Inputs and Outputs'!D126="No", S84, 0)+IF('Inputs and Outputs'!D157="No", S85, 0)</f>
        <v>0</v>
      </c>
      <c r="T87" s="19">
        <f>IF('Inputs and Outputs'!D109="No", T82, 0) + IF('Inputs and Outputs'!D109="No", T83, 0)+IF('Inputs and Outputs'!D126="No", T84, 0)+IF('Inputs and Outputs'!D157="No", T85, 0)</f>
        <v>0</v>
      </c>
      <c r="U87" s="19">
        <f>IF('Inputs and Outputs'!D109="No", U82, 0) + IF('Inputs and Outputs'!D109="No", U83, 0)+IF('Inputs and Outputs'!D126="No", U84, 0)+IF('Inputs and Outputs'!D157="No", U85, 0)</f>
        <v>0</v>
      </c>
      <c r="V87" s="19">
        <f>IF('Inputs and Outputs'!D109="No", V82, 0) + IF('Inputs and Outputs'!D109="No", V83, 0)+IF('Inputs and Outputs'!D126="No", V84, 0)+IF('Inputs and Outputs'!D157="No", V85, 0)</f>
        <v>0</v>
      </c>
      <c r="W87" s="19">
        <f>IF('Inputs and Outputs'!D109="No", W82, 0) + IF('Inputs and Outputs'!D109="No", W83, 0)+IF('Inputs and Outputs'!D126="No", W84, 0)+IF('Inputs and Outputs'!D157="No", W85, 0)</f>
        <v>0</v>
      </c>
      <c r="X87" s="19">
        <f>IF('Inputs and Outputs'!D109="No", X82, 0) + IF('Inputs and Outputs'!D109="No", X83, 0)+IF('Inputs and Outputs'!D126="No", X84, 0)+IF('Inputs and Outputs'!D157="No", X85, 0)</f>
        <v>0</v>
      </c>
      <c r="Y87" s="19">
        <f>IF('Inputs and Outputs'!D109="No", Y82, 0) + IF('Inputs and Outputs'!D109="No", Y83, 0)+IF('Inputs and Outputs'!D126="No", Y84, 0)+IF('Inputs and Outputs'!D157="No", Y85, 0)</f>
        <v>0</v>
      </c>
      <c r="Z87" s="19">
        <f>IF('Inputs and Outputs'!D109="No", Z82, 0) + IF('Inputs and Outputs'!D109="No", Z83, 0)+IF('Inputs and Outputs'!D126="No", Z84, 0)+IF('Inputs and Outputs'!D157="No", Z85, 0)</f>
        <v>0</v>
      </c>
      <c r="AA87" s="19">
        <f>IF('Inputs and Outputs'!D109="No", AA82, 0) + IF('Inputs and Outputs'!D109="No", AA83, 0)+IF('Inputs and Outputs'!D126="No", AA84, 0)+IF('Inputs and Outputs'!D157="No", AA85, 0)</f>
        <v>0</v>
      </c>
    </row>
    <row r="89" spans="1:27">
      <c r="A89" s="22" t="s">
        <v>252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>
      <c r="A90" s="8" t="s">
        <v>253</v>
      </c>
    </row>
    <row r="91" spans="1:27">
      <c r="A91" s="23" t="s">
        <v>254</v>
      </c>
      <c r="C91" s="24" cm="1">
        <f t="array" ref="C91:AA91">'Inputs and Outputs'!C190:AA190</f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0</v>
      </c>
      <c r="L91" s="24">
        <v>0</v>
      </c>
      <c r="M91" s="24">
        <v>0</v>
      </c>
      <c r="N91" s="24">
        <v>0</v>
      </c>
      <c r="O91" s="24">
        <v>0</v>
      </c>
      <c r="P91" s="24">
        <v>0</v>
      </c>
      <c r="Q91" s="24">
        <v>0</v>
      </c>
      <c r="R91" s="24">
        <v>0</v>
      </c>
      <c r="S91" s="24">
        <v>0</v>
      </c>
      <c r="T91" s="24">
        <v>0</v>
      </c>
      <c r="U91" s="24">
        <v>0</v>
      </c>
      <c r="V91" s="24">
        <v>0</v>
      </c>
      <c r="W91" s="24">
        <v>0</v>
      </c>
      <c r="X91" s="24">
        <v>0</v>
      </c>
      <c r="Y91" s="24">
        <v>0</v>
      </c>
      <c r="Z91" s="24">
        <v>0</v>
      </c>
      <c r="AA91" s="24">
        <v>0</v>
      </c>
    </row>
    <row r="92" spans="1:27">
      <c r="A92" s="23" t="s">
        <v>255</v>
      </c>
      <c r="B92" s="8">
        <f>IF(OR('Inputs and Outputs'!B177=5,'Inputs and Outputs'!B177=7),(B142-IF('Inputs and Outputs'!D97="Yes",0.5*MIN('Inputs and Outputs'!B97/100*B142,'Inputs and Outputs'!C97),0)),0)</f>
        <v>0</v>
      </c>
    </row>
    <row r="93" spans="1:27">
      <c r="A93" s="23" t="s">
        <v>256</v>
      </c>
      <c r="B93" s="8">
        <f>B92*(1-'Inputs and Outputs'!B178)</f>
        <v>0</v>
      </c>
    </row>
    <row r="94" spans="1:27">
      <c r="A94" s="23" t="s">
        <v>257</v>
      </c>
      <c r="C94" s="8">
        <f>B93*C91 + (B92*'Inputs and Outputs'!B178)</f>
        <v>0</v>
      </c>
      <c r="D94" s="8" cm="1">
        <f t="array" ref="D94:AA94">B93*D91:AA91</f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</row>
    <row r="95" spans="1:27">
      <c r="A95" s="8" t="s">
        <v>258</v>
      </c>
    </row>
    <row r="96" spans="1:27">
      <c r="A96" s="23" t="s">
        <v>254</v>
      </c>
      <c r="C96" s="24" cm="1">
        <f t="array" ref="C96:AA96">'Inputs and Outputs'!C191:AA191</f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4">
        <v>0</v>
      </c>
      <c r="S96" s="24">
        <v>0</v>
      </c>
      <c r="T96" s="24">
        <v>0</v>
      </c>
      <c r="U96" s="24">
        <v>0</v>
      </c>
      <c r="V96" s="24">
        <v>0</v>
      </c>
      <c r="W96" s="24">
        <v>0</v>
      </c>
      <c r="X96" s="24">
        <v>0</v>
      </c>
      <c r="Y96" s="24">
        <v>0</v>
      </c>
      <c r="Z96" s="24">
        <v>0</v>
      </c>
      <c r="AA96" s="24">
        <v>0</v>
      </c>
    </row>
    <row r="97" spans="1:27">
      <c r="A97" s="23" t="s">
        <v>255</v>
      </c>
      <c r="B97" s="8">
        <f>IF(OR('Inputs and Outputs'!D177=5,'Inputs and Outputs'!D177=7),(B144-IF('Inputs and Outputs'!D114="Yes",0.5*MIN('Inputs and Outputs'!B114/100*B144,'Inputs and Outputs'!C114),0)),0)</f>
        <v>0</v>
      </c>
    </row>
    <row r="98" spans="1:27">
      <c r="A98" s="23" t="s">
        <v>256</v>
      </c>
      <c r="B98" s="8">
        <f>B97*(1-'Inputs and Outputs'!D178)</f>
        <v>0</v>
      </c>
    </row>
    <row r="99" spans="1:27">
      <c r="A99" s="23" t="s">
        <v>257</v>
      </c>
      <c r="C99" s="8">
        <f>B98*C96 + (B97*'Inputs and Outputs'!D178)</f>
        <v>0</v>
      </c>
      <c r="D99" s="8" cm="1">
        <f t="array" ref="D99:AA99">B98*D96:AA96</f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</row>
    <row r="100" spans="1:27">
      <c r="A100" s="8" t="s">
        <v>259</v>
      </c>
    </row>
    <row r="101" spans="1:27">
      <c r="A101" s="23" t="s">
        <v>254</v>
      </c>
      <c r="C101" s="24" cm="1">
        <f t="array" ref="C101:AA101">'Inputs and Outputs'!C192:AA192</f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4">
        <v>0</v>
      </c>
      <c r="S101" s="24">
        <v>0</v>
      </c>
      <c r="T101" s="24">
        <v>0</v>
      </c>
      <c r="U101" s="24">
        <v>0</v>
      </c>
      <c r="V101" s="24">
        <v>0</v>
      </c>
      <c r="W101" s="24">
        <v>0</v>
      </c>
      <c r="X101" s="24">
        <v>0</v>
      </c>
      <c r="Y101" s="24">
        <v>0</v>
      </c>
      <c r="Z101" s="24">
        <v>0</v>
      </c>
      <c r="AA101" s="24">
        <v>0</v>
      </c>
    </row>
    <row r="102" spans="1:27">
      <c r="A102" s="23" t="s">
        <v>255</v>
      </c>
      <c r="B102" s="8">
        <f>IF(OR('Inputs and Outputs'!C177=5,'Inputs and Outputs'!C177=7),(B146-IF('Inputs and Outputs'!D131="Yes",0.5*MIN('Inputs and Outputs'!B131/100*B146,'Inputs and Outputs'!C131),0)),0)</f>
        <v>0</v>
      </c>
    </row>
    <row r="103" spans="1:27">
      <c r="A103" s="23" t="s">
        <v>256</v>
      </c>
      <c r="B103" s="8">
        <f>B102*(1-'Inputs and Outputs'!C178)</f>
        <v>0</v>
      </c>
    </row>
    <row r="104" spans="1:27">
      <c r="A104" s="23" t="s">
        <v>257</v>
      </c>
      <c r="C104" s="8">
        <f>B103*C101 + (B102*'Inputs and Outputs'!C178)</f>
        <v>0</v>
      </c>
      <c r="D104" s="8" cm="1">
        <f t="array" ref="D104:AA104">B103*D101:AA101</f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</row>
    <row r="105" spans="1:27">
      <c r="A105" s="8" t="s">
        <v>260</v>
      </c>
    </row>
    <row r="106" spans="1:27">
      <c r="A106" s="23" t="s">
        <v>254</v>
      </c>
      <c r="C106" s="24" cm="1">
        <f t="array" ref="C106:AA106">'Inputs and Outputs'!C193:AA193</f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</row>
    <row r="107" spans="1:27">
      <c r="A107" s="23" t="s">
        <v>255</v>
      </c>
      <c r="B107" s="8">
        <f>IF(OR('Inputs and Outputs'!E177=5,'Inputs and Outputs'!E177=7),(B148-IF('Inputs and Outputs'!D145="Yes",0.5*MIN('Inputs and Outputs'!B145/100*B148,'Inputs and Outputs'!C145),0)),0)</f>
        <v>0</v>
      </c>
    </row>
    <row r="108" spans="1:27">
      <c r="A108" s="23" t="s">
        <v>256</v>
      </c>
      <c r="B108" s="8">
        <f>B107*(1-'Inputs and Outputs'!E178)</f>
        <v>0</v>
      </c>
    </row>
    <row r="109" spans="1:27">
      <c r="A109" s="23" t="s">
        <v>257</v>
      </c>
      <c r="C109" s="8">
        <f>B108*C106 + (B107*'Inputs and Outputs'!E178)</f>
        <v>0</v>
      </c>
      <c r="D109" s="8" cm="1">
        <f t="array" ref="D109:AA109">B108*D106:AA106</f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</row>
    <row r="110" spans="1:27">
      <c r="A110" s="8" t="s">
        <v>261</v>
      </c>
    </row>
    <row r="111" spans="1:27">
      <c r="A111" s="23" t="s">
        <v>254</v>
      </c>
      <c r="C111" s="24" cm="1">
        <f t="array" ref="C111:AA111">'Inputs and Outputs'!C194:AA194</f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0</v>
      </c>
      <c r="L111" s="24">
        <v>0</v>
      </c>
      <c r="M111" s="24">
        <v>0</v>
      </c>
      <c r="N111" s="24">
        <v>0</v>
      </c>
      <c r="O111" s="24">
        <v>0</v>
      </c>
      <c r="P111" s="24">
        <v>0</v>
      </c>
      <c r="Q111" s="24">
        <v>0</v>
      </c>
      <c r="R111" s="24">
        <v>0</v>
      </c>
      <c r="S111" s="24">
        <v>0</v>
      </c>
      <c r="T111" s="24">
        <v>0</v>
      </c>
      <c r="U111" s="24">
        <v>0</v>
      </c>
      <c r="V111" s="24">
        <v>0</v>
      </c>
      <c r="W111" s="24">
        <v>0</v>
      </c>
      <c r="X111" s="24">
        <v>0</v>
      </c>
      <c r="Y111" s="24">
        <v>0</v>
      </c>
      <c r="Z111" s="24">
        <v>0</v>
      </c>
      <c r="AA111" s="24">
        <v>0</v>
      </c>
    </row>
    <row r="112" spans="1:27">
      <c r="A112" s="23" t="s">
        <v>255</v>
      </c>
      <c r="B112" s="8">
        <f>IF(OR('Inputs and Outputs'!F177=5,'Inputs and Outputs'!F177=7),'Inputs and Outputs'!B57,0)</f>
        <v>0</v>
      </c>
    </row>
    <row r="113" spans="1:27">
      <c r="A113" s="23" t="s">
        <v>256</v>
      </c>
      <c r="B113" s="8">
        <f>B112*(1-'Inputs and Outputs'!F178)</f>
        <v>0</v>
      </c>
    </row>
    <row r="114" spans="1:27">
      <c r="A114" s="23" t="s">
        <v>257</v>
      </c>
      <c r="C114" s="8">
        <f>B113*C111 + (B112*'Inputs and Outputs'!F178)</f>
        <v>0</v>
      </c>
      <c r="D114" s="8" cm="1">
        <f t="array" ref="D114:AA114">B113*D111:AA111</f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</row>
    <row r="115" spans="1:27">
      <c r="A115" s="8" t="s">
        <v>262</v>
      </c>
    </row>
    <row r="116" spans="1:27">
      <c r="A116" s="23" t="s">
        <v>254</v>
      </c>
      <c r="C116" s="24" cm="1">
        <f t="array" ref="C116:AA116">'Inputs and Outputs'!C195:AA195</f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  <c r="M116" s="24">
        <v>0</v>
      </c>
      <c r="N116" s="24">
        <v>0</v>
      </c>
      <c r="O116" s="24">
        <v>0</v>
      </c>
      <c r="P116" s="24">
        <v>0</v>
      </c>
      <c r="Q116" s="24">
        <v>0</v>
      </c>
      <c r="R116" s="24">
        <v>0</v>
      </c>
      <c r="S116" s="24">
        <v>0</v>
      </c>
      <c r="T116" s="24">
        <v>0</v>
      </c>
      <c r="U116" s="24">
        <v>0</v>
      </c>
      <c r="V116" s="24">
        <v>0</v>
      </c>
      <c r="W116" s="24">
        <v>0</v>
      </c>
      <c r="X116" s="24">
        <v>0</v>
      </c>
      <c r="Y116" s="24">
        <v>0</v>
      </c>
      <c r="Z116" s="24">
        <v>0</v>
      </c>
      <c r="AA116" s="24">
        <v>0</v>
      </c>
    </row>
    <row r="117" spans="1:27">
      <c r="A117" s="23" t="s">
        <v>255</v>
      </c>
      <c r="B117" s="8">
        <f>IF(OR('Inputs and Outputs'!G177=5,'Inputs and Outputs'!G177=7),'Inputs and Outputs'!B58,0)</f>
        <v>0</v>
      </c>
    </row>
    <row r="118" spans="1:27">
      <c r="A118" s="23" t="s">
        <v>256</v>
      </c>
      <c r="B118" s="8">
        <f>B117*(1-'Inputs and Outputs'!G178)</f>
        <v>0</v>
      </c>
    </row>
    <row r="119" spans="1:27">
      <c r="A119" s="23" t="s">
        <v>257</v>
      </c>
      <c r="C119" s="8">
        <f>B118*C116 + (B117*'Inputs and Outputs'!G178)</f>
        <v>0</v>
      </c>
      <c r="D119" s="8" cm="1">
        <f t="array" ref="D119:AA119">B118*D116:AA116</f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</row>
    <row r="120" spans="1:27">
      <c r="A120" s="8" t="s">
        <v>263</v>
      </c>
    </row>
    <row r="121" spans="1:27">
      <c r="A121" s="23" t="s">
        <v>254</v>
      </c>
      <c r="C121" s="24" cm="1">
        <f t="array" ref="C121:AA121">'Inputs and Outputs'!C196:AA196</f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0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0</v>
      </c>
      <c r="P121" s="24">
        <v>0</v>
      </c>
      <c r="Q121" s="24">
        <v>0</v>
      </c>
      <c r="R121" s="24">
        <v>0</v>
      </c>
      <c r="S121" s="24">
        <v>0</v>
      </c>
      <c r="T121" s="24">
        <v>0</v>
      </c>
      <c r="U121" s="24">
        <v>0</v>
      </c>
      <c r="V121" s="24">
        <v>0</v>
      </c>
      <c r="W121" s="24">
        <v>0</v>
      </c>
      <c r="X121" s="24">
        <v>0</v>
      </c>
      <c r="Y121" s="24">
        <v>0</v>
      </c>
      <c r="Z121" s="24">
        <v>0</v>
      </c>
      <c r="AA121" s="24">
        <v>0</v>
      </c>
    </row>
    <row r="122" spans="1:27">
      <c r="A122" s="23" t="s">
        <v>255</v>
      </c>
      <c r="B122" s="8">
        <f>IF(OR('Inputs and Outputs'!H177=5,'Inputs and Outputs'!H177=7),'Inputs and Outputs'!B59,0)</f>
        <v>0</v>
      </c>
    </row>
    <row r="123" spans="1:27">
      <c r="A123" s="23" t="s">
        <v>256</v>
      </c>
      <c r="B123" s="8">
        <f>B122*(1-'Inputs and Outputs'!H178)</f>
        <v>0</v>
      </c>
    </row>
    <row r="124" spans="1:27">
      <c r="A124" s="23" t="s">
        <v>257</v>
      </c>
      <c r="C124" s="8">
        <f>B123*C121 + (B122*'Inputs and Outputs'!H178)</f>
        <v>0</v>
      </c>
      <c r="D124" s="8" cm="1">
        <f t="array" ref="D124:AA124">B123*D121:AA121</f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</row>
    <row r="125" spans="1:27">
      <c r="A125" s="8" t="s">
        <v>264</v>
      </c>
    </row>
    <row r="126" spans="1:27">
      <c r="A126" s="23" t="s">
        <v>254</v>
      </c>
      <c r="C126" s="24" cm="1">
        <f t="array" ref="C126:AA126">'Inputs and Outputs'!C197:AA197</f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24">
        <v>0</v>
      </c>
      <c r="S126" s="24">
        <v>0</v>
      </c>
      <c r="T126" s="24">
        <v>0</v>
      </c>
      <c r="U126" s="24">
        <v>0</v>
      </c>
      <c r="V126" s="24">
        <v>0</v>
      </c>
      <c r="W126" s="24">
        <v>0</v>
      </c>
      <c r="X126" s="24">
        <v>0</v>
      </c>
      <c r="Y126" s="24">
        <v>0</v>
      </c>
      <c r="Z126" s="24">
        <v>0</v>
      </c>
      <c r="AA126" s="24">
        <v>0</v>
      </c>
    </row>
    <row r="127" spans="1:27">
      <c r="A127" s="23" t="s">
        <v>255</v>
      </c>
    </row>
    <row r="128" spans="1:27">
      <c r="A128" s="23" t="s">
        <v>256</v>
      </c>
      <c r="B128" s="8">
        <f>B127*(1-'Inputs and Outputs'!I178)</f>
        <v>0</v>
      </c>
    </row>
    <row r="129" spans="1:27">
      <c r="A129" s="23" t="s">
        <v>257</v>
      </c>
      <c r="C129" s="8">
        <f>B128*C126 + (B127*'Inputs and Outputs'!I178)</f>
        <v>0</v>
      </c>
      <c r="D129" s="8" cm="1">
        <f t="array" ref="D129:AA129">B128*D126:AA126</f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</row>
    <row r="130" spans="1:27">
      <c r="A130" s="8" t="s">
        <v>265</v>
      </c>
    </row>
    <row r="131" spans="1:27">
      <c r="A131" s="23" t="s">
        <v>254</v>
      </c>
      <c r="C131" s="24" cm="1">
        <f t="array" ref="C131:AA131">'Inputs and Outputs'!C198:AA198</f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24">
        <v>0</v>
      </c>
      <c r="S131" s="24">
        <v>0</v>
      </c>
      <c r="T131" s="24">
        <v>0</v>
      </c>
      <c r="U131" s="24">
        <v>0</v>
      </c>
      <c r="V131" s="24">
        <v>0</v>
      </c>
      <c r="W131" s="24">
        <v>0</v>
      </c>
      <c r="X131" s="24">
        <v>0</v>
      </c>
      <c r="Y131" s="24">
        <v>0</v>
      </c>
      <c r="Z131" s="24">
        <v>0</v>
      </c>
      <c r="AA131" s="24">
        <v>0</v>
      </c>
    </row>
    <row r="132" spans="1:27">
      <c r="A132" s="23" t="s">
        <v>255</v>
      </c>
      <c r="B132" s="8">
        <f>IF(OR('Inputs and Outputs'!J177=5,'Inputs and Outputs'!J177=7),(B150-IF('Inputs and Outputs'!D162="Yes",0.5*MIN('Inputs and Outputs'!B162/100*B150,'Inputs and Outputs'!C162),0)),0)</f>
        <v>0</v>
      </c>
    </row>
    <row r="133" spans="1:27">
      <c r="A133" s="23" t="s">
        <v>256</v>
      </c>
      <c r="B133" s="8">
        <f>B132*(1-'Inputs and Outputs'!J178)</f>
        <v>0</v>
      </c>
    </row>
    <row r="134" spans="1:27">
      <c r="A134" s="23" t="s">
        <v>257</v>
      </c>
      <c r="C134" s="8">
        <f>B133*C131 + (B132*'Inputs and Outputs'!J178)</f>
        <v>0</v>
      </c>
      <c r="D134" s="8" cm="1">
        <f t="array" ref="D134:AA134">B133*D131:AA131</f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</row>
    <row r="135" spans="1:27">
      <c r="A135" s="19" t="s">
        <v>266</v>
      </c>
      <c r="C135" s="19">
        <f>SUM(C94,C99,C104,C109,C114,C119,C124,C129,C134)</f>
        <v>0</v>
      </c>
      <c r="D135" s="19">
        <f>SUM(D94,D99,D104,D109,D114,D119,D124,D129,D134)</f>
        <v>0</v>
      </c>
      <c r="E135" s="19">
        <f>SUM(E94,E99,E104,E109,E114,E119,E124,E129,E134)</f>
        <v>0</v>
      </c>
      <c r="F135" s="19">
        <f>SUM(F94,F99,F104,F109,F114,F119,F124,F129,F134)</f>
        <v>0</v>
      </c>
      <c r="G135" s="19">
        <f>SUM(G94,G99,G104,G109,G114,G119,G124,G129,G134)</f>
        <v>0</v>
      </c>
      <c r="H135" s="19">
        <f>SUM(H94,H99,H104,H109,H114,H119,H124,H129,H134)</f>
        <v>0</v>
      </c>
      <c r="I135" s="19">
        <f>SUM(I94,I99,I104,I109,I114,I119,I124,I129,I134)</f>
        <v>0</v>
      </c>
      <c r="J135" s="19">
        <f>SUM(J94,J99,J104,J109,J114,J119,J124,J129,J134)</f>
        <v>0</v>
      </c>
      <c r="K135" s="19">
        <f>SUM(K94,K99,K104,K109,K114,K119,K124,K129,K134)</f>
        <v>0</v>
      </c>
      <c r="L135" s="19">
        <f>SUM(L94,L99,L104,L109,L114,L119,L124,L129,L134)</f>
        <v>0</v>
      </c>
      <c r="M135" s="19">
        <f>SUM(M94,M99,M104,M109,M114,M119,M124,M129,M134)</f>
        <v>0</v>
      </c>
      <c r="N135" s="19">
        <f>SUM(N94,N99,N104,N109,N114,N119,N124,N129,N134)</f>
        <v>0</v>
      </c>
      <c r="O135" s="19">
        <f>SUM(O94,O99,O104,O109,O114,O119,O124,O129,O134)</f>
        <v>0</v>
      </c>
      <c r="P135" s="19">
        <f>SUM(P94,P99,P104,P109,P114,P119,P124,P129,P134)</f>
        <v>0</v>
      </c>
      <c r="Q135" s="19">
        <f>SUM(Q94,Q99,Q104,Q109,Q114,Q119,Q124,Q129,Q134)</f>
        <v>0</v>
      </c>
      <c r="R135" s="19">
        <f>SUM(R94,R99,R104,R109,R114,R119,R124,R129,R134)</f>
        <v>0</v>
      </c>
      <c r="S135" s="19">
        <f>SUM(S94,S99,S104,S109,S114,S119,S124,S129,S134)</f>
        <v>0</v>
      </c>
      <c r="T135" s="19">
        <f>SUM(T94,T99,T104,T109,T114,T119,T124,T129,T134)</f>
        <v>0</v>
      </c>
      <c r="U135" s="19">
        <f>SUM(U94,U99,U104,U109,U114,U119,U124,U129,U134)</f>
        <v>0</v>
      </c>
      <c r="V135" s="19">
        <f>SUM(V94,V99,V104,V109,V114,V119,V124,V129,V134)</f>
        <v>0</v>
      </c>
      <c r="W135" s="19">
        <f>SUM(W94,W99,W104,W109,W114,W119,W124,W129,W134)</f>
        <v>0</v>
      </c>
      <c r="X135" s="19">
        <f>SUM(X94,X99,X104,X109,X114,X119,X124,X129,X134)</f>
        <v>0</v>
      </c>
      <c r="Y135" s="19">
        <f>SUM(Y94,Y99,Y104,Y109,Y114,Y119,Y124,Y129,Y134)</f>
        <v>0</v>
      </c>
      <c r="Z135" s="19">
        <f>SUM(Z94,Z99,Z104,Z109,Z114,Z119,Z124,Z129,Z134)</f>
        <v>0</v>
      </c>
      <c r="AA135" s="19">
        <f>SUM(AA94,AA99,AA104,AA109,AA114,AA119,AA124,AA129,AA134)</f>
        <v>0</v>
      </c>
    </row>
    <row r="137" spans="1:27">
      <c r="A137" s="22" t="s">
        <v>267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>
      <c r="A138" s="19" t="s">
        <v>268</v>
      </c>
      <c r="C138" s="19" cm="1">
        <f t="array" ref="C138:AA138">((-1 * C10:AA10) + C94:AA94) * 'Inputs and Outputs'!B92/100</f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</row>
    <row r="139" spans="1:27">
      <c r="A139" s="19" t="s">
        <v>269</v>
      </c>
      <c r="C139" s="19" cm="1">
        <f t="array" ref="C139:AA139">((-1 * C12:AA12) + C99:AA99) * 'Inputs and Outputs'!B92/100</f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</row>
    <row r="141" spans="1:27">
      <c r="A141" s="22" t="s">
        <v>270</v>
      </c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 spans="1:27">
      <c r="A142" s="8" t="s">
        <v>271</v>
      </c>
      <c r="B142" s="8">
        <f>'Inputs and Outputs'!B52-IF('Inputs and Outputs'!E102="Yes",B32,0)-IF('Inputs and Outputs'!E103="Yes",B33,0)-IF('Inputs and Outputs'!E105="Yes",B36,0)-IF('Inputs and Outputs'!E106="Yes",B37,0)-IF('Inputs and Outputs'!E107="Yes",B38,0)</f>
        <v>0</v>
      </c>
    </row>
    <row r="143" spans="1:27">
      <c r="A143" s="8" t="s">
        <v>272</v>
      </c>
      <c r="C143">
        <f>MIN('Inputs and Outputs'!B97/100*B142,'Inputs and Outputs'!C97)</f>
        <v>0</v>
      </c>
    </row>
    <row r="144" spans="1:27">
      <c r="A144" s="8" t="s">
        <v>273</v>
      </c>
      <c r="B144" s="8">
        <f>'Inputs and Outputs'!B53-IF('Inputs and Outputs'!E119="Yes",B41,0)-IF('Inputs and Outputs'!E120="Yes",B42,0)-IF('Inputs and Outputs'!E122="Yes",B45,0)-IF('Inputs and Outputs'!E123="Yes",B46,0)-IF('Inputs and Outputs'!E124="Yes",B47,0)</f>
        <v>0</v>
      </c>
    </row>
    <row r="145" spans="1:27">
      <c r="A145" s="8" t="s">
        <v>274</v>
      </c>
      <c r="C145" s="8">
        <f>MIN('Inputs and Outputs'!B114/100*B144,'Inputs and Outputs'!C114)</f>
        <v>0</v>
      </c>
    </row>
    <row r="146" spans="1:27">
      <c r="A146" s="8" t="s">
        <v>275</v>
      </c>
      <c r="B146" s="8">
        <f>'Inputs and Outputs'!B55-IF('Inputs and Outputs'!E136="Yes",B50,0)-IF('Inputs and Outputs'!E137="Yes",B51,0)-IF('Inputs and Outputs'!E139="Yes",B54,0)-IF('Inputs and Outputs'!E140="Yes",B55,0)</f>
        <v>0</v>
      </c>
    </row>
    <row r="147" spans="1:27">
      <c r="A147" s="8" t="s">
        <v>276</v>
      </c>
      <c r="C147" s="8">
        <f>MIN('Inputs and Outputs'!B131/100*B146,'Inputs and Outputs'!C131)</f>
        <v>0</v>
      </c>
    </row>
    <row r="148" spans="1:27">
      <c r="A148" s="8" t="s">
        <v>277</v>
      </c>
      <c r="B148" s="8">
        <f>'Inputs and Outputs'!B56-IF('Inputs and Outputs'!E150="Yes",B58,0)-IF('Inputs and Outputs'!E151="Yes",B59,0)-IF('Inputs and Outputs'!E153="Yes",B62,0)-IF('Inputs and Outputs'!E154="Yes",B63,0)-IF('Inputs and Outputs'!E155="Yes",B64,0)</f>
        <v>0</v>
      </c>
    </row>
    <row r="149" spans="1:27">
      <c r="A149" s="8" t="s">
        <v>278</v>
      </c>
      <c r="C149">
        <f>MIN('Inputs and Outputs'!B145/100*B148,'Inputs and Outputs'!C145)</f>
        <v>0</v>
      </c>
    </row>
    <row r="150" spans="1:27">
      <c r="A150" s="8" t="s">
        <v>279</v>
      </c>
      <c r="B150" s="8">
        <f>'Inputs and Outputs'!B61-IF('Inputs and Outputs'!E167="Yes",B70,0)-IF('Inputs and Outputs'!E168="Yes",B71,0)-IF('Inputs and Outputs'!E170="Yes",B74,0)-IF('Inputs and Outputs'!E171="Yes",B75,0)-IF('Inputs and Outputs'!E172="Yes",B76,0)</f>
        <v>0</v>
      </c>
    </row>
    <row r="151" spans="1:27">
      <c r="A151" s="8" t="s">
        <v>280</v>
      </c>
      <c r="C151" s="8">
        <f>MIN('Inputs and Outputs'!B162/100*B150,'Inputs and Outputs'!C162)</f>
        <v>0</v>
      </c>
    </row>
    <row r="152" spans="1:27">
      <c r="A152" s="19" t="s">
        <v>281</v>
      </c>
      <c r="B152" s="19"/>
      <c r="C152" s="19">
        <f>SUM(C143, C145, C147, C149, C151)</f>
        <v>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4" spans="1:27">
      <c r="A154" s="22" t="s">
        <v>282</v>
      </c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>
      <c r="A155" s="8" t="s">
        <v>283</v>
      </c>
      <c r="B155" s="8">
        <f>-'Inputs and Outputs'!B51</f>
        <v>0</v>
      </c>
    </row>
    <row r="156" spans="1:27">
      <c r="A156" s="8" t="s">
        <v>284</v>
      </c>
      <c r="C156" s="8" cm="1">
        <f t="array" ref="C156:AA156">(C27:AA27 - C28:AA28) + C28:AA28 * (1 - 'Inputs and Outputs'!B92/100)</f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</row>
    <row r="157" spans="1:27">
      <c r="A157" s="8" t="s">
        <v>285</v>
      </c>
      <c r="B157" s="8" cm="1">
        <f t="array" ref="B157:AA157">(B86:AA86 * (1 - 'Inputs and Outputs'!B92/100)) + B87:AA87</f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</row>
    <row r="158" spans="1:27">
      <c r="A158" s="8" t="s">
        <v>286</v>
      </c>
      <c r="C158" s="8" cm="1">
        <f t="array" ref="C158:AA158">C135:AA135 * 'Inputs and Outputs'!B92/100</f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</row>
    <row r="159" spans="1:27">
      <c r="A159" s="8" t="s">
        <v>287</v>
      </c>
      <c r="C159" s="8" cm="1">
        <f t="array" ref="C159:AA159">C152:AA152</f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</row>
    <row r="160" spans="1:27">
      <c r="A160" s="19" t="s">
        <v>288</v>
      </c>
      <c r="B160" s="19">
        <f>B155+B157</f>
        <v>0</v>
      </c>
      <c r="C160" s="8" cm="1">
        <f t="array" ref="C160:AA160">C156:AA156 + C157:AA157 + C158:AA158 + C159:AA159</f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</row>
    <row r="161" spans="1:27">
      <c r="A161" s="19" t="s">
        <v>289</v>
      </c>
      <c r="B161" s="19">
        <f>B155+B157</f>
        <v>0</v>
      </c>
      <c r="C161" s="8" cm="1">
        <f t="array" ref="C161:AA161">C160:AA160 / (1 + 'Inputs and Outputs'!B89/100)^C2:AA2</f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</row>
    <row r="162" spans="1:27">
      <c r="A162" s="25" t="s">
        <v>290</v>
      </c>
      <c r="B162" s="19">
        <f>SUM(B161:AA161)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A24"/>
  <sheetViews>
    <sheetView workbookViewId="0"/>
  </sheetViews>
  <sheetFormatPr defaultRowHeight="15"/>
  <cols>
    <col min="1" max="1" width="25" customWidth="1"/>
    <col min="2" max="27" width="11.140625" customWidth="1"/>
  </cols>
  <sheetData>
    <row r="2" spans="1:27">
      <c r="A2" s="21" t="s">
        <v>201</v>
      </c>
      <c r="B2" s="21">
        <v>0</v>
      </c>
      <c r="C2" s="21">
        <v>1</v>
      </c>
      <c r="D2" s="21">
        <v>2</v>
      </c>
      <c r="E2" s="21">
        <v>3</v>
      </c>
      <c r="F2" s="21">
        <v>4</v>
      </c>
      <c r="G2" s="21">
        <v>5</v>
      </c>
      <c r="H2" s="21">
        <v>6</v>
      </c>
      <c r="I2" s="21">
        <v>7</v>
      </c>
      <c r="J2" s="21">
        <v>8</v>
      </c>
      <c r="K2" s="21">
        <v>9</v>
      </c>
      <c r="L2" s="21">
        <v>10</v>
      </c>
      <c r="M2" s="21">
        <v>11</v>
      </c>
      <c r="N2" s="21">
        <v>12</v>
      </c>
      <c r="O2" s="21">
        <v>13</v>
      </c>
      <c r="P2" s="21">
        <v>14</v>
      </c>
      <c r="Q2" s="21">
        <v>15</v>
      </c>
      <c r="R2" s="21">
        <v>16</v>
      </c>
      <c r="S2" s="21">
        <v>17</v>
      </c>
      <c r="T2" s="21">
        <v>18</v>
      </c>
      <c r="U2" s="21">
        <v>19</v>
      </c>
      <c r="V2" s="21">
        <v>20</v>
      </c>
      <c r="W2" s="21">
        <v>21</v>
      </c>
      <c r="X2" s="21">
        <v>22</v>
      </c>
      <c r="Y2" s="21">
        <v>23</v>
      </c>
      <c r="Z2" s="21">
        <v>24</v>
      </c>
      <c r="AA2" s="21">
        <v>25</v>
      </c>
    </row>
    <row r="3" spans="1:27">
      <c r="A3" s="8" t="s">
        <v>291</v>
      </c>
      <c r="C3" s="19" cm="1">
        <f t="array" ref="C3:AA3">-'Inputs and Outputs'!B22 * (1 + 'Inputs and Outputs'!B86/100)^C2:AA2</f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</row>
    <row r="4" spans="1:27">
      <c r="A4" s="8" t="s">
        <v>292</v>
      </c>
      <c r="C4" s="19" cm="1">
        <f t="array" ref="C4:AA4">'Inputs and Outputs'!B23 * (1 + 'Inputs and Outputs'!B86/100)^C2:AA2</f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</row>
    <row r="5" spans="1:27">
      <c r="A5" s="8" t="s">
        <v>293</v>
      </c>
      <c r="C5" s="19" cm="1">
        <f t="array" ref="C5:AA5">(-1 * ('Inputs and Outputs'!B35 * (1 + 'Inputs and Outputs'!B87/100)^C2:AA2))</f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</row>
    <row r="6" spans="1:27">
      <c r="A6" s="8" t="s">
        <v>59</v>
      </c>
    </row>
    <row r="7" spans="1:27">
      <c r="C7" s="19" cm="1">
        <f t="array" ref="C7:AA7">-'Inputs and Outputs'!B63 * (1 + 'Inputs and Outputs'!B85/100)^C2:AA2 * 'Inputs and Outputs'!B4</f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</row>
    <row r="8" spans="1:27">
      <c r="C8" s="19" cm="1">
        <f t="array" ref="C8:AA8">-'Inputs and Outputs'!B65 * (1 + 'Inputs and Outputs'!B85/100)^C2:AA2 * ('Inputs and Outputs'!B9-'Inputs and Outputs'!B10)</f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</row>
    <row r="9" spans="1:27">
      <c r="C9" s="19" cm="1">
        <f t="array" ref="C9:AA9">-'Inputs and Outputs'!B66 * (1 + 'Inputs and Outputs'!B85/100)^C2:AA2 * 'Inputs and Outputs'!B30</f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</row>
    <row r="10" spans="1:27">
      <c r="C10" s="19" cm="1">
        <f t="array" ref="C10:AA10">-'Inputs and Outputs'!B68 * (1 + 'Inputs and Outputs'!B85/100)^C2:AA2</f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</row>
    <row r="11" spans="1:27">
      <c r="A11" s="19" t="s">
        <v>223</v>
      </c>
      <c r="C11" s="19">
        <f>SUM(C3:C10)</f>
        <v>0</v>
      </c>
      <c r="D11" s="19">
        <f>SUM(D3:D10)</f>
        <v>0</v>
      </c>
      <c r="E11" s="19">
        <f>SUM(E3:E10)</f>
        <v>0</v>
      </c>
      <c r="F11" s="19">
        <f>SUM(F3:F10)</f>
        <v>0</v>
      </c>
      <c r="G11" s="19">
        <f>SUM(G3:G10)</f>
        <v>0</v>
      </c>
      <c r="H11" s="19">
        <f>SUM(H3:H10)</f>
        <v>0</v>
      </c>
      <c r="I11" s="19">
        <f>SUM(I3:I10)</f>
        <v>0</v>
      </c>
      <c r="J11" s="19">
        <f>SUM(J3:J10)</f>
        <v>0</v>
      </c>
      <c r="K11" s="19">
        <f>SUM(K3:K10)</f>
        <v>0</v>
      </c>
      <c r="L11" s="19">
        <f>SUM(L3:L10)</f>
        <v>0</v>
      </c>
      <c r="M11" s="19">
        <f>SUM(M3:M10)</f>
        <v>0</v>
      </c>
      <c r="N11" s="19">
        <f>SUM(N3:N10)</f>
        <v>0</v>
      </c>
      <c r="O11" s="19">
        <f>SUM(O3:O10)</f>
        <v>0</v>
      </c>
      <c r="P11" s="19">
        <f>SUM(P3:P10)</f>
        <v>0</v>
      </c>
      <c r="Q11" s="19">
        <f>SUM(Q3:Q10)</f>
        <v>0</v>
      </c>
      <c r="R11" s="19">
        <f>SUM(R3:R10)</f>
        <v>0</v>
      </c>
      <c r="S11" s="19">
        <f>SUM(S3:S10)</f>
        <v>0</v>
      </c>
      <c r="T11" s="19">
        <f>SUM(T3:T10)</f>
        <v>0</v>
      </c>
      <c r="U11" s="19">
        <f>SUM(U3:U10)</f>
        <v>0</v>
      </c>
      <c r="V11" s="19">
        <f>SUM(V3:V10)</f>
        <v>0</v>
      </c>
      <c r="W11" s="19">
        <f>SUM(W3:W10)</f>
        <v>0</v>
      </c>
      <c r="X11" s="19">
        <f>SUM(X3:X10)</f>
        <v>0</v>
      </c>
      <c r="Y11" s="19">
        <f>SUM(Y3:Y10)</f>
        <v>0</v>
      </c>
      <c r="Z11" s="19">
        <f>SUM(Z3:Z10)</f>
        <v>0</v>
      </c>
      <c r="AA11" s="19">
        <f>SUM(AA3:AA10)</f>
        <v>0</v>
      </c>
    </row>
    <row r="12" spans="1:27">
      <c r="A12" s="19" t="s">
        <v>224</v>
      </c>
      <c r="C12" s="19" cm="1">
        <f t="array" ref="C12:AA12">IF('Inputs and Outputs'!B92 &gt; 0, C11:AA11, 0)</f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</row>
    <row r="14" spans="1:27">
      <c r="A14" s="22" t="s">
        <v>245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>
      <c r="A15" s="19" t="s">
        <v>247</v>
      </c>
      <c r="C15" s="19" cm="1">
        <f t="array" ref="C15:AA15">IF(B2:Z2 &lt; 'Inputs and Outputs'!E109, MIN('Inputs and Outputs'!B109 * 'Inputs and Outputs'!C183:AA183, 'Inputs and Outputs'!C109 * (1 - 'Inputs and Outputs'!B5/100)^B2:Z2), 0)</f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>
      <c r="A16" s="19" t="s">
        <v>250</v>
      </c>
      <c r="C16" s="19" cm="1">
        <f t="array" ref="C16:AA16">IF('Inputs and Outputs'!D109="Yes", C15:AA15, 0)</f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</row>
    <row r="17" spans="1:27">
      <c r="A17" s="19" t="s">
        <v>251</v>
      </c>
      <c r="C17" s="19" cm="1">
        <f t="array" ref="C17:AA17">IF('Inputs and Outputs'!D109="No", C15:AA15, 0)</f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</v>
      </c>
    </row>
    <row r="19" spans="1:27">
      <c r="A19" s="22" t="s">
        <v>282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>
      <c r="A20" s="8" t="s">
        <v>294</v>
      </c>
      <c r="C20" cm="1">
        <f t="array" ref="C20:AA20">(C11:AA11 - C12:AA12) + C12:AA12 * (1 - 'Inputs and Outputs'!B92/100)</f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8" t="s">
        <v>285</v>
      </c>
      <c r="C21" cm="1">
        <f t="array" ref="C21:AA21">(C16:AA16 * (1 - 'Inputs and Outputs'!B92/100)) + C17:AA17</f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9" t="s">
        <v>136</v>
      </c>
      <c r="C22" cm="1">
        <f t="array" ref="C22:AA22">C20:AA20 + C21:AA21</f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9" t="s">
        <v>289</v>
      </c>
      <c r="C23" cm="1">
        <f t="array" ref="C23:AA23">C22:AA22 / (1 + 'Inputs and Outputs'!B89/100)^C2:AA2</f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25" t="s">
        <v>295</v>
      </c>
      <c r="B24">
        <f>SUM(B23:AA23)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2024-07-05T22:25:24Z</dcterms:created>
  <dcterms:modified xsi:type="dcterms:W3CDTF">2024-07-05T22:25:24Z</dcterms:modified>
</cp:coreProperties>
</file>