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 and Outputs" sheetId="1" r:id="rId1"/>
    <sheet name="Optimal Cash Flow" sheetId="2" r:id="rId2"/>
    <sheet name="BAU Cash Flow" sheetId="3" r:id="rId3"/>
  </sheets>
  <calcPr calcId="124519" fullCalcOnLoad="1"/>
</workbook>
</file>

<file path=xl/sharedStrings.xml><?xml version="1.0" encoding="utf-8"?>
<sst xmlns="http://schemas.openxmlformats.org/spreadsheetml/2006/main" count="493" uniqueCount="277">
  <si>
    <t>Results Summary and Inputs</t>
  </si>
  <si>
    <t>OPTIMAL SYSTEM DESIGN (with existing)</t>
  </si>
  <si>
    <t>PV Nameplate capacity (kW), purchased</t>
  </si>
  <si>
    <t>PV Nameplate capacity (kW), existing</t>
  </si>
  <si>
    <t>PV degradation rate (%/year)</t>
  </si>
  <si>
    <t>PV LCOE of New Capacity ($/kWh), nominal</t>
  </si>
  <si>
    <t>Wind Nameplate capacity (kW), purchased</t>
  </si>
  <si>
    <t>Wind LCOE ($/kWh), nominal</t>
  </si>
  <si>
    <t>Backup Generator Nameplate capacity (kW), purchased</t>
  </si>
  <si>
    <t>Backup Generator Nameplate capacity (kW), existing</t>
  </si>
  <si>
    <t>Battery power (kW)</t>
  </si>
  <si>
    <t>Battery capacity (kWh)</t>
  </si>
  <si>
    <t>CHP capacity (kW)</t>
  </si>
  <si>
    <t>Absorption chiller capacity (tons)</t>
  </si>
  <si>
    <t>Chilled water TES capacity (gallons)</t>
  </si>
  <si>
    <t>Hot water TES capacity (gallons)</t>
  </si>
  <si>
    <t>Steam turbine capacity (kW)</t>
  </si>
  <si>
    <t>GHP heat pump capacity (ton)</t>
  </si>
  <si>
    <t>GHP ground heat exchanger size (ft)</t>
  </si>
  <si>
    <t>ANNUAL RESULTS</t>
  </si>
  <si>
    <t>Present value of annual Business as Usual electric utility bill ($/year)</t>
  </si>
  <si>
    <t>Present value of annual Business as Usual export credits ($/year)</t>
  </si>
  <si>
    <t>Present value of annual Optimal electric utility bill($/year)</t>
  </si>
  <si>
    <t>Present value of annual Optimal export credits ($/year)</t>
  </si>
  <si>
    <t>Existing PV electricity produced (kWh), Year 1</t>
  </si>
  <si>
    <t>Total PV optimal electricity produced (kWh), Year 1</t>
  </si>
  <si>
    <t>PV optimal electricity produced (kWh), Annual Average</t>
  </si>
  <si>
    <t>Nominal annual optimal wind electricity produced (kWh/year)</t>
  </si>
  <si>
    <t>Nominal annual optimal backup generator electricity produced (kWh/year)</t>
  </si>
  <si>
    <t>CHP annual optimal electricity produced (kWh/year)</t>
  </si>
  <si>
    <t>CHP annual runtime (hours/year)</t>
  </si>
  <si>
    <t>Steam turbine annual optimal electricity produced (kWh/year)</t>
  </si>
  <si>
    <t>Total optimal electricity produced (kWh/year)</t>
  </si>
  <si>
    <t>Present value of annual Business as Usual boiler fuels utility bill ($/year)</t>
  </si>
  <si>
    <t>Present value of annual Optimal boiler fuels utility bill ($/year)</t>
  </si>
  <si>
    <t>Present value of annual CHP fuels utility bill ($/year)</t>
  </si>
  <si>
    <t>CHP annual optimal thermal energy produced (MMBtu/year)</t>
  </si>
  <si>
    <t>Steam turbine annual optimal thermal energy produced (MMBtu/year)</t>
  </si>
  <si>
    <t>Percent electricity from on-site renewable resources</t>
  </si>
  <si>
    <t>Percent reduction in annual electricity bill</t>
  </si>
  <si>
    <t>Percent reduction in annual fuels bill</t>
  </si>
  <si>
    <t>Year one total site carbon dioxide emissions (ton CO2)</t>
  </si>
  <si>
    <t>Year one total site carbon dioxide emissions BAU (ton CO2)</t>
  </si>
  <si>
    <t>Year one total carbon dioxide emissions from electric utility purchases (ton CO2)</t>
  </si>
  <si>
    <t>Year one total carbon dioxide emissions from electric utility purchases BAU (ton CO2)</t>
  </si>
  <si>
    <t>Year one total carbon dioxide emissions from on-site fuel burn (ton CO2)</t>
  </si>
  <si>
    <t>Year one total carbon dioxide emissions from on-site fuel burn BAU (ton CO2)</t>
  </si>
  <si>
    <t>SYSTEM COSTS</t>
  </si>
  <si>
    <t>Total Installed Cost ($)</t>
  </si>
  <si>
    <t>PV Installed Cost ($)</t>
  </si>
  <si>
    <t>Wind Installed Cost ($)</t>
  </si>
  <si>
    <t>Backup generator Installed Cost ($)</t>
  </si>
  <si>
    <t>Battery Installed Cost ($)</t>
  </si>
  <si>
    <t>CHP Installed Cost ($)</t>
  </si>
  <si>
    <t>Absorption Chiller Installed Cost ($)</t>
  </si>
  <si>
    <t>Hot water TES Installed Cost ($)</t>
  </si>
  <si>
    <t>Chilled water TES Installed Cost ($)</t>
  </si>
  <si>
    <t>Steam turbine Installed Cost ($)</t>
  </si>
  <si>
    <t>GHP Installed Cost ($)</t>
  </si>
  <si>
    <t>Operation and Maintenance (O&amp;M)</t>
  </si>
  <si>
    <t>Fixed PV O&amp;M ($/kW-yr)</t>
  </si>
  <si>
    <t>Fixed Wind O&amp;M ($/kW-yr)</t>
  </si>
  <si>
    <t>Fixed Backup Generator O&amp;M ($/kW-yr)</t>
  </si>
  <si>
    <t>Variable Backup Generator O&amp;M ($/kWh)</t>
  </si>
  <si>
    <t>Diesel fuel used cost ($)</t>
  </si>
  <si>
    <t>Diesel BAU fuel used cost ($)</t>
  </si>
  <si>
    <t>Battery replacement cost ($/kW)</t>
  </si>
  <si>
    <t>Battery kW replacement year</t>
  </si>
  <si>
    <t>Battery replacement cost ($/kWh)</t>
  </si>
  <si>
    <t>Battery kWh replacement year</t>
  </si>
  <si>
    <t>Fixed CHP O&amp;M cost ($/kW-yr)</t>
  </si>
  <si>
    <t>Variable CHP O&amp;M cost ($/kWh)</t>
  </si>
  <si>
    <t>Runtime CHP O&amp;M cost ($/kW-rated/run-hour)</t>
  </si>
  <si>
    <t>Fixed Absorption Chiller O&amp;M cost ($/ton-yr)</t>
  </si>
  <si>
    <t>Fixed Chilled water TES O&amp;M cost ($/gallon-year)</t>
  </si>
  <si>
    <t>Fixed Hot water TES O&amp;M cost ($/gallon-year)</t>
  </si>
  <si>
    <t>Fixed Steam Turbine O&amp;M ($/kW-yr)</t>
  </si>
  <si>
    <t>Variable Steam Turbine O&amp;M ($/kWh)</t>
  </si>
  <si>
    <t>Fixed GHP O&amp;M ($/yr)</t>
  </si>
  <si>
    <t>ANALYSIS PARAMETERS</t>
  </si>
  <si>
    <t>Analysis period (years)</t>
  </si>
  <si>
    <t>Nominal O&amp;M cost escalation rate (%/year)</t>
  </si>
  <si>
    <t>Nominal electric utility cost escalation rate (%/year)</t>
  </si>
  <si>
    <t>Nominal boiler fuel cost escalation rate (%/year)</t>
  </si>
  <si>
    <t>Nominal CHP fuel cost escalation rate (%/year)</t>
  </si>
  <si>
    <t>Nominal discount rate (%/year)</t>
  </si>
  <si>
    <t>TAX AND INSURANCE PARAMETERS</t>
  </si>
  <si>
    <t>Federal income tax rate (%)</t>
  </si>
  <si>
    <t>PV TAX CREDITS</t>
  </si>
  <si>
    <t>Investment tax credit (ITC)</t>
  </si>
  <si>
    <t>As percentage</t>
  </si>
  <si>
    <t>Federal</t>
  </si>
  <si>
    <t>PV DIRECT CASH INCENTIVES</t>
  </si>
  <si>
    <t>Investment based incentive (IBI)</t>
  </si>
  <si>
    <t>State (% of total installed cost)</t>
  </si>
  <si>
    <t>Utility (% of total installed cost)</t>
  </si>
  <si>
    <t>Capacity based incentive (CBI)</t>
  </si>
  <si>
    <t>Federal ($/W)</t>
  </si>
  <si>
    <t>State  ($/W)</t>
  </si>
  <si>
    <t>Utility  ($/W)</t>
  </si>
  <si>
    <t>Production based incentive (PBI)</t>
  </si>
  <si>
    <t>Combined ($/kWh)</t>
  </si>
  <si>
    <t>WIND TAX CREDITS</t>
  </si>
  <si>
    <t>WIND DIRECT CASH INCENTIVES</t>
  </si>
  <si>
    <t>BATTERY TAX CREDITS</t>
  </si>
  <si>
    <t>BATTERY DIRECT CASH INCENTIVES</t>
  </si>
  <si>
    <t>Total ($/W)</t>
  </si>
  <si>
    <t>Total  ($/Wh)</t>
  </si>
  <si>
    <t>CHP TAX CREDITS</t>
  </si>
  <si>
    <t>CHP DIRECT CASH INCENTIVES</t>
  </si>
  <si>
    <t>GHP TAX CREDITS</t>
  </si>
  <si>
    <t>GHP DIRECT CASH INCENTIVES</t>
  </si>
  <si>
    <t>Federal ($/ton)</t>
  </si>
  <si>
    <t>State  ($/ton)</t>
  </si>
  <si>
    <t>Utility  ($/ton)</t>
  </si>
  <si>
    <t>DEPRECIATION</t>
  </si>
  <si>
    <t>Federal (years)</t>
  </si>
  <si>
    <t>Federal bonus fraction</t>
  </si>
  <si>
    <t>ANNUAL VALUES</t>
  </si>
  <si>
    <t>PV Annual electricity (kWh)</t>
  </si>
  <si>
    <t>Existing PV Annual electricity (kWh)</t>
  </si>
  <si>
    <t>Wind Annual electricity (kWh)</t>
  </si>
  <si>
    <t>Backup Generator Annual electricity (kWh)</t>
  </si>
  <si>
    <t>CHP Annual electricity (kWh)</t>
  </si>
  <si>
    <t>CHP Annual heat (MMBtu)</t>
  </si>
  <si>
    <t>Steam Turbine Annual electricity (kWh)</t>
  </si>
  <si>
    <t>Steam Turbine Annual heat (MMBtu)</t>
  </si>
  <si>
    <t>PV Federal depreciation percentages (fraction)</t>
  </si>
  <si>
    <t>Wind Federal depreciation percentages (fraction)</t>
  </si>
  <si>
    <t>Battery Federal depreciation percentages (fraction)</t>
  </si>
  <si>
    <t>CHP Federal depreciation percentages (fraction)</t>
  </si>
  <si>
    <t>Absorption Chiller Federal depreciation percentages (fraction)</t>
  </si>
  <si>
    <t>Hot TES Federal depreciation percentages (fraction)</t>
  </si>
  <si>
    <t>Cold TES Federal depreciation percentages (fraction)</t>
  </si>
  <si>
    <t>Steam turbine Federal depreciation percentages (fraction)</t>
  </si>
  <si>
    <t>GHP Federal depreciation percentages (fraction)</t>
  </si>
  <si>
    <t>Free Cash Flow</t>
  </si>
  <si>
    <t>Cumulative Free Cash Flow</t>
  </si>
  <si>
    <t>RESULTS</t>
  </si>
  <si>
    <t>Business as usual LCC, $</t>
  </si>
  <si>
    <t>Optimal LCC, $</t>
  </si>
  <si>
    <t>NPV, $</t>
  </si>
  <si>
    <t>IRR, %</t>
  </si>
  <si>
    <t>Simple Payback Period, years</t>
  </si>
  <si>
    <t>NOTE: A negative LCC indicates a profit (for example when production based incentives are greater than costs.</t>
  </si>
  <si>
    <t>NOTE: This NPV can differ slightly (&lt;1%) from the Webtool/API results due to rounding and the tolerance in the optimizer.</t>
  </si>
  <si>
    <t>Reduces depreciation</t>
  </si>
  <si>
    <t>%</t>
  </si>
  <si>
    <t>Maximum</t>
  </si>
  <si>
    <t>Yes</t>
  </si>
  <si>
    <t>Incentive is taxable</t>
  </si>
  <si>
    <t>Reduces depreciation and ITC basis</t>
  </si>
  <si>
    <t>Maximum ($)</t>
  </si>
  <si>
    <t>No</t>
  </si>
  <si>
    <t>Amount ($/W)</t>
  </si>
  <si>
    <t>Amount ($/kWh)</t>
  </si>
  <si>
    <t>Maximum ($/year)</t>
  </si>
  <si>
    <t>Federal taxable</t>
  </si>
  <si>
    <t>Term (years)</t>
  </si>
  <si>
    <t>System size limit (kW)</t>
  </si>
  <si>
    <t>?</t>
  </si>
  <si>
    <t>Inventive is taxable</t>
  </si>
  <si>
    <t>PV</t>
  </si>
  <si>
    <t>BATTERY</t>
  </si>
  <si>
    <t>WIND</t>
  </si>
  <si>
    <t>CHP</t>
  </si>
  <si>
    <t>Absorption Chiller</t>
  </si>
  <si>
    <t>Hot TES</t>
  </si>
  <si>
    <t>Cold TES</t>
  </si>
  <si>
    <t>SteamTurbine</t>
  </si>
  <si>
    <t>GHP</t>
  </si>
  <si>
    <t>MACRS SCHEDULES (INFORMATIONAL ONLY)</t>
  </si>
  <si>
    <t>Year</t>
  </si>
  <si>
    <t>5-Year</t>
  </si>
  <si>
    <t>7-Year</t>
  </si>
  <si>
    <t>Optimal Cash Flow</t>
  </si>
  <si>
    <t>Operating Year</t>
  </si>
  <si>
    <t>Operating Expenses</t>
  </si>
  <si>
    <t>Electricity bill with system before export credits</t>
  </si>
  <si>
    <t>Export credits with system</t>
  </si>
  <si>
    <t>Boiler fuel bill with system</t>
  </si>
  <si>
    <t>CHP fuel bill</t>
  </si>
  <si>
    <t>New PV fixed O&amp;M cost</t>
  </si>
  <si>
    <t>Existing PV fixed O&amp;M cost</t>
  </si>
  <si>
    <t>Wind fixed O&amp;M cost</t>
  </si>
  <si>
    <t>Generator fixed O&amp;M cost</t>
  </si>
  <si>
    <t>Generator variable O&amp;M cost</t>
  </si>
  <si>
    <t>Generator diesel fuel cost ($)</t>
  </si>
  <si>
    <t xml:space="preserve">Battery kW replacement cost </t>
  </si>
  <si>
    <t xml:space="preserve">Battery kWh replacement cost </t>
  </si>
  <si>
    <t>CHP fixed O&amp;M cost</t>
  </si>
  <si>
    <t>CHP variable generation O&amp;M cost</t>
  </si>
  <si>
    <t>CHP runtime O&amp;M cost</t>
  </si>
  <si>
    <t>Absorption Chiller fixed O&amp;M cost</t>
  </si>
  <si>
    <t>Chilled water TES fixed O&amp;M cost</t>
  </si>
  <si>
    <t>Hot water TES fixed O&amp;M cost</t>
  </si>
  <si>
    <t>Steam turbine fixed O&amp;M cost</t>
  </si>
  <si>
    <t>Steam turbine variable generation O&amp;M cost</t>
  </si>
  <si>
    <t>GHP fixed O&amp;M cost</t>
  </si>
  <si>
    <t>Total operating expenses</t>
  </si>
  <si>
    <t>Tax deductible operating expenses</t>
  </si>
  <si>
    <t>Direct Cash Incentives</t>
  </si>
  <si>
    <t>PV Investment-based incentives (IBI)</t>
  </si>
  <si>
    <t>State IBI</t>
  </si>
  <si>
    <t>Utility IBI</t>
  </si>
  <si>
    <t>Total</t>
  </si>
  <si>
    <t>PV Capacity-based incentives (CBI)</t>
  </si>
  <si>
    <t>Federal CBI</t>
  </si>
  <si>
    <t>State CBI</t>
  </si>
  <si>
    <t>Utility CBI</t>
  </si>
  <si>
    <t>Wind Investment-based incentives (IBI)</t>
  </si>
  <si>
    <t>Wind Capacity-based incentives (CBI)</t>
  </si>
  <si>
    <t>Battery Investment-based incentives (IBI)</t>
  </si>
  <si>
    <t>Battery Capacity-based incentives (CBI)</t>
  </si>
  <si>
    <t>Total Power (per kW) CBI</t>
  </si>
  <si>
    <t>Total Storage Capacity (per kWh) CBI</t>
  </si>
  <si>
    <t>CHP Investment-based incentives (IBI)</t>
  </si>
  <si>
    <t>CHP Capacity-based incentives (CBI)</t>
  </si>
  <si>
    <t>Total CBI and IBI</t>
  </si>
  <si>
    <t>GHP Investment-based incentives (IBI)</t>
  </si>
  <si>
    <t>GHP Capacity-based incentives (CBI)</t>
  </si>
  <si>
    <t>Production-based incentives (PBI)</t>
  </si>
  <si>
    <t>New PV Combined PBI</t>
  </si>
  <si>
    <t>Existing PV Combined PBI</t>
  </si>
  <si>
    <t>Wind Combined PBI</t>
  </si>
  <si>
    <t>CHP Combined PBI</t>
  </si>
  <si>
    <t>Total taxable cash incentives</t>
  </si>
  <si>
    <t>Total non-taxable cash incentives</t>
  </si>
  <si>
    <t>Capital Depreciation</t>
  </si>
  <si>
    <t>PV Depreciation, Commercial only</t>
  </si>
  <si>
    <t>Percentage</t>
  </si>
  <si>
    <t>Bonus Basis</t>
  </si>
  <si>
    <t>Basis</t>
  </si>
  <si>
    <t>Amount</t>
  </si>
  <si>
    <t>Wind Depreciation, Commercial only</t>
  </si>
  <si>
    <t>Battery Depreciation, Commercial only</t>
  </si>
  <si>
    <t>CHP Depreciation, Commercial only</t>
  </si>
  <si>
    <t>Absorption Chiller Depreciation, Commercial only</t>
  </si>
  <si>
    <t>Hot TES Depreciation, Commercial only</t>
  </si>
  <si>
    <t>Cold TES Depreciation, Commercial only</t>
  </si>
  <si>
    <t>Steam Turbine Depreciation, Commercial only</t>
  </si>
  <si>
    <t>GHP Depreciation, Commercial only</t>
  </si>
  <si>
    <t>Total depreciation</t>
  </si>
  <si>
    <t>Tax benefits for LCOE Calculations</t>
  </si>
  <si>
    <t>PV income tax savings, $</t>
  </si>
  <si>
    <t>Wind income tax savings, $</t>
  </si>
  <si>
    <t>Federal Investment Tax Credit</t>
  </si>
  <si>
    <t>Federal ITC basis: PV</t>
  </si>
  <si>
    <t>Federal ITC amount: PV</t>
  </si>
  <si>
    <t>Federal ITC basis: Wind</t>
  </si>
  <si>
    <t>Federal ITC amount: Wind</t>
  </si>
  <si>
    <t>Federal ITC basis: Battery</t>
  </si>
  <si>
    <t>Federal ITC amount: Battery</t>
  </si>
  <si>
    <t>Federal ITC basis: CHP</t>
  </si>
  <si>
    <t>Federal ITC amount: CHP</t>
  </si>
  <si>
    <t>Federal ITC basis: GHP</t>
  </si>
  <si>
    <t>Federal ITC amount: GHP</t>
  </si>
  <si>
    <t>Total Federal ITC</t>
  </si>
  <si>
    <t>Total Cash Flows</t>
  </si>
  <si>
    <t>Upfront Capital Cost</t>
  </si>
  <si>
    <t>Operating expenses, after-tax</t>
  </si>
  <si>
    <t>Total Cash incentives, after-tax</t>
  </si>
  <si>
    <t>Depreciation Tax Shield</t>
  </si>
  <si>
    <t>Investment Tax Credit</t>
  </si>
  <si>
    <t>Free Cash Flow before income</t>
  </si>
  <si>
    <t>Discounted Cash Flow</t>
  </si>
  <si>
    <t>Optimal Life Cycle Cost</t>
  </si>
  <si>
    <t>Business as Usual electricity bill ($)</t>
  </si>
  <si>
    <t>Business as Usual export credits ($)</t>
  </si>
  <si>
    <t>Business as Usual boiler fuel bill ($)</t>
  </si>
  <si>
    <t>Net Operating expenses, after-tax</t>
  </si>
  <si>
    <t>BAU Life Cycle Cost</t>
  </si>
  <si>
    <t>Existing PV cost in $/kW</t>
  </si>
  <si>
    <t>Existing Generator fixed O&amp;M cost</t>
  </si>
  <si>
    <t>Existing Generator variable O&amp;M cost</t>
  </si>
  <si>
    <t>Existing Generator fuel cost ($)</t>
  </si>
  <si>
    <t>BAU Cash Flow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</si>
</sst>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Segoe UI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2C5CC"/>
        <bgColor indexed="64"/>
      </patternFill>
    </fill>
    <fill>
      <patternFill patternType="solid">
        <fgColor rgb="FFAEC9E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2" fillId="0" borderId="0" xfId="0" applyFont="1"/>
    <xf numFmtId="0" fontId="3" fillId="0" borderId="1" xfId="0" applyFont="1" applyBorder="1" applyAlignment="1">
      <alignment horizontal="left" indent="1"/>
    </xf>
    <xf numFmtId="0" fontId="2" fillId="3" borderId="4" xfId="0" applyFont="1" applyFill="1" applyBorder="1"/>
    <xf numFmtId="0" fontId="3" fillId="0" borderId="1" xfId="0" applyFont="1" applyBorder="1" applyAlignment="1">
      <alignment horizontal="left" indent="2"/>
    </xf>
    <xf numFmtId="11" fontId="3" fillId="0" borderId="3" xfId="0" applyNumberFormat="1" applyFont="1" applyBorder="1"/>
    <xf numFmtId="0" fontId="2" fillId="0" borderId="3" xfId="0" applyFont="1" applyBorder="1"/>
    <xf numFmtId="0" fontId="3" fillId="3" borderId="3" xfId="0" applyFont="1" applyFill="1" applyBorder="1"/>
    <xf numFmtId="0" fontId="4" fillId="2" borderId="0" xfId="0" applyFont="1" applyFill="1"/>
    <xf numFmtId="0" fontId="2" fillId="3" borderId="5" xfId="0" applyFont="1" applyFill="1" applyBorder="1"/>
    <xf numFmtId="0" fontId="3" fillId="0" borderId="0" xfId="0" applyFont="1"/>
    <xf numFmtId="0" fontId="3" fillId="0" borderId="0" xfId="0" applyFont="1" applyAlignment="1">
      <alignment horizontal="left" indent="1"/>
    </xf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"/>
  <sheetViews>
    <sheetView tabSelected="1" workbookViewId="0"/>
  </sheetViews>
  <sheetFormatPr defaultRowHeight="15"/>
  <cols>
    <col min="1" max="1" width="100.7109375" customWidth="1"/>
    <col min="2" max="2" width="15.42578125" customWidth="1"/>
    <col min="3" max="3" width="14" customWidth="1"/>
    <col min="4" max="5" width="24.5703125" customWidth="1"/>
    <col min="6" max="6" width="27.5703125" customWidth="1"/>
  </cols>
  <sheetData>
    <row r="1" spans="1:6">
      <c r="A1" s="1" t="s">
        <v>0</v>
      </c>
      <c r="B1" s="2"/>
    </row>
    <row r="2" spans="1:6">
      <c r="A2" s="3" t="s">
        <v>1</v>
      </c>
      <c r="B2" s="4"/>
    </row>
    <row r="3" spans="1:6">
      <c r="A3" s="5" t="s">
        <v>2</v>
      </c>
      <c r="B3" s="6">
        <v>876.9307</v>
      </c>
    </row>
    <row r="4" spans="1:6">
      <c r="A4" s="5" t="s">
        <v>3</v>
      </c>
      <c r="B4" s="6">
        <v>0</v>
      </c>
    </row>
    <row r="5" spans="1:6">
      <c r="A5" s="5" t="s">
        <v>4</v>
      </c>
      <c r="B5" s="6">
        <v>0.005</v>
      </c>
      <c r="D5" s="3" t="s">
        <v>138</v>
      </c>
      <c r="E5" s="4"/>
    </row>
    <row r="6" spans="1:6">
      <c r="A6" s="5" t="s">
        <v>5</v>
      </c>
      <c r="B6" s="6">
        <f>ROUND((('Inputs and Outputs'!B52 + -1*(NPV('Inputs and Outputs'!B89/100,'Optimal Cash Flow'!C10:'Optimal Cash Flow'!AA10)) - SUM('Optimal Cash Flow'!B39,'Optimal Cash Flow'!B34,NPV('Inputs and Outputs'!B89/100,'Optimal Cash Flow'!C82:'Optimal Cash Flow'!AA82),NPV('Inputs and Outputs'!B89/100,'Optimal Cash Flow'!C143),NPV('Inputs and Outputs'!B89/100,'Optimal Cash Flow'!C138:'Optimal Cash Flow'!AA138))) ) / ((NPV('Inputs and Outputs'!B89/100,'Inputs and Outputs'!C182:'Inputs and Outputs'!AA182) - NPV('Inputs and Outputs'!B89/100,'Inputs and Outputs'!C183:'Inputs and Outputs'!AA183))), 4)</f>
        <v>0</v>
      </c>
      <c r="D6" s="5" t="s">
        <v>139</v>
      </c>
      <c r="E6" s="7">
        <f>-'BAU Cash Flow'!B24</f>
        <v>0</v>
      </c>
    </row>
    <row r="7" spans="1:6">
      <c r="A7" s="5" t="s">
        <v>6</v>
      </c>
      <c r="B7" s="6">
        <v>100</v>
      </c>
      <c r="D7" s="5" t="s">
        <v>140</v>
      </c>
      <c r="E7" s="7">
        <f>-'Optimal Cash Flow'!B24</f>
        <v>0</v>
      </c>
      <c r="F7" t="s">
        <v>144</v>
      </c>
    </row>
    <row r="8" spans="1:6">
      <c r="A8" s="5" t="s">
        <v>7</v>
      </c>
      <c r="B8" s="6">
        <v>0.1181</v>
      </c>
      <c r="D8" s="5" t="s">
        <v>141</v>
      </c>
      <c r="E8" s="7">
        <f>E6-E7</f>
        <v>0</v>
      </c>
      <c r="F8" t="s">
        <v>145</v>
      </c>
    </row>
    <row r="9" spans="1:6">
      <c r="A9" s="5" t="s">
        <v>8</v>
      </c>
      <c r="B9" s="6">
        <v>0</v>
      </c>
      <c r="D9" s="5" t="s">
        <v>142</v>
      </c>
      <c r="E9" s="7">
        <f>IF(E8=0,"",IRR(B199:AA199, 'Inputs and Outputs'!B89/100))</f>
        <v>0</v>
      </c>
    </row>
    <row r="10" spans="1:6">
      <c r="A10" s="5" t="s">
        <v>9</v>
      </c>
      <c r="B10" s="6">
        <v>0</v>
      </c>
      <c r="D10" s="5" t="s">
        <v>143</v>
      </c>
      <c r="E10" s="7">
        <f>IF('Inputs and Outputs'!B200=0,"", IF('Inputs and Outputs'!AA200 &lt; 0, "Over 25", SUM(IF('Inputs and Outputs'!C200&lt;0,1,IF('Inputs and Outputs'!B200&gt;0,0,-'Inputs and Outputs'!B200/'Inputs and Outputs'!C199)), IF('Inputs and Outputs'!D200&lt;0,1,IF('Inputs and Outputs'!C200&gt;0,0,-'Inputs and Outputs'!C200/'Inputs and Outputs'!D199)), IF('Inputs and Outputs'!E200&lt;0,1,IF('Inputs and Outputs'!D200&gt;0,0,-'Inputs and Outputs'!D200/'Inputs and Outputs'!E199)), IF('Inputs and Outputs'!F200&lt;0,1,IF('Inputs and Outputs'!E200&gt;0,0,-'Inputs and Outputs'!E200/'Inputs and Outputs'!F199)), IF('Inputs and Outputs'!G200&lt;0,1,IF('Inputs and Outputs'!F200&gt;0,0,-'Inputs and Outputs'!F200/'Inputs and Outputs'!G199)), IF('Inputs and Outputs'!H200&lt;0,1,IF('Inputs and Outputs'!G200&gt;0,0,-'Inputs and Outputs'!G200/'Inputs and Outputs'!H199)), IF('Inputs and Outputs'!I200&lt;0,1,IF('Inputs and Outputs'!H200&gt;0,0,-'Inputs and Outputs'!H200/'Inputs and Outputs'!I199)), IF('Inputs and Outputs'!J200&lt;0,1,IF('Inputs and Outputs'!I200&gt;0,0,-'Inputs and Outputs'!I200/'Inputs and Outputs'!J199)), IF('Inputs and Outputs'!K200&lt;0,1,IF('Inputs and Outputs'!J200&gt;0,0,-'Inputs and Outputs'!J200/'Inputs and Outputs'!K199)), IF('Inputs and Outputs'!L200&lt;0,1,IF('Inputs and Outputs'!K200&gt;0,0,-'Inputs and Outputs'!K200/'Inputs and Outputs'!L199)), IF('Inputs and Outputs'!M200&lt;0,1,IF('Inputs and Outputs'!L200&gt;0,0,-'Inputs and Outputs'!L200/'Inputs and Outputs'!M199)), IF('Inputs and Outputs'!N200&lt;0,1,IF('Inputs and Outputs'!M200&gt;0,0,-'Inputs and Outputs'!M200/'Inputs and Outputs'!N199)), IF('Inputs and Outputs'!O200&lt;0,1,IF('Inputs and Outputs'!N200&gt;0,0,-'Inputs and Outputs'!N200/'Inputs and Outputs'!O199)), IF('Inputs and Outputs'!P200&lt;0,1,IF('Inputs and Outputs'!O200&gt;0,0,-'Inputs and Outputs'!O200/'Inputs and Outputs'!P199)), IF('Inputs and Outputs'!Q200&lt;0,1,IF('Inputs and Outputs'!P200&gt;0,0,-'Inputs and Outputs'!P200/'Inputs and Outputs'!Q199)), IF('Inputs and Outputs'!R200&lt;0,1,IF('Inputs and Outputs'!Q200&gt;0,0,-'Inputs and Outputs'!Q200/'Inputs and Outputs'!R199)), IF('Inputs and Outputs'!S200&lt;0,1,IF('Inputs and Outputs'!R200&gt;0,0,-'Inputs and Outputs'!R200/'Inputs and Outputs'!S199)), IF('Inputs and Outputs'!T200&lt;0,1,IF('Inputs and Outputs'!S200&gt;0,0,-'Inputs and Outputs'!S200/'Inputs and Outputs'!T199)), IF('Inputs and Outputs'!U200&lt;0,1,IF('Inputs and Outputs'!T200&gt;0,0,-'Inputs and Outputs'!T200/'Inputs and Outputs'!U199)), IF('Inputs and Outputs'!V200&lt;0,1,IF('Inputs and Outputs'!U200&gt;0,0,-'Inputs and Outputs'!U200/'Inputs and Outputs'!V199)), IF('Inputs and Outputs'!W200&lt;0,1,IF('Inputs and Outputs'!V200&gt;0,0,-'Inputs and Outputs'!V200/'Inputs and Outputs'!W199)), IF('Inputs and Outputs'!X200&lt;0,1,IF('Inputs and Outputs'!W200&gt;0,0,-'Inputs and Outputs'!W200/'Inputs and Outputs'!X199)), IF('Inputs and Outputs'!Y200&lt;0,1,IF('Inputs and Outputs'!X200&gt;0,0,-'Inputs and Outputs'!X200/'Inputs and Outputs'!Y199)), IF('Inputs and Outputs'!Z200&lt;0,1,IF('Inputs and Outputs'!Y200&gt;0,0,-'Inputs and Outputs'!Y200/'Inputs and Outputs'!Z199)), IF('Inputs and Outputs'!AA200&lt;0,1,IF('Inputs and Outputs'!Z200&gt;0,0,-'Inputs and Outputs'!Z200/'Inputs and Outputs'!AA199)))))</f>
        <v>0</v>
      </c>
    </row>
    <row r="11" spans="1:6">
      <c r="A11" s="5" t="s">
        <v>10</v>
      </c>
      <c r="B11" s="6">
        <v>1</v>
      </c>
    </row>
    <row r="12" spans="1:6">
      <c r="A12" s="5" t="s">
        <v>11</v>
      </c>
      <c r="B12" s="6">
        <v>1.32</v>
      </c>
    </row>
    <row r="13" spans="1:6">
      <c r="A13" s="5" t="s">
        <v>12</v>
      </c>
      <c r="B13" s="6">
        <v>-0</v>
      </c>
    </row>
    <row r="14" spans="1:6">
      <c r="A14" s="5" t="s">
        <v>13</v>
      </c>
      <c r="B14" s="6">
        <v>0</v>
      </c>
    </row>
    <row r="15" spans="1:6">
      <c r="A15" s="5" t="s">
        <v>14</v>
      </c>
      <c r="B15" s="6">
        <v>0</v>
      </c>
    </row>
    <row r="16" spans="1:6">
      <c r="A16" s="5" t="s">
        <v>15</v>
      </c>
      <c r="B16" s="6">
        <v>0</v>
      </c>
    </row>
    <row r="17" spans="1:2">
      <c r="A17" s="5" t="s">
        <v>16</v>
      </c>
      <c r="B17" s="6">
        <v>20.725</v>
      </c>
    </row>
    <row r="18" spans="1:2">
      <c r="A18" s="5" t="s">
        <v>17</v>
      </c>
      <c r="B18" s="6">
        <v>371.1851</v>
      </c>
    </row>
    <row r="19" spans="1:2">
      <c r="A19" s="5" t="s">
        <v>18</v>
      </c>
      <c r="B19" s="6">
        <v>25305.6</v>
      </c>
    </row>
    <row r="21" spans="1:2">
      <c r="A21" s="3" t="s">
        <v>19</v>
      </c>
      <c r="B21" s="4"/>
    </row>
    <row r="22" spans="1:2">
      <c r="A22" s="5" t="s">
        <v>20</v>
      </c>
      <c r="B22" s="6">
        <v>12924.08</v>
      </c>
    </row>
    <row r="23" spans="1:2">
      <c r="A23" s="5" t="s">
        <v>21</v>
      </c>
      <c r="B23" s="6">
        <v>0</v>
      </c>
    </row>
    <row r="24" spans="1:2">
      <c r="A24" s="5" t="s">
        <v>22</v>
      </c>
      <c r="B24" s="6">
        <v>9408.720000000001</v>
      </c>
    </row>
    <row r="25" spans="1:2">
      <c r="A25" s="5" t="s">
        <v>23</v>
      </c>
      <c r="B25" s="6">
        <v>0</v>
      </c>
    </row>
    <row r="26" spans="1:2">
      <c r="A26" s="5" t="s">
        <v>24</v>
      </c>
      <c r="B26" s="6">
        <v>0</v>
      </c>
    </row>
    <row r="27" spans="1:2">
      <c r="A27" s="5" t="s">
        <v>25</v>
      </c>
      <c r="B27" s="6">
        <v>1257959</v>
      </c>
    </row>
    <row r="28" spans="1:2">
      <c r="A28" s="5" t="s">
        <v>26</v>
      </c>
      <c r="B28" s="6">
        <v>1196129.44</v>
      </c>
    </row>
    <row r="29" spans="1:2">
      <c r="A29" s="5" t="s">
        <v>27</v>
      </c>
      <c r="B29" s="6">
        <v>212890</v>
      </c>
    </row>
    <row r="30" spans="1:2">
      <c r="A30" s="5" t="s">
        <v>28</v>
      </c>
      <c r="B30" s="6">
        <v>0</v>
      </c>
    </row>
    <row r="31" spans="1:2">
      <c r="A31" s="5" t="s">
        <v>29</v>
      </c>
      <c r="B31" s="6">
        <v>0</v>
      </c>
    </row>
    <row r="32" spans="1:2">
      <c r="A32" s="5" t="s">
        <v>30</v>
      </c>
      <c r="B32" s="6">
        <v>0</v>
      </c>
    </row>
    <row r="33" spans="1:2">
      <c r="A33" s="5" t="s">
        <v>31</v>
      </c>
      <c r="B33" s="6">
        <v>19181.519</v>
      </c>
    </row>
    <row r="34" spans="1:2">
      <c r="A34" s="5" t="s">
        <v>32</v>
      </c>
      <c r="B34" s="6">
        <v>1490030.519</v>
      </c>
    </row>
    <row r="35" spans="1:2">
      <c r="A35" s="5" t="s">
        <v>33</v>
      </c>
      <c r="B35" s="6">
        <v>0</v>
      </c>
    </row>
    <row r="36" spans="1:2">
      <c r="A36" s="5" t="s">
        <v>34</v>
      </c>
      <c r="B36" s="6">
        <v>0</v>
      </c>
    </row>
    <row r="37" spans="1:2">
      <c r="A37" s="5" t="s">
        <v>35</v>
      </c>
      <c r="B37" s="6">
        <v>0</v>
      </c>
    </row>
    <row r="38" spans="1:2">
      <c r="A38" s="5" t="s">
        <v>36</v>
      </c>
      <c r="B38" s="6">
        <v>0</v>
      </c>
    </row>
    <row r="39" spans="1:2">
      <c r="A39" s="5" t="s">
        <v>37</v>
      </c>
      <c r="B39" s="6">
        <v>870.49368</v>
      </c>
    </row>
    <row r="40" spans="1:2">
      <c r="A40" s="5" t="s">
        <v>38</v>
      </c>
      <c r="B40" s="6">
        <v>0.100955</v>
      </c>
    </row>
    <row r="41" spans="1:2">
      <c r="A41" s="5" t="s">
        <v>39</v>
      </c>
      <c r="B41" s="6">
        <f>IF('Inputs and Outputs'!B22=0,"N/A",ROUND(('Inputs and Outputs'!B22 - 'Inputs and Outputs'!B24)/'Inputs and Outputs'!B22,2))</f>
        <v>0</v>
      </c>
    </row>
    <row r="42" spans="1:2">
      <c r="A42" s="5" t="s">
        <v>40</v>
      </c>
      <c r="B42" s="6">
        <f>IF('Inputs and Outputs'!B35=0,"N/A",ROUND(('Inputs and Outputs'!B35 - SUM('Inputs and Outputs'!B36,'Inputs and Outputs'!B37))/'Inputs and Outputs'!B35,2))</f>
        <v>0</v>
      </c>
    </row>
    <row r="43" spans="1:2">
      <c r="A43" s="5" t="s">
        <v>41</v>
      </c>
      <c r="B43" s="6">
        <v>591.92</v>
      </c>
    </row>
    <row r="44" spans="1:2">
      <c r="A44" s="5" t="s">
        <v>42</v>
      </c>
      <c r="B44" s="6">
        <v>664.0700000000001</v>
      </c>
    </row>
    <row r="45" spans="1:2">
      <c r="A45" s="5" t="s">
        <v>43</v>
      </c>
      <c r="B45" s="6">
        <v>125.04</v>
      </c>
    </row>
    <row r="46" spans="1:2">
      <c r="A46" s="5" t="s">
        <v>44</v>
      </c>
      <c r="B46" s="6">
        <v>139.49</v>
      </c>
    </row>
    <row r="47" spans="1:2">
      <c r="A47" s="5" t="s">
        <v>45</v>
      </c>
      <c r="B47" s="6">
        <v>466.88</v>
      </c>
    </row>
    <row r="48" spans="1:2">
      <c r="A48" s="5" t="s">
        <v>46</v>
      </c>
      <c r="B48" s="6">
        <v>524.5700000000001</v>
      </c>
    </row>
    <row r="50" spans="1:2">
      <c r="A50" s="3" t="s">
        <v>47</v>
      </c>
      <c r="B50" s="4"/>
    </row>
    <row r="51" spans="1:2">
      <c r="A51" s="5" t="s">
        <v>48</v>
      </c>
      <c r="B51" s="6">
        <v>1393.8418</v>
      </c>
    </row>
    <row r="52" spans="1:2">
      <c r="A52" s="5" t="s">
        <v>49</v>
      </c>
      <c r="B52" s="6">
        <v>1403089.12</v>
      </c>
    </row>
    <row r="53" spans="1:2">
      <c r="A53" s="5" t="s">
        <v>50</v>
      </c>
      <c r="B53" s="6">
        <v>313700</v>
      </c>
    </row>
    <row r="54" spans="1:2">
      <c r="A54" s="5" t="s">
        <v>51</v>
      </c>
      <c r="B54" s="6">
        <v>0</v>
      </c>
    </row>
    <row r="55" spans="1:2">
      <c r="A55" s="5" t="s">
        <v>52</v>
      </c>
      <c r="B55" s="6">
        <v>1394.4</v>
      </c>
    </row>
    <row r="56" spans="1:2">
      <c r="A56" s="5" t="s">
        <v>53</v>
      </c>
      <c r="B56" s="6">
        <v>1000</v>
      </c>
    </row>
    <row r="57" spans="1:2">
      <c r="A57" s="5" t="s">
        <v>54</v>
      </c>
      <c r="B57" s="6">
        <v>0</v>
      </c>
    </row>
    <row r="58" spans="1:2">
      <c r="A58" s="5" t="s">
        <v>55</v>
      </c>
      <c r="B58" s="6">
        <v>0</v>
      </c>
    </row>
    <row r="59" spans="1:2">
      <c r="A59" s="5" t="s">
        <v>56</v>
      </c>
      <c r="B59" s="6">
        <v>0</v>
      </c>
    </row>
    <row r="60" spans="1:2">
      <c r="A60" s="5" t="s">
        <v>57</v>
      </c>
      <c r="B60" s="6">
        <v>682</v>
      </c>
    </row>
    <row r="61" spans="1:2">
      <c r="A61" s="5" t="s">
        <v>58</v>
      </c>
      <c r="B61" s="6">
        <v>877701.5824999999</v>
      </c>
    </row>
    <row r="62" spans="1:2">
      <c r="A62" s="8" t="s">
        <v>59</v>
      </c>
      <c r="B62" s="6"/>
    </row>
    <row r="63" spans="1:2">
      <c r="A63" s="9" t="s">
        <v>60</v>
      </c>
      <c r="B63" s="6">
        <v>16</v>
      </c>
    </row>
    <row r="64" spans="1:2">
      <c r="A64" s="9" t="s">
        <v>61</v>
      </c>
      <c r="B64" s="6">
        <v>16</v>
      </c>
    </row>
    <row r="65" spans="1:2">
      <c r="A65" s="9" t="s">
        <v>62</v>
      </c>
      <c r="B65" s="6">
        <v>10</v>
      </c>
    </row>
    <row r="66" spans="1:2">
      <c r="A66" s="9" t="s">
        <v>63</v>
      </c>
      <c r="B66" s="6">
        <v>0</v>
      </c>
    </row>
    <row r="67" spans="1:2">
      <c r="A67" s="9" t="s">
        <v>64</v>
      </c>
      <c r="B67" s="6">
        <v>0</v>
      </c>
    </row>
    <row r="68" spans="1:2">
      <c r="A68" s="9" t="s">
        <v>65</v>
      </c>
      <c r="B68" s="6">
        <v>0</v>
      </c>
    </row>
    <row r="69" spans="1:2">
      <c r="A69" s="9" t="s">
        <v>66</v>
      </c>
      <c r="B69" s="6">
        <v>410</v>
      </c>
    </row>
    <row r="70" spans="1:2">
      <c r="A70" s="9" t="s">
        <v>67</v>
      </c>
      <c r="B70" s="6">
        <v>10</v>
      </c>
    </row>
    <row r="71" spans="1:2">
      <c r="A71" s="9" t="s">
        <v>68</v>
      </c>
      <c r="B71" s="6">
        <v>200</v>
      </c>
    </row>
    <row r="72" spans="1:2">
      <c r="A72" s="9" t="s">
        <v>69</v>
      </c>
      <c r="B72" s="6">
        <v>10</v>
      </c>
    </row>
    <row r="73" spans="1:2">
      <c r="A73" s="9" t="s">
        <v>70</v>
      </c>
      <c r="B73" s="6">
        <v>0</v>
      </c>
    </row>
    <row r="74" spans="1:2">
      <c r="A74" s="9" t="s">
        <v>71</v>
      </c>
      <c r="B74" s="6">
        <v>0</v>
      </c>
    </row>
    <row r="75" spans="1:2">
      <c r="A75" s="9" t="s">
        <v>72</v>
      </c>
      <c r="B75" s="6">
        <v>0</v>
      </c>
    </row>
    <row r="76" spans="1:2">
      <c r="A76" s="9" t="s">
        <v>73</v>
      </c>
      <c r="B76" s="6">
        <v>0</v>
      </c>
    </row>
    <row r="77" spans="1:2">
      <c r="A77" s="9" t="s">
        <v>74</v>
      </c>
      <c r="B77" s="6">
        <v>0</v>
      </c>
    </row>
    <row r="78" spans="1:2">
      <c r="A78" s="9" t="s">
        <v>75</v>
      </c>
      <c r="B78" s="6">
        <v>0</v>
      </c>
    </row>
    <row r="79" spans="1:2">
      <c r="A79" s="9" t="s">
        <v>76</v>
      </c>
      <c r="B79" s="6">
        <v>0</v>
      </c>
    </row>
    <row r="80" spans="1:2">
      <c r="A80" s="9" t="s">
        <v>77</v>
      </c>
      <c r="B80" s="6">
        <v>0.008999999999999999</v>
      </c>
    </row>
    <row r="81" spans="1:4">
      <c r="A81" s="9" t="s">
        <v>78</v>
      </c>
      <c r="B81" s="6">
        <v>0</v>
      </c>
    </row>
    <row r="83" spans="1:4">
      <c r="A83" s="3" t="s">
        <v>79</v>
      </c>
      <c r="B83" s="4"/>
    </row>
    <row r="84" spans="1:4">
      <c r="A84" s="5" t="s">
        <v>80</v>
      </c>
      <c r="B84" s="6">
        <v>25</v>
      </c>
    </row>
    <row r="85" spans="1:4">
      <c r="A85" s="5" t="s">
        <v>81</v>
      </c>
      <c r="B85" s="6">
        <v>0.025</v>
      </c>
    </row>
    <row r="86" spans="1:4">
      <c r="A86" s="5" t="s">
        <v>82</v>
      </c>
      <c r="B86" s="6">
        <v>0.023</v>
      </c>
    </row>
    <row r="87" spans="1:4">
      <c r="A87" s="5" t="s">
        <v>83</v>
      </c>
      <c r="B87" s="6">
        <v>0.034</v>
      </c>
    </row>
    <row r="88" spans="1:4">
      <c r="A88" s="5" t="s">
        <v>84</v>
      </c>
      <c r="B88" s="6">
        <v>0.034</v>
      </c>
    </row>
    <row r="89" spans="1:4">
      <c r="A89" s="5" t="s">
        <v>85</v>
      </c>
      <c r="B89" s="6">
        <v>0.083</v>
      </c>
    </row>
    <row r="91" spans="1:4">
      <c r="A91" s="3" t="s">
        <v>86</v>
      </c>
      <c r="B91" s="4"/>
    </row>
    <row r="92" spans="1:4">
      <c r="A92" s="5" t="s">
        <v>87</v>
      </c>
      <c r="B92" s="6">
        <v>0.26</v>
      </c>
    </row>
    <row r="94" spans="1:4">
      <c r="A94" s="3" t="s">
        <v>88</v>
      </c>
      <c r="B94" s="10"/>
      <c r="C94" s="10"/>
      <c r="D94" s="4"/>
    </row>
    <row r="95" spans="1:4">
      <c r="A95" s="8" t="s">
        <v>89</v>
      </c>
      <c r="D95" s="5" t="s">
        <v>146</v>
      </c>
    </row>
    <row r="96" spans="1:4">
      <c r="A96" s="9" t="s">
        <v>90</v>
      </c>
      <c r="B96" s="5" t="s">
        <v>147</v>
      </c>
      <c r="C96" s="6" t="s">
        <v>148</v>
      </c>
      <c r="D96" s="6" t="s">
        <v>91</v>
      </c>
    </row>
    <row r="97" spans="1:6">
      <c r="A97" s="11" t="s">
        <v>91</v>
      </c>
      <c r="B97" s="5">
        <v>0.26</v>
      </c>
      <c r="C97" s="12">
        <v>10000000000</v>
      </c>
      <c r="D97" s="6" t="s">
        <v>149</v>
      </c>
    </row>
    <row r="99" spans="1:6">
      <c r="A99" s="3" t="s">
        <v>92</v>
      </c>
      <c r="B99" s="10"/>
      <c r="C99" s="10"/>
      <c r="D99" s="10"/>
      <c r="E99" s="4"/>
    </row>
    <row r="100" spans="1:6">
      <c r="A100" s="8" t="s">
        <v>93</v>
      </c>
      <c r="D100" s="5" t="s">
        <v>150</v>
      </c>
      <c r="E100" s="6" t="s">
        <v>151</v>
      </c>
    </row>
    <row r="101" spans="1:6">
      <c r="A101" s="9" t="s">
        <v>90</v>
      </c>
      <c r="B101" s="5" t="s">
        <v>147</v>
      </c>
      <c r="C101" s="5" t="s">
        <v>152</v>
      </c>
      <c r="D101" s="5" t="s">
        <v>91</v>
      </c>
      <c r="E101" s="5" t="s">
        <v>91</v>
      </c>
    </row>
    <row r="102" spans="1:6">
      <c r="A102" s="11" t="s">
        <v>94</v>
      </c>
      <c r="B102" s="5">
        <v>0</v>
      </c>
      <c r="C102" s="12">
        <v>10000000000</v>
      </c>
      <c r="D102" s="6" t="s">
        <v>149</v>
      </c>
      <c r="E102" s="6" t="s">
        <v>149</v>
      </c>
    </row>
    <row r="103" spans="1:6">
      <c r="A103" s="11" t="s">
        <v>95</v>
      </c>
      <c r="B103" s="5">
        <v>0</v>
      </c>
      <c r="C103" s="12">
        <v>10000000000</v>
      </c>
    </row>
    <row r="104" spans="1:6">
      <c r="A104" s="8" t="s">
        <v>96</v>
      </c>
      <c r="B104" s="5" t="s">
        <v>154</v>
      </c>
      <c r="C104" s="5" t="s">
        <v>152</v>
      </c>
      <c r="D104" s="6"/>
      <c r="E104" s="6"/>
    </row>
    <row r="105" spans="1:6">
      <c r="A105" s="11" t="s">
        <v>97</v>
      </c>
      <c r="B105" s="5">
        <v>0</v>
      </c>
      <c r="C105" s="12">
        <v>10000000000</v>
      </c>
      <c r="D105" s="6">
        <v>0</v>
      </c>
      <c r="E105" s="6">
        <v>0</v>
      </c>
    </row>
    <row r="106" spans="1:6">
      <c r="A106" s="11" t="s">
        <v>98</v>
      </c>
      <c r="B106" s="5">
        <v>0</v>
      </c>
      <c r="C106" s="12">
        <v>10000000000</v>
      </c>
      <c r="D106" s="6">
        <v>0</v>
      </c>
      <c r="E106" s="6">
        <v>0</v>
      </c>
    </row>
    <row r="107" spans="1:6">
      <c r="A107" s="11" t="s">
        <v>99</v>
      </c>
      <c r="B107" s="5">
        <v>0</v>
      </c>
      <c r="C107" s="12">
        <v>10000000000</v>
      </c>
      <c r="D107" s="6">
        <v>0</v>
      </c>
      <c r="E107" s="6">
        <v>0</v>
      </c>
    </row>
    <row r="108" spans="1:6">
      <c r="A108" s="8" t="s">
        <v>100</v>
      </c>
      <c r="B108" s="5" t="s">
        <v>155</v>
      </c>
      <c r="C108" s="5" t="s">
        <v>156</v>
      </c>
      <c r="D108" s="5" t="s">
        <v>157</v>
      </c>
      <c r="E108" s="5" t="s">
        <v>158</v>
      </c>
      <c r="F108" s="6" t="s">
        <v>159</v>
      </c>
    </row>
    <row r="109" spans="1:6">
      <c r="A109" s="11" t="s">
        <v>101</v>
      </c>
      <c r="B109" s="5">
        <v>0</v>
      </c>
      <c r="C109" s="12">
        <v>1000000000</v>
      </c>
      <c r="D109" s="5" t="s">
        <v>149</v>
      </c>
      <c r="E109" s="5">
        <v>1</v>
      </c>
      <c r="F109" s="12">
        <v>1000000000</v>
      </c>
    </row>
    <row r="111" spans="1:6">
      <c r="A111" s="3" t="s">
        <v>102</v>
      </c>
      <c r="B111" s="10"/>
      <c r="C111" s="10"/>
      <c r="D111" s="4"/>
    </row>
    <row r="112" spans="1:6">
      <c r="A112" s="8" t="s">
        <v>89</v>
      </c>
      <c r="D112" s="5" t="s">
        <v>146</v>
      </c>
    </row>
    <row r="113" spans="1:6">
      <c r="A113" s="9" t="s">
        <v>90</v>
      </c>
      <c r="B113" s="5" t="s">
        <v>147</v>
      </c>
      <c r="C113" s="6" t="s">
        <v>148</v>
      </c>
      <c r="D113" s="6" t="s">
        <v>91</v>
      </c>
    </row>
    <row r="114" spans="1:6">
      <c r="A114" s="11" t="s">
        <v>91</v>
      </c>
      <c r="B114" s="5">
        <v>0.26</v>
      </c>
      <c r="C114" s="12">
        <v>10000000000</v>
      </c>
      <c r="D114" s="6" t="s">
        <v>149</v>
      </c>
    </row>
    <row r="116" spans="1:6">
      <c r="A116" s="3" t="s">
        <v>103</v>
      </c>
      <c r="B116" s="10"/>
      <c r="C116" s="10"/>
      <c r="D116" s="10"/>
      <c r="E116" s="4"/>
    </row>
    <row r="117" spans="1:6">
      <c r="A117" s="8" t="s">
        <v>93</v>
      </c>
      <c r="D117" s="5" t="s">
        <v>150</v>
      </c>
      <c r="E117" s="6" t="s">
        <v>151</v>
      </c>
    </row>
    <row r="118" spans="1:6">
      <c r="A118" s="9" t="s">
        <v>90</v>
      </c>
      <c r="B118" s="5" t="s">
        <v>147</v>
      </c>
      <c r="C118" s="5" t="s">
        <v>152</v>
      </c>
      <c r="D118" s="5" t="s">
        <v>91</v>
      </c>
      <c r="E118" s="5" t="s">
        <v>91</v>
      </c>
    </row>
    <row r="119" spans="1:6">
      <c r="A119" s="11" t="s">
        <v>94</v>
      </c>
      <c r="B119" s="5">
        <v>0</v>
      </c>
      <c r="C119" s="12">
        <v>10000000000</v>
      </c>
      <c r="D119" s="6" t="s">
        <v>149</v>
      </c>
      <c r="E119" s="6" t="s">
        <v>149</v>
      </c>
    </row>
    <row r="120" spans="1:6">
      <c r="A120" s="11" t="s">
        <v>95</v>
      </c>
      <c r="B120" s="5">
        <v>0</v>
      </c>
      <c r="C120" s="12">
        <v>10000000000</v>
      </c>
    </row>
    <row r="121" spans="1:6">
      <c r="A121" s="8" t="s">
        <v>96</v>
      </c>
      <c r="B121" s="5" t="s">
        <v>154</v>
      </c>
      <c r="C121" s="5" t="s">
        <v>152</v>
      </c>
      <c r="D121" s="6"/>
      <c r="E121" s="6"/>
    </row>
    <row r="122" spans="1:6">
      <c r="A122" s="11" t="s">
        <v>97</v>
      </c>
      <c r="B122" s="5">
        <v>0</v>
      </c>
      <c r="C122" s="12">
        <v>10000000000</v>
      </c>
      <c r="D122" s="6">
        <v>0</v>
      </c>
      <c r="E122" s="6">
        <v>0</v>
      </c>
    </row>
    <row r="123" spans="1:6">
      <c r="A123" s="11" t="s">
        <v>98</v>
      </c>
      <c r="B123" s="5">
        <v>0</v>
      </c>
      <c r="C123" s="12">
        <v>10000000000</v>
      </c>
      <c r="D123" s="6">
        <v>0</v>
      </c>
      <c r="E123" s="6">
        <v>0</v>
      </c>
    </row>
    <row r="124" spans="1:6">
      <c r="A124" s="11" t="s">
        <v>99</v>
      </c>
      <c r="B124" s="5">
        <v>0</v>
      </c>
      <c r="C124" s="12">
        <v>10000000000</v>
      </c>
      <c r="D124" s="6">
        <v>0</v>
      </c>
      <c r="E124" s="6">
        <v>0</v>
      </c>
    </row>
    <row r="125" spans="1:6">
      <c r="A125" s="8" t="s">
        <v>100</v>
      </c>
      <c r="B125" s="5" t="s">
        <v>155</v>
      </c>
      <c r="C125" s="5" t="s">
        <v>156</v>
      </c>
      <c r="D125" s="5" t="s">
        <v>157</v>
      </c>
      <c r="E125" s="5" t="s">
        <v>158</v>
      </c>
      <c r="F125" s="6" t="s">
        <v>159</v>
      </c>
    </row>
    <row r="126" spans="1:6">
      <c r="A126" s="11" t="s">
        <v>101</v>
      </c>
      <c r="B126" s="5">
        <v>0</v>
      </c>
      <c r="C126" s="12">
        <v>1000000000</v>
      </c>
      <c r="D126" s="5" t="s">
        <v>149</v>
      </c>
      <c r="E126" s="5">
        <v>1</v>
      </c>
      <c r="F126" s="12">
        <v>1000000000</v>
      </c>
    </row>
    <row r="128" spans="1:6">
      <c r="A128" s="3" t="s">
        <v>104</v>
      </c>
      <c r="B128" s="10"/>
      <c r="C128" s="10"/>
      <c r="D128" s="4"/>
    </row>
    <row r="129" spans="1:5">
      <c r="A129" s="8" t="s">
        <v>89</v>
      </c>
      <c r="D129" s="5" t="s">
        <v>146</v>
      </c>
    </row>
    <row r="130" spans="1:5">
      <c r="A130" s="9" t="s">
        <v>90</v>
      </c>
      <c r="B130" s="5" t="s">
        <v>147</v>
      </c>
      <c r="C130" s="5" t="s">
        <v>148</v>
      </c>
      <c r="D130" s="5" t="s">
        <v>91</v>
      </c>
    </row>
    <row r="131" spans="1:5">
      <c r="A131" s="11" t="s">
        <v>91</v>
      </c>
      <c r="B131" s="5">
        <v>0</v>
      </c>
      <c r="C131" s="12">
        <v>10000000000</v>
      </c>
      <c r="D131" s="5" t="s">
        <v>153</v>
      </c>
    </row>
    <row r="133" spans="1:5">
      <c r="A133" s="3" t="s">
        <v>105</v>
      </c>
      <c r="B133" s="10"/>
      <c r="C133" s="10"/>
      <c r="D133" s="10"/>
      <c r="E133" s="4"/>
    </row>
    <row r="134" spans="1:5">
      <c r="A134" s="8" t="s">
        <v>93</v>
      </c>
      <c r="D134" s="5" t="s">
        <v>161</v>
      </c>
      <c r="E134" s="5" t="s">
        <v>151</v>
      </c>
    </row>
    <row r="135" spans="1:5">
      <c r="A135" s="9" t="s">
        <v>90</v>
      </c>
      <c r="B135" s="5" t="s">
        <v>147</v>
      </c>
      <c r="C135" s="5" t="s">
        <v>152</v>
      </c>
      <c r="D135" s="6" t="s">
        <v>91</v>
      </c>
      <c r="E135" s="6" t="s">
        <v>91</v>
      </c>
    </row>
    <row r="136" spans="1:5">
      <c r="A136" s="11" t="s">
        <v>94</v>
      </c>
      <c r="B136" s="5">
        <v>0</v>
      </c>
      <c r="C136" s="12">
        <v>1000000000</v>
      </c>
      <c r="D136" s="6" t="s">
        <v>153</v>
      </c>
      <c r="E136" s="6" t="s">
        <v>153</v>
      </c>
    </row>
    <row r="137" spans="1:5">
      <c r="A137" s="11" t="s">
        <v>95</v>
      </c>
      <c r="B137" s="5">
        <v>0</v>
      </c>
      <c r="C137" s="12">
        <v>1000000000</v>
      </c>
      <c r="D137" s="6" t="s">
        <v>153</v>
      </c>
      <c r="E137" s="6" t="s">
        <v>153</v>
      </c>
    </row>
    <row r="138" spans="1:5">
      <c r="A138" s="8" t="s">
        <v>96</v>
      </c>
      <c r="B138" s="6" t="s">
        <v>154</v>
      </c>
      <c r="C138" s="6" t="s">
        <v>152</v>
      </c>
      <c r="D138" s="6"/>
      <c r="E138" s="6"/>
    </row>
    <row r="139" spans="1:5">
      <c r="A139" s="11" t="s">
        <v>106</v>
      </c>
      <c r="B139" s="6">
        <v>0</v>
      </c>
      <c r="C139" s="12">
        <v>1000000000</v>
      </c>
      <c r="D139" s="6" t="s">
        <v>153</v>
      </c>
      <c r="E139" s="6" t="s">
        <v>153</v>
      </c>
    </row>
    <row r="140" spans="1:5">
      <c r="A140" s="11" t="s">
        <v>107</v>
      </c>
      <c r="B140" s="6">
        <v>0</v>
      </c>
      <c r="C140" s="12">
        <v>1000000000</v>
      </c>
      <c r="D140" s="6" t="s">
        <v>153</v>
      </c>
      <c r="E140" s="6" t="s">
        <v>153</v>
      </c>
    </row>
    <row r="142" spans="1:5">
      <c r="A142" s="3" t="s">
        <v>108</v>
      </c>
      <c r="B142" s="10"/>
      <c r="C142" s="10"/>
      <c r="D142" s="4"/>
    </row>
    <row r="143" spans="1:5">
      <c r="A143" s="8" t="s">
        <v>89</v>
      </c>
      <c r="D143" s="5" t="s">
        <v>146</v>
      </c>
    </row>
    <row r="144" spans="1:5">
      <c r="A144" s="9" t="s">
        <v>90</v>
      </c>
      <c r="B144" s="5" t="s">
        <v>147</v>
      </c>
      <c r="C144" s="6" t="s">
        <v>148</v>
      </c>
      <c r="D144" s="6" t="s">
        <v>91</v>
      </c>
    </row>
    <row r="145" spans="1:6">
      <c r="A145" s="11" t="s">
        <v>91</v>
      </c>
      <c r="B145" s="5">
        <v>0</v>
      </c>
      <c r="C145" s="6" t="s">
        <v>160</v>
      </c>
      <c r="D145" s="6" t="s">
        <v>160</v>
      </c>
    </row>
    <row r="147" spans="1:6">
      <c r="A147" s="3" t="s">
        <v>109</v>
      </c>
      <c r="B147" s="10"/>
      <c r="C147" s="10"/>
      <c r="D147" s="10"/>
      <c r="E147" s="4"/>
    </row>
    <row r="148" spans="1:6">
      <c r="A148" s="8" t="s">
        <v>93</v>
      </c>
      <c r="D148" s="5" t="s">
        <v>150</v>
      </c>
      <c r="E148" s="6" t="s">
        <v>151</v>
      </c>
    </row>
    <row r="149" spans="1:6">
      <c r="A149" s="9" t="s">
        <v>90</v>
      </c>
      <c r="B149" s="5" t="s">
        <v>147</v>
      </c>
      <c r="C149" s="5" t="s">
        <v>152</v>
      </c>
      <c r="D149" s="5" t="s">
        <v>91</v>
      </c>
      <c r="E149" s="5" t="s">
        <v>91</v>
      </c>
    </row>
    <row r="150" spans="1:6">
      <c r="A150" s="11" t="s">
        <v>94</v>
      </c>
      <c r="B150" s="5">
        <v>0</v>
      </c>
      <c r="C150" s="12">
        <v>1000000000</v>
      </c>
      <c r="D150" s="6" t="s">
        <v>149</v>
      </c>
      <c r="E150" s="6" t="s">
        <v>149</v>
      </c>
    </row>
    <row r="151" spans="1:6">
      <c r="A151" s="11" t="s">
        <v>95</v>
      </c>
      <c r="B151" s="5">
        <v>0</v>
      </c>
      <c r="C151" s="12">
        <v>1000000000</v>
      </c>
    </row>
    <row r="152" spans="1:6">
      <c r="A152" s="8" t="s">
        <v>96</v>
      </c>
      <c r="B152" s="5" t="s">
        <v>154</v>
      </c>
      <c r="C152" s="5" t="s">
        <v>152</v>
      </c>
      <c r="D152" s="6"/>
      <c r="E152" s="6"/>
    </row>
    <row r="153" spans="1:6">
      <c r="A153" s="11" t="s">
        <v>97</v>
      </c>
      <c r="B153" s="5">
        <v>0</v>
      </c>
      <c r="C153" s="12">
        <v>10000000000</v>
      </c>
      <c r="D153" s="6">
        <v>0</v>
      </c>
      <c r="E153" s="6">
        <v>0</v>
      </c>
    </row>
    <row r="154" spans="1:6">
      <c r="A154" s="11" t="s">
        <v>98</v>
      </c>
      <c r="B154" s="5">
        <v>0</v>
      </c>
      <c r="C154" s="12">
        <v>10000000000</v>
      </c>
      <c r="D154" s="6">
        <v>0</v>
      </c>
      <c r="E154" s="6">
        <v>0</v>
      </c>
    </row>
    <row r="155" spans="1:6">
      <c r="A155" s="11" t="s">
        <v>99</v>
      </c>
      <c r="B155" s="5">
        <v>0</v>
      </c>
      <c r="C155" s="12">
        <v>10000000000</v>
      </c>
      <c r="D155" s="6">
        <v>0</v>
      </c>
      <c r="E155" s="6">
        <v>0</v>
      </c>
    </row>
    <row r="156" spans="1:6">
      <c r="A156" s="8" t="s">
        <v>100</v>
      </c>
      <c r="B156" s="5" t="s">
        <v>155</v>
      </c>
      <c r="C156" s="5" t="s">
        <v>156</v>
      </c>
      <c r="D156" s="5" t="s">
        <v>157</v>
      </c>
      <c r="E156" s="5" t="s">
        <v>158</v>
      </c>
      <c r="F156" s="6" t="s">
        <v>159</v>
      </c>
    </row>
    <row r="157" spans="1:6">
      <c r="A157" s="11" t="s">
        <v>101</v>
      </c>
      <c r="B157" s="5">
        <v>0</v>
      </c>
      <c r="C157" s="12">
        <v>1000000000</v>
      </c>
      <c r="D157" s="5" t="s">
        <v>149</v>
      </c>
      <c r="E157" s="5">
        <v>0</v>
      </c>
      <c r="F157" s="12">
        <v>0</v>
      </c>
    </row>
    <row r="159" spans="1:6">
      <c r="A159" s="3" t="s">
        <v>110</v>
      </c>
      <c r="B159" s="10"/>
      <c r="C159" s="10"/>
      <c r="D159" s="4"/>
    </row>
    <row r="160" spans="1:6">
      <c r="A160" s="8" t="s">
        <v>89</v>
      </c>
      <c r="D160" s="5" t="s">
        <v>146</v>
      </c>
    </row>
    <row r="161" spans="1:20">
      <c r="A161" s="9" t="s">
        <v>90</v>
      </c>
      <c r="B161" s="5" t="s">
        <v>147</v>
      </c>
      <c r="C161" s="6" t="s">
        <v>148</v>
      </c>
      <c r="D161" s="6" t="s">
        <v>91</v>
      </c>
    </row>
    <row r="162" spans="1:20">
      <c r="A162" s="11" t="s">
        <v>91</v>
      </c>
      <c r="B162" s="5">
        <v>0</v>
      </c>
      <c r="C162" s="6" t="s">
        <v>160</v>
      </c>
      <c r="D162" s="6" t="s">
        <v>160</v>
      </c>
    </row>
    <row r="164" spans="1:20">
      <c r="A164" s="3" t="s">
        <v>111</v>
      </c>
      <c r="B164" s="10"/>
      <c r="C164" s="10"/>
      <c r="D164" s="10"/>
      <c r="E164" s="4"/>
    </row>
    <row r="165" spans="1:20">
      <c r="A165" s="8" t="s">
        <v>93</v>
      </c>
      <c r="D165" s="5" t="s">
        <v>150</v>
      </c>
      <c r="E165" s="6" t="s">
        <v>151</v>
      </c>
    </row>
    <row r="166" spans="1:20">
      <c r="A166" s="9" t="s">
        <v>90</v>
      </c>
      <c r="B166" s="5" t="s">
        <v>147</v>
      </c>
      <c r="C166" s="5" t="s">
        <v>152</v>
      </c>
      <c r="D166" s="5" t="s">
        <v>91</v>
      </c>
      <c r="E166" s="5" t="s">
        <v>91</v>
      </c>
    </row>
    <row r="167" spans="1:20">
      <c r="A167" s="11" t="s">
        <v>94</v>
      </c>
      <c r="B167" s="5">
        <v>0</v>
      </c>
      <c r="C167" s="12">
        <v>1000000000</v>
      </c>
      <c r="D167" s="6" t="s">
        <v>149</v>
      </c>
      <c r="E167" s="6" t="s">
        <v>149</v>
      </c>
    </row>
    <row r="168" spans="1:20">
      <c r="A168" s="11" t="s">
        <v>95</v>
      </c>
      <c r="B168" s="5">
        <v>0</v>
      </c>
      <c r="C168" s="12">
        <v>1000000000</v>
      </c>
    </row>
    <row r="169" spans="1:20">
      <c r="A169" s="8" t="s">
        <v>96</v>
      </c>
      <c r="B169" s="5" t="s">
        <v>154</v>
      </c>
      <c r="C169" s="5" t="s">
        <v>152</v>
      </c>
      <c r="D169" s="6"/>
      <c r="E169" s="6"/>
    </row>
    <row r="170" spans="1:20">
      <c r="A170" s="11" t="s">
        <v>112</v>
      </c>
      <c r="B170" s="5">
        <v>0</v>
      </c>
      <c r="C170" s="12">
        <v>10000000000</v>
      </c>
      <c r="D170" s="6">
        <v>0</v>
      </c>
      <c r="E170" s="6">
        <v>0</v>
      </c>
    </row>
    <row r="171" spans="1:20">
      <c r="A171" s="11" t="s">
        <v>113</v>
      </c>
      <c r="B171" s="5">
        <v>0</v>
      </c>
      <c r="C171" s="12">
        <v>10000000000</v>
      </c>
      <c r="D171" s="6">
        <v>0</v>
      </c>
      <c r="E171" s="6">
        <v>0</v>
      </c>
    </row>
    <row r="172" spans="1:20">
      <c r="A172" s="11" t="s">
        <v>114</v>
      </c>
      <c r="B172" s="5">
        <v>0</v>
      </c>
      <c r="C172" s="12">
        <v>10000000000</v>
      </c>
      <c r="D172" s="6">
        <v>0</v>
      </c>
      <c r="E172" s="6">
        <v>0</v>
      </c>
    </row>
    <row r="173" spans="1:20">
      <c r="A173" s="8" t="s">
        <v>100</v>
      </c>
      <c r="B173" s="5" t="s">
        <v>155</v>
      </c>
      <c r="C173" s="5" t="s">
        <v>156</v>
      </c>
      <c r="D173" s="5" t="s">
        <v>157</v>
      </c>
      <c r="E173" s="5" t="s">
        <v>158</v>
      </c>
      <c r="F173" s="6" t="s">
        <v>159</v>
      </c>
    </row>
    <row r="174" spans="1:20">
      <c r="A174" s="11" t="s">
        <v>101</v>
      </c>
      <c r="B174" s="5">
        <v>0</v>
      </c>
      <c r="C174" s="12">
        <v>1000000000</v>
      </c>
      <c r="D174" s="5" t="s">
        <v>149</v>
      </c>
      <c r="E174" s="5">
        <v>0</v>
      </c>
      <c r="F174" s="12">
        <v>0</v>
      </c>
    </row>
    <row r="176" spans="1:20">
      <c r="A176" s="3" t="s">
        <v>115</v>
      </c>
      <c r="B176" s="10" t="s">
        <v>162</v>
      </c>
      <c r="C176" s="10" t="s">
        <v>163</v>
      </c>
      <c r="D176" s="10" t="s">
        <v>164</v>
      </c>
      <c r="E176" s="10" t="s">
        <v>165</v>
      </c>
      <c r="F176" s="10" t="s">
        <v>166</v>
      </c>
      <c r="G176" s="10" t="s">
        <v>167</v>
      </c>
      <c r="H176" s="10" t="s">
        <v>168</v>
      </c>
      <c r="I176" s="10" t="s">
        <v>169</v>
      </c>
      <c r="J176" s="4" t="s">
        <v>170</v>
      </c>
      <c r="L176" s="3" t="s">
        <v>171</v>
      </c>
      <c r="M176" s="10"/>
      <c r="N176" s="10"/>
      <c r="O176" s="10"/>
      <c r="P176" s="10"/>
      <c r="Q176" s="10"/>
      <c r="R176" s="10"/>
      <c r="S176" s="10"/>
      <c r="T176" s="4"/>
    </row>
    <row r="177" spans="1:27">
      <c r="A177" s="5" t="s">
        <v>116</v>
      </c>
      <c r="B177" s="5">
        <v>5</v>
      </c>
      <c r="C177" s="5">
        <v>7</v>
      </c>
      <c r="D177" s="5">
        <v>5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6">
        <v>0</v>
      </c>
      <c r="L177" s="13" t="s">
        <v>172</v>
      </c>
      <c r="M177" s="5">
        <v>1</v>
      </c>
      <c r="N177" s="5">
        <v>2</v>
      </c>
      <c r="O177" s="5">
        <v>3</v>
      </c>
      <c r="P177" s="5">
        <v>4</v>
      </c>
      <c r="Q177" s="5">
        <v>5</v>
      </c>
      <c r="R177" s="5">
        <v>6</v>
      </c>
      <c r="S177" s="6">
        <v>7</v>
      </c>
      <c r="T177" s="6">
        <v>8</v>
      </c>
    </row>
    <row r="178" spans="1:27">
      <c r="A178" s="5" t="s">
        <v>117</v>
      </c>
      <c r="B178" s="5">
        <v>1</v>
      </c>
      <c r="C178" s="5">
        <v>1</v>
      </c>
      <c r="D178" s="5">
        <v>1</v>
      </c>
      <c r="E178" s="5">
        <v>0</v>
      </c>
      <c r="F178" s="5">
        <v>0</v>
      </c>
      <c r="G178" s="5">
        <v>0</v>
      </c>
      <c r="H178" s="5">
        <v>0</v>
      </c>
      <c r="I178" s="5">
        <v>1</v>
      </c>
      <c r="J178" s="6">
        <v>0</v>
      </c>
      <c r="L178" s="13" t="s">
        <v>173</v>
      </c>
      <c r="M178" s="5">
        <v>0.2</v>
      </c>
      <c r="N178" s="5">
        <v>0.32</v>
      </c>
      <c r="O178" s="5">
        <v>0.192</v>
      </c>
      <c r="P178" s="5">
        <v>0.1152</v>
      </c>
      <c r="Q178" s="5">
        <v>0.1152</v>
      </c>
      <c r="R178" s="5">
        <v>0.0576</v>
      </c>
      <c r="S178" s="6"/>
      <c r="T178" s="6"/>
    </row>
    <row r="179" spans="1:27">
      <c r="L179" s="13" t="s">
        <v>174</v>
      </c>
      <c r="M179" s="5">
        <v>0.1429</v>
      </c>
      <c r="N179" s="5">
        <v>0.2449</v>
      </c>
      <c r="O179" s="5">
        <v>0.1749</v>
      </c>
      <c r="P179" s="5">
        <v>0.1249</v>
      </c>
      <c r="Q179" s="5">
        <v>0.0893</v>
      </c>
      <c r="R179" s="5">
        <v>0.0892</v>
      </c>
      <c r="S179" s="6">
        <v>0.0893</v>
      </c>
      <c r="T179" s="6">
        <v>0.0446</v>
      </c>
    </row>
    <row r="181" spans="1:27">
      <c r="A181" s="3" t="s">
        <v>118</v>
      </c>
      <c r="B181" s="10">
        <f>0</f>
        <v>0</v>
      </c>
      <c r="C181" s="10">
        <f>1</f>
        <v>0</v>
      </c>
      <c r="D181" s="10">
        <f>2</f>
        <v>0</v>
      </c>
      <c r="E181" s="10">
        <f>3</f>
        <v>0</v>
      </c>
      <c r="F181" s="10">
        <f>4</f>
        <v>0</v>
      </c>
      <c r="G181" s="10">
        <f>5</f>
        <v>0</v>
      </c>
      <c r="H181" s="10">
        <f>6</f>
        <v>0</v>
      </c>
      <c r="I181" s="10">
        <f>7</f>
        <v>0</v>
      </c>
      <c r="J181" s="10">
        <f>8</f>
        <v>0</v>
      </c>
      <c r="K181" s="10">
        <f>9</f>
        <v>0</v>
      </c>
      <c r="L181" s="10">
        <f>10</f>
        <v>0</v>
      </c>
      <c r="M181" s="10">
        <f>11</f>
        <v>0</v>
      </c>
      <c r="N181" s="10">
        <f>12</f>
        <v>0</v>
      </c>
      <c r="O181" s="10">
        <f>13</f>
        <v>0</v>
      </c>
      <c r="P181" s="10">
        <f>14</f>
        <v>0</v>
      </c>
      <c r="Q181" s="10">
        <f>15</f>
        <v>0</v>
      </c>
      <c r="R181" s="10">
        <f>16</f>
        <v>0</v>
      </c>
      <c r="S181" s="10">
        <f>17</f>
        <v>0</v>
      </c>
      <c r="T181" s="10">
        <f>18</f>
        <v>0</v>
      </c>
      <c r="U181" s="10">
        <f>19</f>
        <v>0</v>
      </c>
      <c r="V181" s="10">
        <f>20</f>
        <v>0</v>
      </c>
      <c r="W181" s="10">
        <f>21</f>
        <v>0</v>
      </c>
      <c r="X181" s="10">
        <f>22</f>
        <v>0</v>
      </c>
      <c r="Y181" s="10">
        <f>23</f>
        <v>0</v>
      </c>
      <c r="Z181" s="10">
        <f>24</f>
        <v>0</v>
      </c>
      <c r="AA181" s="4">
        <f>25</f>
        <v>0</v>
      </c>
    </row>
    <row r="182" spans="1:27">
      <c r="A182" s="5" t="s">
        <v>119</v>
      </c>
      <c r="B182" s="14">
        <v>0</v>
      </c>
      <c r="C182" s="7">
        <f t="array" ref="C182:AA182">'Inputs and Outputs'!B27 * (1 - 'Inputs and Outputs'!B5/100)^'Inputs and Outputs'!C181:'Inputs and Outputs'!AA181</f>
        <v>0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</row>
    <row r="183" spans="1:27">
      <c r="A183" s="5" t="s">
        <v>120</v>
      </c>
      <c r="B183" s="14">
        <v>0</v>
      </c>
      <c r="C183" s="7">
        <f t="array" ref="C183:AA183">'Inputs and Outputs'!B26 * (1 - 'Inputs and Outputs'!B5/100)^'Inputs and Outputs'!C181:'Inputs and Outputs'!AA181</f>
        <v>0</v>
      </c>
      <c r="D183" s="7">
        <v>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</row>
    <row r="184" spans="1:27">
      <c r="A184" s="5" t="s">
        <v>121</v>
      </c>
      <c r="B184" s="14">
        <v>0</v>
      </c>
      <c r="C184" s="7">
        <f t="array" ref="C184:AA184">'Inputs and Outputs'!B29</f>
        <v>0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</row>
    <row r="185" spans="1:27">
      <c r="A185" s="5" t="s">
        <v>122</v>
      </c>
      <c r="B185" s="14">
        <v>0</v>
      </c>
      <c r="C185" s="7">
        <f t="array" ref="C185:AA185">'Inputs and Outputs'!B30</f>
        <v>0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</row>
    <row r="186" spans="1:27">
      <c r="A186" s="5" t="s">
        <v>123</v>
      </c>
      <c r="B186" s="14">
        <v>0</v>
      </c>
      <c r="C186" s="7">
        <f t="array" ref="C186:AA186">'Inputs and Outputs'!B31</f>
        <v>0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</row>
    <row r="187" spans="1:27">
      <c r="A187" s="5" t="s">
        <v>124</v>
      </c>
      <c r="B187" s="14">
        <v>0</v>
      </c>
      <c r="C187" s="7">
        <f t="array" ref="C187:AA187">'Inputs and Outputs'!B38</f>
        <v>0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</row>
    <row r="188" spans="1:27">
      <c r="A188" s="5" t="s">
        <v>125</v>
      </c>
      <c r="B188" s="14">
        <v>0</v>
      </c>
      <c r="C188" s="7">
        <f t="array" ref="C188:AA188">'Inputs and Outputs'!B33</f>
        <v>0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</row>
    <row r="189" spans="1:27">
      <c r="A189" s="5" t="s">
        <v>126</v>
      </c>
      <c r="B189" s="14">
        <v>0</v>
      </c>
      <c r="C189" s="7">
        <f t="array" ref="C189:AA189">'Inputs and Outputs'!B39</f>
        <v>0</v>
      </c>
      <c r="D189" s="7">
        <v>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</row>
    <row r="190" spans="1:27">
      <c r="A190" s="5" t="s">
        <v>127</v>
      </c>
      <c r="B190" s="14">
        <v>0</v>
      </c>
      <c r="C190" s="7">
        <f t="array" ref="C190:H190">'Inputs and Outputs'!M178:'Inputs and Outputs'!R178</f>
        <v>0</v>
      </c>
      <c r="D190" s="7">
        <v>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</row>
    <row r="191" spans="1:27">
      <c r="A191" s="5" t="s">
        <v>128</v>
      </c>
      <c r="B191" s="14">
        <v>0</v>
      </c>
      <c r="C191" s="7">
        <f t="array" ref="C191:H191">'Inputs and Outputs'!M178:'Inputs and Outputs'!R178</f>
        <v>0</v>
      </c>
      <c r="D191" s="7">
        <v>0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</row>
    <row r="192" spans="1:27">
      <c r="A192" s="5" t="s">
        <v>129</v>
      </c>
      <c r="B192" s="14">
        <v>0</v>
      </c>
      <c r="C192" s="7">
        <f t="array" ref="C192:J192">'Inputs and Outputs'!M179:'Inputs and Outputs'!T179</f>
        <v>0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</row>
    <row r="193" spans="1:27">
      <c r="A193" s="5" t="s">
        <v>130</v>
      </c>
      <c r="B193" s="14">
        <v>0</v>
      </c>
      <c r="C193" s="7">
        <v>0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</row>
    <row r="194" spans="1:27">
      <c r="A194" s="5" t="s">
        <v>131</v>
      </c>
      <c r="B194" s="14">
        <v>0</v>
      </c>
      <c r="C194" s="7">
        <v>0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</row>
    <row r="195" spans="1:27">
      <c r="A195" s="5" t="s">
        <v>132</v>
      </c>
      <c r="B195" s="14">
        <v>0</v>
      </c>
      <c r="C195" s="7">
        <v>0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</row>
    <row r="196" spans="1:27">
      <c r="A196" s="5" t="s">
        <v>133</v>
      </c>
      <c r="B196" s="14">
        <v>0</v>
      </c>
      <c r="C196" s="7">
        <v>0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</row>
    <row r="197" spans="1:27">
      <c r="A197" s="5" t="s">
        <v>134</v>
      </c>
      <c r="B197" s="14">
        <v>0</v>
      </c>
      <c r="C197" s="7">
        <v>0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</row>
    <row r="198" spans="1:27">
      <c r="A198" s="5" t="s">
        <v>135</v>
      </c>
      <c r="B198" s="14">
        <v>0</v>
      </c>
      <c r="C198" s="7">
        <v>0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</row>
    <row r="199" spans="1:27">
      <c r="A199" s="5" t="s">
        <v>136</v>
      </c>
      <c r="B199" s="14">
        <f>'Optimal Cash Flow'!B160 - 'BAU Cash Flow'!B22</f>
        <v>0</v>
      </c>
      <c r="C199" s="7">
        <f t="array" ref="C199:AA199">'Optimal Cash Flow'!C160:'Optimal Cash Flow'!AA160 - 'BAU Cash Flow'!C22:'BAU Cash Flow'!AA22</f>
        <v>0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</row>
    <row r="200" spans="1:27">
      <c r="A200" s="5" t="s">
        <v>137</v>
      </c>
      <c r="B200" s="14">
        <f>'Inputs and Outputs'!B199</f>
        <v>0</v>
      </c>
      <c r="C200" s="7">
        <f t="array" ref="C200:AA200">'Inputs and Outputs'!C199:'Inputs and Outputs'!AA199 + 'Inputs and Outputs'!B200:'Inputs and Outputs'!Z200</f>
        <v>0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6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2.42578125" customWidth="1"/>
    <col min="2" max="27" width="11.140625" customWidth="1"/>
  </cols>
  <sheetData>
    <row r="1" spans="1:27">
      <c r="A1" s="15" t="s">
        <v>175</v>
      </c>
    </row>
    <row r="2" spans="1:27">
      <c r="A2" s="16" t="s">
        <v>176</v>
      </c>
      <c r="B2" s="16">
        <v>0</v>
      </c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6">
        <v>9</v>
      </c>
      <c r="L2" s="16">
        <v>10</v>
      </c>
      <c r="M2" s="16">
        <v>11</v>
      </c>
      <c r="N2" s="16">
        <v>12</v>
      </c>
      <c r="O2" s="16">
        <v>13</v>
      </c>
      <c r="P2" s="16">
        <v>14</v>
      </c>
      <c r="Q2" s="16">
        <v>15</v>
      </c>
      <c r="R2" s="16">
        <v>16</v>
      </c>
      <c r="S2" s="16">
        <v>17</v>
      </c>
      <c r="T2" s="16">
        <v>18</v>
      </c>
      <c r="U2" s="16">
        <v>19</v>
      </c>
      <c r="V2" s="16">
        <v>20</v>
      </c>
      <c r="W2" s="16">
        <v>21</v>
      </c>
      <c r="X2" s="16">
        <v>22</v>
      </c>
      <c r="Y2" s="16">
        <v>23</v>
      </c>
      <c r="Z2" s="16">
        <v>24</v>
      </c>
      <c r="AA2" s="16">
        <v>25</v>
      </c>
    </row>
    <row r="4" spans="1:27">
      <c r="A4" s="10" t="s">
        <v>177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>
      <c r="A5" s="17" t="s">
        <v>178</v>
      </c>
      <c r="C5" s="17">
        <f>-'Inputs and Outputs'!B24 * (1 + 'Inputs and Outputs'!B86/100)^1</f>
        <v>0</v>
      </c>
      <c r="D5" s="17">
        <f>-'Inputs and Outputs'!B24 * (1 + 'Inputs and Outputs'!B86/100)^2</f>
        <v>0</v>
      </c>
      <c r="E5" s="17">
        <f>-'Inputs and Outputs'!B24 * (1 + 'Inputs and Outputs'!B86/100)^3</f>
        <v>0</v>
      </c>
      <c r="F5" s="17">
        <f>-'Inputs and Outputs'!B24 * (1 + 'Inputs and Outputs'!B86/100)^4</f>
        <v>0</v>
      </c>
      <c r="G5" s="17">
        <f>-'Inputs and Outputs'!B24 * (1 + 'Inputs and Outputs'!B86/100)^5</f>
        <v>0</v>
      </c>
      <c r="H5" s="17">
        <f>-'Inputs and Outputs'!B24 * (1 + 'Inputs and Outputs'!B86/100)^6</f>
        <v>0</v>
      </c>
      <c r="I5" s="17">
        <f>-'Inputs and Outputs'!B24 * (1 + 'Inputs and Outputs'!B86/100)^7</f>
        <v>0</v>
      </c>
      <c r="J5" s="17">
        <f>-'Inputs and Outputs'!B24 * (1 + 'Inputs and Outputs'!B86/100)^8</f>
        <v>0</v>
      </c>
      <c r="K5" s="17">
        <f>-'Inputs and Outputs'!B24 * (1 + 'Inputs and Outputs'!B86/100)^9</f>
        <v>0</v>
      </c>
      <c r="L5" s="17">
        <f>-'Inputs and Outputs'!B24 * (1 + 'Inputs and Outputs'!B86/100)^10</f>
        <v>0</v>
      </c>
      <c r="M5" s="17">
        <f>-'Inputs and Outputs'!B24 * (1 + 'Inputs and Outputs'!B86/100)^11</f>
        <v>0</v>
      </c>
      <c r="N5" s="17">
        <f>-'Inputs and Outputs'!B24 * (1 + 'Inputs and Outputs'!B86/100)^12</f>
        <v>0</v>
      </c>
      <c r="O5" s="17">
        <f>-'Inputs and Outputs'!B24 * (1 + 'Inputs and Outputs'!B86/100)^13</f>
        <v>0</v>
      </c>
      <c r="P5" s="17">
        <f>-'Inputs and Outputs'!B24 * (1 + 'Inputs and Outputs'!B86/100)^14</f>
        <v>0</v>
      </c>
      <c r="Q5" s="17">
        <f>-'Inputs and Outputs'!B24 * (1 + 'Inputs and Outputs'!B86/100)^15</f>
        <v>0</v>
      </c>
      <c r="R5" s="17">
        <f>-'Inputs and Outputs'!B24 * (1 + 'Inputs and Outputs'!B86/100)^16</f>
        <v>0</v>
      </c>
      <c r="S5" s="17">
        <f>-'Inputs and Outputs'!B24 * (1 + 'Inputs and Outputs'!B86/100)^17</f>
        <v>0</v>
      </c>
      <c r="T5" s="17">
        <f>-'Inputs and Outputs'!B24 * (1 + 'Inputs and Outputs'!B86/100)^18</f>
        <v>0</v>
      </c>
      <c r="U5" s="17">
        <f>-'Inputs and Outputs'!B24 * (1 + 'Inputs and Outputs'!B86/100)^19</f>
        <v>0</v>
      </c>
      <c r="V5" s="17">
        <f>-'Inputs and Outputs'!B24 * (1 + 'Inputs and Outputs'!B86/100)^20</f>
        <v>0</v>
      </c>
      <c r="W5" s="17">
        <f>-'Inputs and Outputs'!B24 * (1 + 'Inputs and Outputs'!B86/100)^21</f>
        <v>0</v>
      </c>
      <c r="X5" s="17">
        <f>-'Inputs and Outputs'!B24 * (1 + 'Inputs and Outputs'!B86/100)^22</f>
        <v>0</v>
      </c>
      <c r="Y5" s="17">
        <f>-'Inputs and Outputs'!B24 * (1 + 'Inputs and Outputs'!B86/100)^23</f>
        <v>0</v>
      </c>
      <c r="Z5" s="17">
        <f>-'Inputs and Outputs'!B24 * (1 + 'Inputs and Outputs'!B86/100)^24</f>
        <v>0</v>
      </c>
      <c r="AA5" s="17">
        <f>-'Inputs and Outputs'!B24 * (1 + 'Inputs and Outputs'!B86/100)^25</f>
        <v>0</v>
      </c>
    </row>
    <row r="6" spans="1:27">
      <c r="A6" s="17" t="s">
        <v>179</v>
      </c>
      <c r="C6" s="17">
        <f>-'Inputs and Outputs'!B25 * (1 + 'Inputs and Outputs'!B86/100)^1</f>
        <v>0</v>
      </c>
      <c r="D6" s="17">
        <f>-'Inputs and Outputs'!B25 * (1 + 'Inputs and Outputs'!B86/100)^2</f>
        <v>0</v>
      </c>
      <c r="E6" s="17">
        <f>-'Inputs and Outputs'!B25 * (1 + 'Inputs and Outputs'!B86/100)^3</f>
        <v>0</v>
      </c>
      <c r="F6" s="17">
        <f>-'Inputs and Outputs'!B25 * (1 + 'Inputs and Outputs'!B86/100)^4</f>
        <v>0</v>
      </c>
      <c r="G6" s="17">
        <f>-'Inputs and Outputs'!B25 * (1 + 'Inputs and Outputs'!B86/100)^5</f>
        <v>0</v>
      </c>
      <c r="H6" s="17">
        <f>-'Inputs and Outputs'!B25 * (1 + 'Inputs and Outputs'!B86/100)^6</f>
        <v>0</v>
      </c>
      <c r="I6" s="17">
        <f>-'Inputs and Outputs'!B25 * (1 + 'Inputs and Outputs'!B86/100)^7</f>
        <v>0</v>
      </c>
      <c r="J6" s="17">
        <f>-'Inputs and Outputs'!B25 * (1 + 'Inputs and Outputs'!B86/100)^8</f>
        <v>0</v>
      </c>
      <c r="K6" s="17">
        <f>-'Inputs and Outputs'!B25 * (1 + 'Inputs and Outputs'!B86/100)^9</f>
        <v>0</v>
      </c>
      <c r="L6" s="17">
        <f>-'Inputs and Outputs'!B25 * (1 + 'Inputs and Outputs'!B86/100)^10</f>
        <v>0</v>
      </c>
      <c r="M6" s="17">
        <f>-'Inputs and Outputs'!B25 * (1 + 'Inputs and Outputs'!B86/100)^11</f>
        <v>0</v>
      </c>
      <c r="N6" s="17">
        <f>-'Inputs and Outputs'!B25 * (1 + 'Inputs and Outputs'!B86/100)^12</f>
        <v>0</v>
      </c>
      <c r="O6" s="17">
        <f>-'Inputs and Outputs'!B25 * (1 + 'Inputs and Outputs'!B86/100)^13</f>
        <v>0</v>
      </c>
      <c r="P6" s="17">
        <f>-'Inputs and Outputs'!B25 * (1 + 'Inputs and Outputs'!B86/100)^14</f>
        <v>0</v>
      </c>
      <c r="Q6" s="17">
        <f>-'Inputs and Outputs'!B25 * (1 + 'Inputs and Outputs'!B86/100)^15</f>
        <v>0</v>
      </c>
      <c r="R6" s="17">
        <f>-'Inputs and Outputs'!B25 * (1 + 'Inputs and Outputs'!B86/100)^16</f>
        <v>0</v>
      </c>
      <c r="S6" s="17">
        <f>-'Inputs and Outputs'!B25 * (1 + 'Inputs and Outputs'!B86/100)^17</f>
        <v>0</v>
      </c>
      <c r="T6" s="17">
        <f>-'Inputs and Outputs'!B25 * (1 + 'Inputs and Outputs'!B86/100)^18</f>
        <v>0</v>
      </c>
      <c r="U6" s="17">
        <f>-'Inputs and Outputs'!B25 * (1 + 'Inputs and Outputs'!B86/100)^19</f>
        <v>0</v>
      </c>
      <c r="V6" s="17">
        <f>-'Inputs and Outputs'!B25 * (1 + 'Inputs and Outputs'!B86/100)^20</f>
        <v>0</v>
      </c>
      <c r="W6" s="17">
        <f>-'Inputs and Outputs'!B25 * (1 + 'Inputs and Outputs'!B86/100)^21</f>
        <v>0</v>
      </c>
      <c r="X6" s="17">
        <f>-'Inputs and Outputs'!B25 * (1 + 'Inputs and Outputs'!B86/100)^22</f>
        <v>0</v>
      </c>
      <c r="Y6" s="17">
        <f>-'Inputs and Outputs'!B25 * (1 + 'Inputs and Outputs'!B86/100)^23</f>
        <v>0</v>
      </c>
      <c r="Z6" s="17">
        <f>-'Inputs and Outputs'!B25 * (1 + 'Inputs and Outputs'!B86/100)^24</f>
        <v>0</v>
      </c>
      <c r="AA6" s="17">
        <f>-'Inputs and Outputs'!B25 * (1 + 'Inputs and Outputs'!B86/100)^25</f>
        <v>0</v>
      </c>
    </row>
    <row r="7" spans="1:27">
      <c r="A7" s="17" t="s">
        <v>180</v>
      </c>
      <c r="C7" s="17">
        <f>(-1*('Inputs and Outputs'!B36 * (1 + 'Inputs and Outputs'!B87/100)^1))</f>
        <v>0</v>
      </c>
      <c r="D7" s="17">
        <f>(-1*('Inputs and Outputs'!B36 * (1 + 'Inputs and Outputs'!B87/100)^2))</f>
        <v>0</v>
      </c>
      <c r="E7" s="17">
        <f>(-1*('Inputs and Outputs'!B36 * (1 + 'Inputs and Outputs'!B87/100)^3))</f>
        <v>0</v>
      </c>
      <c r="F7" s="17">
        <f>(-1*('Inputs and Outputs'!B36 * (1 + 'Inputs and Outputs'!B87/100)^4))</f>
        <v>0</v>
      </c>
      <c r="G7" s="17">
        <f>(-1*('Inputs and Outputs'!B36 * (1 + 'Inputs and Outputs'!B87/100)^5))</f>
        <v>0</v>
      </c>
      <c r="H7" s="17">
        <f>(-1*('Inputs and Outputs'!B36 * (1 + 'Inputs and Outputs'!B87/100)^6))</f>
        <v>0</v>
      </c>
      <c r="I7" s="17">
        <f>(-1*('Inputs and Outputs'!B36 * (1 + 'Inputs and Outputs'!B87/100)^7))</f>
        <v>0</v>
      </c>
      <c r="J7" s="17">
        <f>(-1*('Inputs and Outputs'!B36 * (1 + 'Inputs and Outputs'!B87/100)^8))</f>
        <v>0</v>
      </c>
      <c r="K7" s="17">
        <f>(-1*('Inputs and Outputs'!B36 * (1 + 'Inputs and Outputs'!B87/100)^9))</f>
        <v>0</v>
      </c>
      <c r="L7" s="17">
        <f>(-1*('Inputs and Outputs'!B36 * (1 + 'Inputs and Outputs'!B87/100)^10))</f>
        <v>0</v>
      </c>
      <c r="M7" s="17">
        <f>(-1*('Inputs and Outputs'!B36 * (1 + 'Inputs and Outputs'!B87/100)^11))</f>
        <v>0</v>
      </c>
      <c r="N7" s="17">
        <f>(-1*('Inputs and Outputs'!B36 * (1 + 'Inputs and Outputs'!B87/100)^12))</f>
        <v>0</v>
      </c>
      <c r="O7" s="17">
        <f>(-1*('Inputs and Outputs'!B36 * (1 + 'Inputs and Outputs'!B87/100)^13))</f>
        <v>0</v>
      </c>
      <c r="P7" s="17">
        <f>(-1*('Inputs and Outputs'!B36 * (1 + 'Inputs and Outputs'!B87/100)^14))</f>
        <v>0</v>
      </c>
      <c r="Q7" s="17">
        <f>(-1*('Inputs and Outputs'!B36 * (1 + 'Inputs and Outputs'!B87/100)^15))</f>
        <v>0</v>
      </c>
      <c r="R7" s="17">
        <f>(-1*('Inputs and Outputs'!B36 * (1 + 'Inputs and Outputs'!B87/100)^16))</f>
        <v>0</v>
      </c>
      <c r="S7" s="17">
        <f>(-1*('Inputs and Outputs'!B36 * (1 + 'Inputs and Outputs'!B87/100)^17))</f>
        <v>0</v>
      </c>
      <c r="T7" s="17">
        <f>(-1*('Inputs and Outputs'!B36 * (1 + 'Inputs and Outputs'!B87/100)^18))</f>
        <v>0</v>
      </c>
      <c r="U7" s="17">
        <f>(-1*('Inputs and Outputs'!B36 * (1 + 'Inputs and Outputs'!B87/100)^19))</f>
        <v>0</v>
      </c>
      <c r="V7" s="17">
        <f>(-1*('Inputs and Outputs'!B36 * (1 + 'Inputs and Outputs'!B87/100)^20))</f>
        <v>0</v>
      </c>
      <c r="W7" s="17">
        <f>(-1*('Inputs and Outputs'!B36 * (1 + 'Inputs and Outputs'!B87/100)^21))</f>
        <v>0</v>
      </c>
      <c r="X7" s="17">
        <f>(-1*('Inputs and Outputs'!B36 * (1 + 'Inputs and Outputs'!B87/100)^22))</f>
        <v>0</v>
      </c>
      <c r="Y7" s="17">
        <f>(-1*('Inputs and Outputs'!B36 * (1 + 'Inputs and Outputs'!B87/100)^23))</f>
        <v>0</v>
      </c>
      <c r="Z7" s="17">
        <f>(-1*('Inputs and Outputs'!B36 * (1 + 'Inputs and Outputs'!B87/100)^24))</f>
        <v>0</v>
      </c>
      <c r="AA7" s="17">
        <f>(-1*('Inputs and Outputs'!B36 * (1 + 'Inputs and Outputs'!B87/100)^25))</f>
        <v>0</v>
      </c>
    </row>
    <row r="8" spans="1:27">
      <c r="A8" s="17" t="s">
        <v>181</v>
      </c>
      <c r="C8" s="17">
        <f>(-1*('Inputs and Outputs'!B37 * (1 + 'Inputs and Outputs'!B88/100)^1))</f>
        <v>0</v>
      </c>
      <c r="D8" s="17">
        <f>(-1*('Inputs and Outputs'!B37 * (1 + 'Inputs and Outputs'!B88/100)^2))</f>
        <v>0</v>
      </c>
      <c r="E8" s="17">
        <f>(-1*('Inputs and Outputs'!B37 * (1 + 'Inputs and Outputs'!B88/100)^3))</f>
        <v>0</v>
      </c>
      <c r="F8" s="17">
        <f>(-1*('Inputs and Outputs'!B37 * (1 + 'Inputs and Outputs'!B88/100)^4))</f>
        <v>0</v>
      </c>
      <c r="G8" s="17">
        <f>(-1*('Inputs and Outputs'!B37 * (1 + 'Inputs and Outputs'!B88/100)^5))</f>
        <v>0</v>
      </c>
      <c r="H8" s="17">
        <f>(-1*('Inputs and Outputs'!B37 * (1 + 'Inputs and Outputs'!B88/100)^6))</f>
        <v>0</v>
      </c>
      <c r="I8" s="17">
        <f>(-1*('Inputs and Outputs'!B37 * (1 + 'Inputs and Outputs'!B88/100)^7))</f>
        <v>0</v>
      </c>
      <c r="J8" s="17">
        <f>(-1*('Inputs and Outputs'!B37 * (1 + 'Inputs and Outputs'!B88/100)^8))</f>
        <v>0</v>
      </c>
      <c r="K8" s="17">
        <f>(-1*('Inputs and Outputs'!B37 * (1 + 'Inputs and Outputs'!B88/100)^9))</f>
        <v>0</v>
      </c>
      <c r="L8" s="17">
        <f>(-1*('Inputs and Outputs'!B37 * (1 + 'Inputs and Outputs'!B88/100)^10))</f>
        <v>0</v>
      </c>
      <c r="M8" s="17">
        <f>(-1*('Inputs and Outputs'!B37 * (1 + 'Inputs and Outputs'!B88/100)^11))</f>
        <v>0</v>
      </c>
      <c r="N8" s="17">
        <f>(-1*('Inputs and Outputs'!B37 * (1 + 'Inputs and Outputs'!B88/100)^12))</f>
        <v>0</v>
      </c>
      <c r="O8" s="17">
        <f>(-1*('Inputs and Outputs'!B37 * (1 + 'Inputs and Outputs'!B88/100)^13))</f>
        <v>0</v>
      </c>
      <c r="P8" s="17">
        <f>(-1*('Inputs and Outputs'!B37 * (1 + 'Inputs and Outputs'!B88/100)^14))</f>
        <v>0</v>
      </c>
      <c r="Q8" s="17">
        <f>(-1*('Inputs and Outputs'!B37 * (1 + 'Inputs and Outputs'!B88/100)^15))</f>
        <v>0</v>
      </c>
      <c r="R8" s="17">
        <f>(-1*('Inputs and Outputs'!B37 * (1 + 'Inputs and Outputs'!B88/100)^16))</f>
        <v>0</v>
      </c>
      <c r="S8" s="17">
        <f>(-1*('Inputs and Outputs'!B37 * (1 + 'Inputs and Outputs'!B88/100)^17))</f>
        <v>0</v>
      </c>
      <c r="T8" s="17">
        <f>(-1*('Inputs and Outputs'!B37 * (1 + 'Inputs and Outputs'!B88/100)^18))</f>
        <v>0</v>
      </c>
      <c r="U8" s="17">
        <f>(-1*('Inputs and Outputs'!B37 * (1 + 'Inputs and Outputs'!B88/100)^19))</f>
        <v>0</v>
      </c>
      <c r="V8" s="17">
        <f>(-1*('Inputs and Outputs'!B37 * (1 + 'Inputs and Outputs'!B88/100)^20))</f>
        <v>0</v>
      </c>
      <c r="W8" s="17">
        <f>(-1*('Inputs and Outputs'!B37 * (1 + 'Inputs and Outputs'!B88/100)^21))</f>
        <v>0</v>
      </c>
      <c r="X8" s="17">
        <f>(-1*('Inputs and Outputs'!B37 * (1 + 'Inputs and Outputs'!B88/100)^22))</f>
        <v>0</v>
      </c>
      <c r="Y8" s="17">
        <f>(-1*('Inputs and Outputs'!B37 * (1 + 'Inputs and Outputs'!B88/100)^23))</f>
        <v>0</v>
      </c>
      <c r="Z8" s="17">
        <f>(-1*('Inputs and Outputs'!B37 * (1 + 'Inputs and Outputs'!B88/100)^24))</f>
        <v>0</v>
      </c>
      <c r="AA8" s="17">
        <f>(-1*('Inputs and Outputs'!B37 * (1 + 'Inputs and Outputs'!B88/100)^25))</f>
        <v>0</v>
      </c>
    </row>
    <row r="9" spans="1:27">
      <c r="A9" s="17" t="s">
        <v>59</v>
      </c>
    </row>
    <row r="10" spans="1:27">
      <c r="A10" s="18" t="s">
        <v>182</v>
      </c>
      <c r="C10" s="17">
        <f>-'Inputs and Outputs'!B63 * (1 + 'Inputs and Outputs'!B85/100)^1 * ('Inputs and Outputs'!B3)</f>
        <v>0</v>
      </c>
      <c r="D10" s="17">
        <f>-'Inputs and Outputs'!B63 * (1 + 'Inputs and Outputs'!B85/100)^2 * ('Inputs and Outputs'!B3)</f>
        <v>0</v>
      </c>
      <c r="E10" s="17">
        <f>-'Inputs and Outputs'!B63 * (1 + 'Inputs and Outputs'!B85/100)^3 * ('Inputs and Outputs'!B3)</f>
        <v>0</v>
      </c>
      <c r="F10" s="17">
        <f>-'Inputs and Outputs'!B63 * (1 + 'Inputs and Outputs'!B85/100)^4 * ('Inputs and Outputs'!B3)</f>
        <v>0</v>
      </c>
      <c r="G10" s="17">
        <f>-'Inputs and Outputs'!B63 * (1 + 'Inputs and Outputs'!B85/100)^5 * ('Inputs and Outputs'!B3)</f>
        <v>0</v>
      </c>
      <c r="H10" s="17">
        <f>-'Inputs and Outputs'!B63 * (1 + 'Inputs and Outputs'!B85/100)^6 * ('Inputs and Outputs'!B3)</f>
        <v>0</v>
      </c>
      <c r="I10" s="17">
        <f>-'Inputs and Outputs'!B63 * (1 + 'Inputs and Outputs'!B85/100)^7 * ('Inputs and Outputs'!B3)</f>
        <v>0</v>
      </c>
      <c r="J10" s="17">
        <f>-'Inputs and Outputs'!B63 * (1 + 'Inputs and Outputs'!B85/100)^8 * ('Inputs and Outputs'!B3)</f>
        <v>0</v>
      </c>
      <c r="K10" s="17">
        <f>-'Inputs and Outputs'!B63 * (1 + 'Inputs and Outputs'!B85/100)^9 * ('Inputs and Outputs'!B3)</f>
        <v>0</v>
      </c>
      <c r="L10" s="17">
        <f>-'Inputs and Outputs'!B63 * (1 + 'Inputs and Outputs'!B85/100)^10 * ('Inputs and Outputs'!B3)</f>
        <v>0</v>
      </c>
      <c r="M10" s="17">
        <f>-'Inputs and Outputs'!B63 * (1 + 'Inputs and Outputs'!B85/100)^11 * ('Inputs and Outputs'!B3)</f>
        <v>0</v>
      </c>
      <c r="N10" s="17">
        <f>-'Inputs and Outputs'!B63 * (1 + 'Inputs and Outputs'!B85/100)^12 * ('Inputs and Outputs'!B3)</f>
        <v>0</v>
      </c>
      <c r="O10" s="17">
        <f>-'Inputs and Outputs'!B63 * (1 + 'Inputs and Outputs'!B85/100)^13 * ('Inputs and Outputs'!B3)</f>
        <v>0</v>
      </c>
      <c r="P10" s="17">
        <f>-'Inputs and Outputs'!B63 * (1 + 'Inputs and Outputs'!B85/100)^14 * ('Inputs and Outputs'!B3)</f>
        <v>0</v>
      </c>
      <c r="Q10" s="17">
        <f>-'Inputs and Outputs'!B63 * (1 + 'Inputs and Outputs'!B85/100)^15 * ('Inputs and Outputs'!B3)</f>
        <v>0</v>
      </c>
      <c r="R10" s="17">
        <f>-'Inputs and Outputs'!B63 * (1 + 'Inputs and Outputs'!B85/100)^16 * ('Inputs and Outputs'!B3)</f>
        <v>0</v>
      </c>
      <c r="S10" s="17">
        <f>-'Inputs and Outputs'!B63 * (1 + 'Inputs and Outputs'!B85/100)^17 * ('Inputs and Outputs'!B3)</f>
        <v>0</v>
      </c>
      <c r="T10" s="17">
        <f>-'Inputs and Outputs'!B63 * (1 + 'Inputs and Outputs'!B85/100)^18 * ('Inputs and Outputs'!B3)</f>
        <v>0</v>
      </c>
      <c r="U10" s="17">
        <f>-'Inputs and Outputs'!B63 * (1 + 'Inputs and Outputs'!B85/100)^19 * ('Inputs and Outputs'!B3)</f>
        <v>0</v>
      </c>
      <c r="V10" s="17">
        <f>-'Inputs and Outputs'!B63 * (1 + 'Inputs and Outputs'!B85/100)^20 * ('Inputs and Outputs'!B3)</f>
        <v>0</v>
      </c>
      <c r="W10" s="17">
        <f>-'Inputs and Outputs'!B63 * (1 + 'Inputs and Outputs'!B85/100)^21 * ('Inputs and Outputs'!B3)</f>
        <v>0</v>
      </c>
      <c r="X10" s="17">
        <f>-'Inputs and Outputs'!B63 * (1 + 'Inputs and Outputs'!B85/100)^22 * ('Inputs and Outputs'!B3)</f>
        <v>0</v>
      </c>
      <c r="Y10" s="17">
        <f>-'Inputs and Outputs'!B63 * (1 + 'Inputs and Outputs'!B85/100)^23 * ('Inputs and Outputs'!B3)</f>
        <v>0</v>
      </c>
      <c r="Z10" s="17">
        <f>-'Inputs and Outputs'!B63 * (1 + 'Inputs and Outputs'!B85/100)^24 * ('Inputs and Outputs'!B3)</f>
        <v>0</v>
      </c>
      <c r="AA10" s="17">
        <f>-'Inputs and Outputs'!B63 * (1 + 'Inputs and Outputs'!B85/100)^25 * ('Inputs and Outputs'!B3)</f>
        <v>0</v>
      </c>
    </row>
    <row r="11" spans="1:27">
      <c r="A11" s="18" t="s">
        <v>183</v>
      </c>
      <c r="C11" s="17">
        <f>-'Inputs and Outputs'!B63 * (1 + 'Inputs and Outputs'!B85/100)^1 * ('Inputs and Outputs'!B4)</f>
        <v>0</v>
      </c>
      <c r="D11" s="17">
        <f>-'Inputs and Outputs'!B63 * (1 + 'Inputs and Outputs'!B85/100)^2 * ('Inputs and Outputs'!B4)</f>
        <v>0</v>
      </c>
      <c r="E11" s="17">
        <f>-'Inputs and Outputs'!B63 * (1 + 'Inputs and Outputs'!B85/100)^3 * ('Inputs and Outputs'!B4)</f>
        <v>0</v>
      </c>
      <c r="F11" s="17">
        <f>-'Inputs and Outputs'!B63 * (1 + 'Inputs and Outputs'!B85/100)^4 * ('Inputs and Outputs'!B4)</f>
        <v>0</v>
      </c>
      <c r="G11" s="17">
        <f>-'Inputs and Outputs'!B63 * (1 + 'Inputs and Outputs'!B85/100)^5 * ('Inputs and Outputs'!B4)</f>
        <v>0</v>
      </c>
      <c r="H11" s="17">
        <f>-'Inputs and Outputs'!B63 * (1 + 'Inputs and Outputs'!B85/100)^6 * ('Inputs and Outputs'!B4)</f>
        <v>0</v>
      </c>
      <c r="I11" s="17">
        <f>-'Inputs and Outputs'!B63 * (1 + 'Inputs and Outputs'!B85/100)^7 * ('Inputs and Outputs'!B4)</f>
        <v>0</v>
      </c>
      <c r="J11" s="17">
        <f>-'Inputs and Outputs'!B63 * (1 + 'Inputs and Outputs'!B85/100)^8 * ('Inputs and Outputs'!B4)</f>
        <v>0</v>
      </c>
      <c r="K11" s="17">
        <f>-'Inputs and Outputs'!B63 * (1 + 'Inputs and Outputs'!B85/100)^9 * ('Inputs and Outputs'!B4)</f>
        <v>0</v>
      </c>
      <c r="L11" s="17">
        <f>-'Inputs and Outputs'!B63 * (1 + 'Inputs and Outputs'!B85/100)^10 * ('Inputs and Outputs'!B4)</f>
        <v>0</v>
      </c>
      <c r="M11" s="17">
        <f>-'Inputs and Outputs'!B63 * (1 + 'Inputs and Outputs'!B85/100)^11 * ('Inputs and Outputs'!B4)</f>
        <v>0</v>
      </c>
      <c r="N11" s="17">
        <f>-'Inputs and Outputs'!B63 * (1 + 'Inputs and Outputs'!B85/100)^12 * ('Inputs and Outputs'!B4)</f>
        <v>0</v>
      </c>
      <c r="O11" s="17">
        <f>-'Inputs and Outputs'!B63 * (1 + 'Inputs and Outputs'!B85/100)^13 * ('Inputs and Outputs'!B4)</f>
        <v>0</v>
      </c>
      <c r="P11" s="17">
        <f>-'Inputs and Outputs'!B63 * (1 + 'Inputs and Outputs'!B85/100)^14 * ('Inputs and Outputs'!B4)</f>
        <v>0</v>
      </c>
      <c r="Q11" s="17">
        <f>-'Inputs and Outputs'!B63 * (1 + 'Inputs and Outputs'!B85/100)^15 * ('Inputs and Outputs'!B4)</f>
        <v>0</v>
      </c>
      <c r="R11" s="17">
        <f>-'Inputs and Outputs'!B63 * (1 + 'Inputs and Outputs'!B85/100)^16 * ('Inputs and Outputs'!B4)</f>
        <v>0</v>
      </c>
      <c r="S11" s="17">
        <f>-'Inputs and Outputs'!B63 * (1 + 'Inputs and Outputs'!B85/100)^17 * ('Inputs and Outputs'!B4)</f>
        <v>0</v>
      </c>
      <c r="T11" s="17">
        <f>-'Inputs and Outputs'!B63 * (1 + 'Inputs and Outputs'!B85/100)^18 * ('Inputs and Outputs'!B4)</f>
        <v>0</v>
      </c>
      <c r="U11" s="17">
        <f>-'Inputs and Outputs'!B63 * (1 + 'Inputs and Outputs'!B85/100)^19 * ('Inputs and Outputs'!B4)</f>
        <v>0</v>
      </c>
      <c r="V11" s="17">
        <f>-'Inputs and Outputs'!B63 * (1 + 'Inputs and Outputs'!B85/100)^20 * ('Inputs and Outputs'!B4)</f>
        <v>0</v>
      </c>
      <c r="W11" s="17">
        <f>-'Inputs and Outputs'!B63 * (1 + 'Inputs and Outputs'!B85/100)^21 * ('Inputs and Outputs'!B4)</f>
        <v>0</v>
      </c>
      <c r="X11" s="17">
        <f>-'Inputs and Outputs'!B63 * (1 + 'Inputs and Outputs'!B85/100)^22 * ('Inputs and Outputs'!B4)</f>
        <v>0</v>
      </c>
      <c r="Y11" s="17">
        <f>-'Inputs and Outputs'!B63 * (1 + 'Inputs and Outputs'!B85/100)^23 * ('Inputs and Outputs'!B4)</f>
        <v>0</v>
      </c>
      <c r="Z11" s="17">
        <f>-'Inputs and Outputs'!B63 * (1 + 'Inputs and Outputs'!B85/100)^24 * ('Inputs and Outputs'!B4)</f>
        <v>0</v>
      </c>
      <c r="AA11" s="17">
        <f>-'Inputs and Outputs'!B63 * (1 + 'Inputs and Outputs'!B85/100)^25 * ('Inputs and Outputs'!B4)</f>
        <v>0</v>
      </c>
    </row>
    <row r="12" spans="1:27">
      <c r="A12" s="18" t="s">
        <v>184</v>
      </c>
      <c r="C12" s="17">
        <f>-'Inputs and Outputs'!B64 * (1 + 'Inputs and Outputs'!B85/100)^1 * ('Inputs and Outputs'!B7)</f>
        <v>0</v>
      </c>
      <c r="D12" s="17">
        <f>-'Inputs and Outputs'!B64 * (1 + 'Inputs and Outputs'!B85/100)^2 * ('Inputs and Outputs'!B7)</f>
        <v>0</v>
      </c>
      <c r="E12" s="17">
        <f>-'Inputs and Outputs'!B64 * (1 + 'Inputs and Outputs'!B85/100)^3 * ('Inputs and Outputs'!B7)</f>
        <v>0</v>
      </c>
      <c r="F12" s="17">
        <f>-'Inputs and Outputs'!B64 * (1 + 'Inputs and Outputs'!B85/100)^4 * ('Inputs and Outputs'!B7)</f>
        <v>0</v>
      </c>
      <c r="G12" s="17">
        <f>-'Inputs and Outputs'!B64 * (1 + 'Inputs and Outputs'!B85/100)^5 * ('Inputs and Outputs'!B7)</f>
        <v>0</v>
      </c>
      <c r="H12" s="17">
        <f>-'Inputs and Outputs'!B64 * (1 + 'Inputs and Outputs'!B85/100)^6 * ('Inputs and Outputs'!B7)</f>
        <v>0</v>
      </c>
      <c r="I12" s="17">
        <f>-'Inputs and Outputs'!B64 * (1 + 'Inputs and Outputs'!B85/100)^7 * ('Inputs and Outputs'!B7)</f>
        <v>0</v>
      </c>
      <c r="J12" s="17">
        <f>-'Inputs and Outputs'!B64 * (1 + 'Inputs and Outputs'!B85/100)^8 * ('Inputs and Outputs'!B7)</f>
        <v>0</v>
      </c>
      <c r="K12" s="17">
        <f>-'Inputs and Outputs'!B64 * (1 + 'Inputs and Outputs'!B85/100)^9 * ('Inputs and Outputs'!B7)</f>
        <v>0</v>
      </c>
      <c r="L12" s="17">
        <f>-'Inputs and Outputs'!B64 * (1 + 'Inputs and Outputs'!B85/100)^10 * ('Inputs and Outputs'!B7)</f>
        <v>0</v>
      </c>
      <c r="M12" s="17">
        <f>-'Inputs and Outputs'!B64 * (1 + 'Inputs and Outputs'!B85/100)^11 * ('Inputs and Outputs'!B7)</f>
        <v>0</v>
      </c>
      <c r="N12" s="17">
        <f>-'Inputs and Outputs'!B64 * (1 + 'Inputs and Outputs'!B85/100)^12 * ('Inputs and Outputs'!B7)</f>
        <v>0</v>
      </c>
      <c r="O12" s="17">
        <f>-'Inputs and Outputs'!B64 * (1 + 'Inputs and Outputs'!B85/100)^13 * ('Inputs and Outputs'!B7)</f>
        <v>0</v>
      </c>
      <c r="P12" s="17">
        <f>-'Inputs and Outputs'!B64 * (1 + 'Inputs and Outputs'!B85/100)^14 * ('Inputs and Outputs'!B7)</f>
        <v>0</v>
      </c>
      <c r="Q12" s="17">
        <f>-'Inputs and Outputs'!B64 * (1 + 'Inputs and Outputs'!B85/100)^15 * ('Inputs and Outputs'!B7)</f>
        <v>0</v>
      </c>
      <c r="R12" s="17">
        <f>-'Inputs and Outputs'!B64 * (1 + 'Inputs and Outputs'!B85/100)^16 * ('Inputs and Outputs'!B7)</f>
        <v>0</v>
      </c>
      <c r="S12" s="17">
        <f>-'Inputs and Outputs'!B64 * (1 + 'Inputs and Outputs'!B85/100)^17 * ('Inputs and Outputs'!B7)</f>
        <v>0</v>
      </c>
      <c r="T12" s="17">
        <f>-'Inputs and Outputs'!B64 * (1 + 'Inputs and Outputs'!B85/100)^18 * ('Inputs and Outputs'!B7)</f>
        <v>0</v>
      </c>
      <c r="U12" s="17">
        <f>-'Inputs and Outputs'!B64 * (1 + 'Inputs and Outputs'!B85/100)^19 * ('Inputs and Outputs'!B7)</f>
        <v>0</v>
      </c>
      <c r="V12" s="17">
        <f>-'Inputs and Outputs'!B64 * (1 + 'Inputs and Outputs'!B85/100)^20 * ('Inputs and Outputs'!B7)</f>
        <v>0</v>
      </c>
      <c r="W12" s="17">
        <f>-'Inputs and Outputs'!B64 * (1 + 'Inputs and Outputs'!B85/100)^21 * ('Inputs and Outputs'!B7)</f>
        <v>0</v>
      </c>
      <c r="X12" s="17">
        <f>-'Inputs and Outputs'!B64 * (1 + 'Inputs and Outputs'!B85/100)^22 * ('Inputs and Outputs'!B7)</f>
        <v>0</v>
      </c>
      <c r="Y12" s="17">
        <f>-'Inputs and Outputs'!B64 * (1 + 'Inputs and Outputs'!B85/100)^23 * ('Inputs and Outputs'!B7)</f>
        <v>0</v>
      </c>
      <c r="Z12" s="17">
        <f>-'Inputs and Outputs'!B64 * (1 + 'Inputs and Outputs'!B85/100)^24 * ('Inputs and Outputs'!B7)</f>
        <v>0</v>
      </c>
      <c r="AA12" s="17">
        <f>-'Inputs and Outputs'!B64 * (1 + 'Inputs and Outputs'!B85/100)^25 * ('Inputs and Outputs'!B7)</f>
        <v>0</v>
      </c>
    </row>
    <row r="13" spans="1:27">
      <c r="A13" s="18" t="s">
        <v>185</v>
      </c>
      <c r="C13" s="17">
        <f>0^1</f>
        <v>0</v>
      </c>
      <c r="D13" s="17">
        <f>0^2</f>
        <v>0</v>
      </c>
      <c r="E13" s="17">
        <f>0^3</f>
        <v>0</v>
      </c>
      <c r="F13" s="17">
        <f>0^4</f>
        <v>0</v>
      </c>
      <c r="G13" s="17">
        <f>0^5</f>
        <v>0</v>
      </c>
      <c r="H13" s="17">
        <f>0^6</f>
        <v>0</v>
      </c>
      <c r="I13" s="17">
        <f>0^7</f>
        <v>0</v>
      </c>
      <c r="J13" s="17">
        <f>0^8</f>
        <v>0</v>
      </c>
      <c r="K13" s="17">
        <f>0^9</f>
        <v>0</v>
      </c>
      <c r="L13" s="17">
        <f>0^10</f>
        <v>0</v>
      </c>
      <c r="M13" s="17">
        <f>0^11</f>
        <v>0</v>
      </c>
      <c r="N13" s="17">
        <f>0^12</f>
        <v>0</v>
      </c>
      <c r="O13" s="17">
        <f>0^13</f>
        <v>0</v>
      </c>
      <c r="P13" s="17">
        <f>0^14</f>
        <v>0</v>
      </c>
      <c r="Q13" s="17">
        <f>0^15</f>
        <v>0</v>
      </c>
      <c r="R13" s="17">
        <f>0^16</f>
        <v>0</v>
      </c>
      <c r="S13" s="17">
        <f>0^17</f>
        <v>0</v>
      </c>
      <c r="T13" s="17">
        <f>0^18</f>
        <v>0</v>
      </c>
      <c r="U13" s="17">
        <f>0^19</f>
        <v>0</v>
      </c>
      <c r="V13" s="17">
        <f>0^20</f>
        <v>0</v>
      </c>
      <c r="W13" s="17">
        <f>0^21</f>
        <v>0</v>
      </c>
      <c r="X13" s="17">
        <f>0^22</f>
        <v>0</v>
      </c>
      <c r="Y13" s="17">
        <f>0^23</f>
        <v>0</v>
      </c>
      <c r="Z13" s="17">
        <f>0^24</f>
        <v>0</v>
      </c>
      <c r="AA13" s="17">
        <f>0^25</f>
        <v>0</v>
      </c>
    </row>
    <row r="14" spans="1:27">
      <c r="A14" s="18" t="s">
        <v>186</v>
      </c>
      <c r="C14" s="17">
        <f>0^1</f>
        <v>0</v>
      </c>
      <c r="D14" s="17">
        <f>0^2</f>
        <v>0</v>
      </c>
      <c r="E14" s="17">
        <f>0^3</f>
        <v>0</v>
      </c>
      <c r="F14" s="17">
        <f>0^4</f>
        <v>0</v>
      </c>
      <c r="G14" s="17">
        <f>0^5</f>
        <v>0</v>
      </c>
      <c r="H14" s="17">
        <f>0^6</f>
        <v>0</v>
      </c>
      <c r="I14" s="17">
        <f>0^7</f>
        <v>0</v>
      </c>
      <c r="J14" s="17">
        <f>0^8</f>
        <v>0</v>
      </c>
      <c r="K14" s="17">
        <f>0^9</f>
        <v>0</v>
      </c>
      <c r="L14" s="17">
        <f>0^10</f>
        <v>0</v>
      </c>
      <c r="M14" s="17">
        <f>0^11</f>
        <v>0</v>
      </c>
      <c r="N14" s="17">
        <f>0^12</f>
        <v>0</v>
      </c>
      <c r="O14" s="17">
        <f>0^13</f>
        <v>0</v>
      </c>
      <c r="P14" s="17">
        <f>0^14</f>
        <v>0</v>
      </c>
      <c r="Q14" s="17">
        <f>0^15</f>
        <v>0</v>
      </c>
      <c r="R14" s="17">
        <f>0^16</f>
        <v>0</v>
      </c>
      <c r="S14" s="17">
        <f>0^17</f>
        <v>0</v>
      </c>
      <c r="T14" s="17">
        <f>0^18</f>
        <v>0</v>
      </c>
      <c r="U14" s="17">
        <f>0^19</f>
        <v>0</v>
      </c>
      <c r="V14" s="17">
        <f>0^20</f>
        <v>0</v>
      </c>
      <c r="W14" s="17">
        <f>0^21</f>
        <v>0</v>
      </c>
      <c r="X14" s="17">
        <f>0^22</f>
        <v>0</v>
      </c>
      <c r="Y14" s="17">
        <f>0^23</f>
        <v>0</v>
      </c>
      <c r="Z14" s="17">
        <f>0^24</f>
        <v>0</v>
      </c>
      <c r="AA14" s="17">
        <f>0^25</f>
        <v>0</v>
      </c>
    </row>
    <row r="15" spans="1:27">
      <c r="A15" s="18" t="s">
        <v>187</v>
      </c>
      <c r="C15" s="17">
        <f>-'Inputs and Outputs'!B67 * (1+'Inputs and Outputs'!B85/100)^1</f>
        <v>0</v>
      </c>
      <c r="D15" s="17">
        <f>-'Inputs and Outputs'!B67 * (1+'Inputs and Outputs'!B85/100)^2</f>
        <v>0</v>
      </c>
      <c r="E15" s="17">
        <f>-'Inputs and Outputs'!B67 * (1+'Inputs and Outputs'!B85/100)^3</f>
        <v>0</v>
      </c>
      <c r="F15" s="17">
        <f>-'Inputs and Outputs'!B67 * (1+'Inputs and Outputs'!B85/100)^4</f>
        <v>0</v>
      </c>
      <c r="G15" s="17">
        <f>-'Inputs and Outputs'!B67 * (1+'Inputs and Outputs'!B85/100)^5</f>
        <v>0</v>
      </c>
      <c r="H15" s="17">
        <f>-'Inputs and Outputs'!B67 * (1+'Inputs and Outputs'!B85/100)^6</f>
        <v>0</v>
      </c>
      <c r="I15" s="17">
        <f>-'Inputs and Outputs'!B67 * (1+'Inputs and Outputs'!B85/100)^7</f>
        <v>0</v>
      </c>
      <c r="J15" s="17">
        <f>-'Inputs and Outputs'!B67 * (1+'Inputs and Outputs'!B85/100)^8</f>
        <v>0</v>
      </c>
      <c r="K15" s="17">
        <f>-'Inputs and Outputs'!B67 * (1+'Inputs and Outputs'!B85/100)^9</f>
        <v>0</v>
      </c>
      <c r="L15" s="17">
        <f>-'Inputs and Outputs'!B67 * (1+'Inputs and Outputs'!B85/100)^10</f>
        <v>0</v>
      </c>
      <c r="M15" s="17">
        <f>-'Inputs and Outputs'!B67 * (1+'Inputs and Outputs'!B85/100)^11</f>
        <v>0</v>
      </c>
      <c r="N15" s="17">
        <f>-'Inputs and Outputs'!B67 * (1+'Inputs and Outputs'!B85/100)^12</f>
        <v>0</v>
      </c>
      <c r="O15" s="17">
        <f>-'Inputs and Outputs'!B67 * (1+'Inputs and Outputs'!B85/100)^13</f>
        <v>0</v>
      </c>
      <c r="P15" s="17">
        <f>-'Inputs and Outputs'!B67 * (1+'Inputs and Outputs'!B85/100)^14</f>
        <v>0</v>
      </c>
      <c r="Q15" s="17">
        <f>-'Inputs and Outputs'!B67 * (1+'Inputs and Outputs'!B85/100)^15</f>
        <v>0</v>
      </c>
      <c r="R15" s="17">
        <f>-'Inputs and Outputs'!B67 * (1+'Inputs and Outputs'!B85/100)^16</f>
        <v>0</v>
      </c>
      <c r="S15" s="17">
        <f>-'Inputs and Outputs'!B67 * (1+'Inputs and Outputs'!B85/100)^17</f>
        <v>0</v>
      </c>
      <c r="T15" s="17">
        <f>-'Inputs and Outputs'!B67 * (1+'Inputs and Outputs'!B85/100)^18</f>
        <v>0</v>
      </c>
      <c r="U15" s="17">
        <f>-'Inputs and Outputs'!B67 * (1+'Inputs and Outputs'!B85/100)^19</f>
        <v>0</v>
      </c>
      <c r="V15" s="17">
        <f>-'Inputs and Outputs'!B67 * (1+'Inputs and Outputs'!B85/100)^20</f>
        <v>0</v>
      </c>
      <c r="W15" s="17">
        <f>-'Inputs and Outputs'!B67 * (1+'Inputs and Outputs'!B85/100)^21</f>
        <v>0</v>
      </c>
      <c r="X15" s="17">
        <f>-'Inputs and Outputs'!B67 * (1+'Inputs and Outputs'!B85/100)^22</f>
        <v>0</v>
      </c>
      <c r="Y15" s="17">
        <f>-'Inputs and Outputs'!B67 * (1+'Inputs and Outputs'!B85/100)^23</f>
        <v>0</v>
      </c>
      <c r="Z15" s="17">
        <f>-'Inputs and Outputs'!B67 * (1+'Inputs and Outputs'!B85/100)^24</f>
        <v>0</v>
      </c>
      <c r="AA15" s="17">
        <f>-'Inputs and Outputs'!B67 * (1+'Inputs and Outputs'!B85/100)^25</f>
        <v>0</v>
      </c>
    </row>
    <row r="16" spans="1:27">
      <c r="A16" s="18" t="s">
        <v>188</v>
      </c>
      <c r="C16" s="17">
        <f>-IF(1 = 'Inputs and Outputs'!B70, 'Inputs and Outputs'!B11 * 'Inputs and Outputs'!B69, 0)</f>
        <v>0</v>
      </c>
      <c r="D16" s="17">
        <f>-IF(2 = 'Inputs and Outputs'!B70, 'Inputs and Outputs'!B11 * 'Inputs and Outputs'!B69, 0)</f>
        <v>0</v>
      </c>
      <c r="E16" s="17">
        <f>-IF(3 = 'Inputs and Outputs'!B70, 'Inputs and Outputs'!B11 * 'Inputs and Outputs'!B69, 0)</f>
        <v>0</v>
      </c>
      <c r="F16" s="17">
        <f>-IF(4 = 'Inputs and Outputs'!B70, 'Inputs and Outputs'!B11 * 'Inputs and Outputs'!B69, 0)</f>
        <v>0</v>
      </c>
      <c r="G16" s="17">
        <f>-IF(5 = 'Inputs and Outputs'!B70, 'Inputs and Outputs'!B11 * 'Inputs and Outputs'!B69, 0)</f>
        <v>0</v>
      </c>
      <c r="H16" s="17">
        <f>-IF(6 = 'Inputs and Outputs'!B70, 'Inputs and Outputs'!B11 * 'Inputs and Outputs'!B69, 0)</f>
        <v>0</v>
      </c>
      <c r="I16" s="17">
        <f>-IF(7 = 'Inputs and Outputs'!B70, 'Inputs and Outputs'!B11 * 'Inputs and Outputs'!B69, 0)</f>
        <v>0</v>
      </c>
      <c r="J16" s="17">
        <f>-IF(8 = 'Inputs and Outputs'!B70, 'Inputs and Outputs'!B11 * 'Inputs and Outputs'!B69, 0)</f>
        <v>0</v>
      </c>
      <c r="K16" s="17">
        <f>-IF(9 = 'Inputs and Outputs'!B70, 'Inputs and Outputs'!B11 * 'Inputs and Outputs'!B69, 0)</f>
        <v>0</v>
      </c>
      <c r="L16" s="17">
        <f>-IF(10 = 'Inputs and Outputs'!B70, 'Inputs and Outputs'!B11 * 'Inputs and Outputs'!B69, 0)</f>
        <v>0</v>
      </c>
      <c r="M16" s="17">
        <f>-IF(11 = 'Inputs and Outputs'!B70, 'Inputs and Outputs'!B11 * 'Inputs and Outputs'!B69, 0)</f>
        <v>0</v>
      </c>
      <c r="N16" s="17">
        <f>-IF(12 = 'Inputs and Outputs'!B70, 'Inputs and Outputs'!B11 * 'Inputs and Outputs'!B69, 0)</f>
        <v>0</v>
      </c>
      <c r="O16" s="17">
        <f>-IF(13 = 'Inputs and Outputs'!B70, 'Inputs and Outputs'!B11 * 'Inputs and Outputs'!B69, 0)</f>
        <v>0</v>
      </c>
      <c r="P16" s="17">
        <f>-IF(14 = 'Inputs and Outputs'!B70, 'Inputs and Outputs'!B11 * 'Inputs and Outputs'!B69, 0)</f>
        <v>0</v>
      </c>
      <c r="Q16" s="17">
        <f>-IF(15 = 'Inputs and Outputs'!B70, 'Inputs and Outputs'!B11 * 'Inputs and Outputs'!B69, 0)</f>
        <v>0</v>
      </c>
      <c r="R16" s="17">
        <f>-IF(16 = 'Inputs and Outputs'!B70, 'Inputs and Outputs'!B11 * 'Inputs and Outputs'!B69, 0)</f>
        <v>0</v>
      </c>
      <c r="S16" s="17">
        <f>-IF(17 = 'Inputs and Outputs'!B70, 'Inputs and Outputs'!B11 * 'Inputs and Outputs'!B69, 0)</f>
        <v>0</v>
      </c>
      <c r="T16" s="17">
        <f>-IF(18 = 'Inputs and Outputs'!B70, 'Inputs and Outputs'!B11 * 'Inputs and Outputs'!B69, 0)</f>
        <v>0</v>
      </c>
      <c r="U16" s="17">
        <f>-IF(19 = 'Inputs and Outputs'!B70, 'Inputs and Outputs'!B11 * 'Inputs and Outputs'!B69, 0)</f>
        <v>0</v>
      </c>
      <c r="V16" s="17">
        <f>-IF(20 = 'Inputs and Outputs'!B70, 'Inputs and Outputs'!B11 * 'Inputs and Outputs'!B69, 0)</f>
        <v>0</v>
      </c>
      <c r="W16" s="17">
        <f>-IF(21 = 'Inputs and Outputs'!B70, 'Inputs and Outputs'!B11 * 'Inputs and Outputs'!B69, 0)</f>
        <v>0</v>
      </c>
      <c r="X16" s="17">
        <f>-IF(22 = 'Inputs and Outputs'!B70, 'Inputs and Outputs'!B11 * 'Inputs and Outputs'!B69, 0)</f>
        <v>0</v>
      </c>
      <c r="Y16" s="17">
        <f>-IF(23 = 'Inputs and Outputs'!B70, 'Inputs and Outputs'!B11 * 'Inputs and Outputs'!B69, 0)</f>
        <v>0</v>
      </c>
      <c r="Z16" s="17">
        <f>-IF(24 = 'Inputs and Outputs'!B70, 'Inputs and Outputs'!B11 * 'Inputs and Outputs'!B69, 0)</f>
        <v>0</v>
      </c>
      <c r="AA16" s="17">
        <f>-IF(25 = 'Inputs and Outputs'!B70, 'Inputs and Outputs'!B11 * 'Inputs and Outputs'!B69, 0)</f>
        <v>0</v>
      </c>
    </row>
    <row r="17" spans="1:27">
      <c r="A17" s="18" t="s">
        <v>189</v>
      </c>
      <c r="C17" s="17">
        <f>-IF(1 = 'Inputs and Outputs'!B70, 'Inputs and Outputs'!B11 * 'Inputs and Outputs'!B71, 0)</f>
        <v>0</v>
      </c>
      <c r="D17" s="17">
        <f>-IF(2 = 'Inputs and Outputs'!B70, 'Inputs and Outputs'!B11 * 'Inputs and Outputs'!B71, 0)</f>
        <v>0</v>
      </c>
      <c r="E17" s="17">
        <f>-IF(3 = 'Inputs and Outputs'!B70, 'Inputs and Outputs'!B11 * 'Inputs and Outputs'!B71, 0)</f>
        <v>0</v>
      </c>
      <c r="F17" s="17">
        <f>-IF(4 = 'Inputs and Outputs'!B70, 'Inputs and Outputs'!B11 * 'Inputs and Outputs'!B71, 0)</f>
        <v>0</v>
      </c>
      <c r="G17" s="17">
        <f>-IF(5 = 'Inputs and Outputs'!B70, 'Inputs and Outputs'!B11 * 'Inputs and Outputs'!B71, 0)</f>
        <v>0</v>
      </c>
      <c r="H17" s="17">
        <f>-IF(6 = 'Inputs and Outputs'!B70, 'Inputs and Outputs'!B11 * 'Inputs and Outputs'!B71, 0)</f>
        <v>0</v>
      </c>
      <c r="I17" s="17">
        <f>-IF(7 = 'Inputs and Outputs'!B70, 'Inputs and Outputs'!B11 * 'Inputs and Outputs'!B71, 0)</f>
        <v>0</v>
      </c>
      <c r="J17" s="17">
        <f>-IF(8 = 'Inputs and Outputs'!B70, 'Inputs and Outputs'!B11 * 'Inputs and Outputs'!B71, 0)</f>
        <v>0</v>
      </c>
      <c r="K17" s="17">
        <f>-IF(9 = 'Inputs and Outputs'!B70, 'Inputs and Outputs'!B11 * 'Inputs and Outputs'!B71, 0)</f>
        <v>0</v>
      </c>
      <c r="L17" s="17">
        <f>-IF(10 = 'Inputs and Outputs'!B70, 'Inputs and Outputs'!B11 * 'Inputs and Outputs'!B71, 0)</f>
        <v>0</v>
      </c>
      <c r="M17" s="17">
        <f>-IF(11 = 'Inputs and Outputs'!B70, 'Inputs and Outputs'!B11 * 'Inputs and Outputs'!B71, 0)</f>
        <v>0</v>
      </c>
      <c r="N17" s="17">
        <f>-IF(12 = 'Inputs and Outputs'!B70, 'Inputs and Outputs'!B11 * 'Inputs and Outputs'!B71, 0)</f>
        <v>0</v>
      </c>
      <c r="O17" s="17">
        <f>-IF(13 = 'Inputs and Outputs'!B70, 'Inputs and Outputs'!B11 * 'Inputs and Outputs'!B71, 0)</f>
        <v>0</v>
      </c>
      <c r="P17" s="17">
        <f>-IF(14 = 'Inputs and Outputs'!B70, 'Inputs and Outputs'!B11 * 'Inputs and Outputs'!B71, 0)</f>
        <v>0</v>
      </c>
      <c r="Q17" s="17">
        <f>-IF(15 = 'Inputs and Outputs'!B70, 'Inputs and Outputs'!B11 * 'Inputs and Outputs'!B71, 0)</f>
        <v>0</v>
      </c>
      <c r="R17" s="17">
        <f>-IF(16 = 'Inputs and Outputs'!B70, 'Inputs and Outputs'!B11 * 'Inputs and Outputs'!B71, 0)</f>
        <v>0</v>
      </c>
      <c r="S17" s="17">
        <f>-IF(17 = 'Inputs and Outputs'!B70, 'Inputs and Outputs'!B11 * 'Inputs and Outputs'!B71, 0)</f>
        <v>0</v>
      </c>
      <c r="T17" s="17">
        <f>-IF(18 = 'Inputs and Outputs'!B70, 'Inputs and Outputs'!B11 * 'Inputs and Outputs'!B71, 0)</f>
        <v>0</v>
      </c>
      <c r="U17" s="17">
        <f>-IF(19 = 'Inputs and Outputs'!B70, 'Inputs and Outputs'!B11 * 'Inputs and Outputs'!B71, 0)</f>
        <v>0</v>
      </c>
      <c r="V17" s="17">
        <f>-IF(20 = 'Inputs and Outputs'!B70, 'Inputs and Outputs'!B11 * 'Inputs and Outputs'!B71, 0)</f>
        <v>0</v>
      </c>
      <c r="W17" s="17">
        <f>-IF(21 = 'Inputs and Outputs'!B70, 'Inputs and Outputs'!B11 * 'Inputs and Outputs'!B71, 0)</f>
        <v>0</v>
      </c>
      <c r="X17" s="17">
        <f>-IF(22 = 'Inputs and Outputs'!B70, 'Inputs and Outputs'!B11 * 'Inputs and Outputs'!B71, 0)</f>
        <v>0</v>
      </c>
      <c r="Y17" s="17">
        <f>-IF(23 = 'Inputs and Outputs'!B70, 'Inputs and Outputs'!B11 * 'Inputs and Outputs'!B71, 0)</f>
        <v>0</v>
      </c>
      <c r="Z17" s="17">
        <f>-IF(24 = 'Inputs and Outputs'!B70, 'Inputs and Outputs'!B11 * 'Inputs and Outputs'!B71, 0)</f>
        <v>0</v>
      </c>
      <c r="AA17" s="17">
        <f>-IF(25 = 'Inputs and Outputs'!B70, 'Inputs and Outputs'!B11 * 'Inputs and Outputs'!B71, 0)</f>
        <v>0</v>
      </c>
    </row>
    <row r="18" spans="1:27">
      <c r="A18" s="18" t="s">
        <v>190</v>
      </c>
      <c r="C18" s="17">
        <f>-'Inputs and Outputs'!B73 * 'Inputs and Outputs'!B13 * (1+'Inputs and Outputs'!B85/100)^1</f>
        <v>0</v>
      </c>
      <c r="D18" s="17">
        <f>-'Inputs and Outputs'!B73 * 'Inputs and Outputs'!B13 * (1+'Inputs and Outputs'!B85/100)^2</f>
        <v>0</v>
      </c>
      <c r="E18" s="17">
        <f>-'Inputs and Outputs'!B73 * 'Inputs and Outputs'!B13 * (1+'Inputs and Outputs'!B85/100)^3</f>
        <v>0</v>
      </c>
      <c r="F18" s="17">
        <f>-'Inputs and Outputs'!B73 * 'Inputs and Outputs'!B13 * (1+'Inputs and Outputs'!B85/100)^4</f>
        <v>0</v>
      </c>
      <c r="G18" s="17">
        <f>-'Inputs and Outputs'!B73 * 'Inputs and Outputs'!B13 * (1+'Inputs and Outputs'!B85/100)^5</f>
        <v>0</v>
      </c>
      <c r="H18" s="17">
        <f>-'Inputs and Outputs'!B73 * 'Inputs and Outputs'!B13 * (1+'Inputs and Outputs'!B85/100)^6</f>
        <v>0</v>
      </c>
      <c r="I18" s="17">
        <f>-'Inputs and Outputs'!B73 * 'Inputs and Outputs'!B13 * (1+'Inputs and Outputs'!B85/100)^7</f>
        <v>0</v>
      </c>
      <c r="J18" s="17">
        <f>-'Inputs and Outputs'!B73 * 'Inputs and Outputs'!B13 * (1+'Inputs and Outputs'!B85/100)^8</f>
        <v>0</v>
      </c>
      <c r="K18" s="17">
        <f>-'Inputs and Outputs'!B73 * 'Inputs and Outputs'!B13 * (1+'Inputs and Outputs'!B85/100)^9</f>
        <v>0</v>
      </c>
      <c r="L18" s="17">
        <f>-'Inputs and Outputs'!B73 * 'Inputs and Outputs'!B13 * (1+'Inputs and Outputs'!B85/100)^10</f>
        <v>0</v>
      </c>
      <c r="M18" s="17">
        <f>-'Inputs and Outputs'!B73 * 'Inputs and Outputs'!B13 * (1+'Inputs and Outputs'!B85/100)^11</f>
        <v>0</v>
      </c>
      <c r="N18" s="17">
        <f>-'Inputs and Outputs'!B73 * 'Inputs and Outputs'!B13 * (1+'Inputs and Outputs'!B85/100)^12</f>
        <v>0</v>
      </c>
      <c r="O18" s="17">
        <f>-'Inputs and Outputs'!B73 * 'Inputs and Outputs'!B13 * (1+'Inputs and Outputs'!B85/100)^13</f>
        <v>0</v>
      </c>
      <c r="P18" s="17">
        <f>-'Inputs and Outputs'!B73 * 'Inputs and Outputs'!B13 * (1+'Inputs and Outputs'!B85/100)^14</f>
        <v>0</v>
      </c>
      <c r="Q18" s="17">
        <f>-'Inputs and Outputs'!B73 * 'Inputs and Outputs'!B13 * (1+'Inputs and Outputs'!B85/100)^15</f>
        <v>0</v>
      </c>
      <c r="R18" s="17">
        <f>-'Inputs and Outputs'!B73 * 'Inputs and Outputs'!B13 * (1+'Inputs and Outputs'!B85/100)^16</f>
        <v>0</v>
      </c>
      <c r="S18" s="17">
        <f>-'Inputs and Outputs'!B73 * 'Inputs and Outputs'!B13 * (1+'Inputs and Outputs'!B85/100)^17</f>
        <v>0</v>
      </c>
      <c r="T18" s="17">
        <f>-'Inputs and Outputs'!B73 * 'Inputs and Outputs'!B13 * (1+'Inputs and Outputs'!B85/100)^18</f>
        <v>0</v>
      </c>
      <c r="U18" s="17">
        <f>-'Inputs and Outputs'!B73 * 'Inputs and Outputs'!B13 * (1+'Inputs and Outputs'!B85/100)^19</f>
        <v>0</v>
      </c>
      <c r="V18" s="17">
        <f>-'Inputs and Outputs'!B73 * 'Inputs and Outputs'!B13 * (1+'Inputs and Outputs'!B85/100)^20</f>
        <v>0</v>
      </c>
      <c r="W18" s="17">
        <f>-'Inputs and Outputs'!B73 * 'Inputs and Outputs'!B13 * (1+'Inputs and Outputs'!B85/100)^21</f>
        <v>0</v>
      </c>
      <c r="X18" s="17">
        <f>-'Inputs and Outputs'!B73 * 'Inputs and Outputs'!B13 * (1+'Inputs and Outputs'!B85/100)^22</f>
        <v>0</v>
      </c>
      <c r="Y18" s="17">
        <f>-'Inputs and Outputs'!B73 * 'Inputs and Outputs'!B13 * (1+'Inputs and Outputs'!B85/100)^23</f>
        <v>0</v>
      </c>
      <c r="Z18" s="17">
        <f>-'Inputs and Outputs'!B73 * 'Inputs and Outputs'!B13 * (1+'Inputs and Outputs'!B85/100)^24</f>
        <v>0</v>
      </c>
      <c r="AA18" s="17">
        <f>-'Inputs and Outputs'!B73 * 'Inputs and Outputs'!B13 * (1+'Inputs and Outputs'!B85/100)^25</f>
        <v>0</v>
      </c>
    </row>
    <row r="19" spans="1:27">
      <c r="A19" s="18" t="s">
        <v>191</v>
      </c>
      <c r="C19" s="17">
        <f>-'Inputs and Outputs'!B74 * 'Inputs and Outputs'!B31 * (1+'Inputs and Outputs'!B85/100)^1</f>
        <v>0</v>
      </c>
      <c r="D19" s="17">
        <f>-'Inputs and Outputs'!B74 * 'Inputs and Outputs'!B31 * (1+'Inputs and Outputs'!B85/100)^2</f>
        <v>0</v>
      </c>
      <c r="E19" s="17">
        <f>-'Inputs and Outputs'!B74 * 'Inputs and Outputs'!B31 * (1+'Inputs and Outputs'!B85/100)^3</f>
        <v>0</v>
      </c>
      <c r="F19" s="17">
        <f>-'Inputs and Outputs'!B74 * 'Inputs and Outputs'!B31 * (1+'Inputs and Outputs'!B85/100)^4</f>
        <v>0</v>
      </c>
      <c r="G19" s="17">
        <f>-'Inputs and Outputs'!B74 * 'Inputs and Outputs'!B31 * (1+'Inputs and Outputs'!B85/100)^5</f>
        <v>0</v>
      </c>
      <c r="H19" s="17">
        <f>-'Inputs and Outputs'!B74 * 'Inputs and Outputs'!B31 * (1+'Inputs and Outputs'!B85/100)^6</f>
        <v>0</v>
      </c>
      <c r="I19" s="17">
        <f>-'Inputs and Outputs'!B74 * 'Inputs and Outputs'!B31 * (1+'Inputs and Outputs'!B85/100)^7</f>
        <v>0</v>
      </c>
      <c r="J19" s="17">
        <f>-'Inputs and Outputs'!B74 * 'Inputs and Outputs'!B31 * (1+'Inputs and Outputs'!B85/100)^8</f>
        <v>0</v>
      </c>
      <c r="K19" s="17">
        <f>-'Inputs and Outputs'!B74 * 'Inputs and Outputs'!B31 * (1+'Inputs and Outputs'!B85/100)^9</f>
        <v>0</v>
      </c>
      <c r="L19" s="17">
        <f>-'Inputs and Outputs'!B74 * 'Inputs and Outputs'!B31 * (1+'Inputs and Outputs'!B85/100)^10</f>
        <v>0</v>
      </c>
      <c r="M19" s="17">
        <f>-'Inputs and Outputs'!B74 * 'Inputs and Outputs'!B31 * (1+'Inputs and Outputs'!B85/100)^11</f>
        <v>0</v>
      </c>
      <c r="N19" s="17">
        <f>-'Inputs and Outputs'!B74 * 'Inputs and Outputs'!B31 * (1+'Inputs and Outputs'!B85/100)^12</f>
        <v>0</v>
      </c>
      <c r="O19" s="17">
        <f>-'Inputs and Outputs'!B74 * 'Inputs and Outputs'!B31 * (1+'Inputs and Outputs'!B85/100)^13</f>
        <v>0</v>
      </c>
      <c r="P19" s="17">
        <f>-'Inputs and Outputs'!B74 * 'Inputs and Outputs'!B31 * (1+'Inputs and Outputs'!B85/100)^14</f>
        <v>0</v>
      </c>
      <c r="Q19" s="17">
        <f>-'Inputs and Outputs'!B74 * 'Inputs and Outputs'!B31 * (1+'Inputs and Outputs'!B85/100)^15</f>
        <v>0</v>
      </c>
      <c r="R19" s="17">
        <f>-'Inputs and Outputs'!B74 * 'Inputs and Outputs'!B31 * (1+'Inputs and Outputs'!B85/100)^16</f>
        <v>0</v>
      </c>
      <c r="S19" s="17">
        <f>-'Inputs and Outputs'!B74 * 'Inputs and Outputs'!B31 * (1+'Inputs and Outputs'!B85/100)^17</f>
        <v>0</v>
      </c>
      <c r="T19" s="17">
        <f>-'Inputs and Outputs'!B74 * 'Inputs and Outputs'!B31 * (1+'Inputs and Outputs'!B85/100)^18</f>
        <v>0</v>
      </c>
      <c r="U19" s="17">
        <f>-'Inputs and Outputs'!B74 * 'Inputs and Outputs'!B31 * (1+'Inputs and Outputs'!B85/100)^19</f>
        <v>0</v>
      </c>
      <c r="V19" s="17">
        <f>-'Inputs and Outputs'!B74 * 'Inputs and Outputs'!B31 * (1+'Inputs and Outputs'!B85/100)^20</f>
        <v>0</v>
      </c>
      <c r="W19" s="17">
        <f>-'Inputs and Outputs'!B74 * 'Inputs and Outputs'!B31 * (1+'Inputs and Outputs'!B85/100)^21</f>
        <v>0</v>
      </c>
      <c r="X19" s="17">
        <f>-'Inputs and Outputs'!B74 * 'Inputs and Outputs'!B31 * (1+'Inputs and Outputs'!B85/100)^22</f>
        <v>0</v>
      </c>
      <c r="Y19" s="17">
        <f>-'Inputs and Outputs'!B74 * 'Inputs and Outputs'!B31 * (1+'Inputs and Outputs'!B85/100)^23</f>
        <v>0</v>
      </c>
      <c r="Z19" s="17">
        <f>-'Inputs and Outputs'!B74 * 'Inputs and Outputs'!B31 * (1+'Inputs and Outputs'!B85/100)^24</f>
        <v>0</v>
      </c>
      <c r="AA19" s="17">
        <f>-'Inputs and Outputs'!B74 * 'Inputs and Outputs'!B31 * (1+'Inputs and Outputs'!B85/100)^25</f>
        <v>0</v>
      </c>
    </row>
    <row r="20" spans="1:27">
      <c r="A20" s="18" t="s">
        <v>192</v>
      </c>
      <c r="C20" s="17">
        <f>-'Inputs and Outputs'!B75 * 'Inputs and Outputs'!B13 * 'Inputs and Outputs'!B32 * (1+'Inputs and Outputs'!B85/100)^1</f>
        <v>0</v>
      </c>
      <c r="D20" s="17">
        <f>-'Inputs and Outputs'!B75 * 'Inputs and Outputs'!B13 * 'Inputs and Outputs'!B32 * (1+'Inputs and Outputs'!B85/100)^2</f>
        <v>0</v>
      </c>
      <c r="E20" s="17">
        <f>-'Inputs and Outputs'!B75 * 'Inputs and Outputs'!B13 * 'Inputs and Outputs'!B32 * (1+'Inputs and Outputs'!B85/100)^3</f>
        <v>0</v>
      </c>
      <c r="F20" s="17">
        <f>-'Inputs and Outputs'!B75 * 'Inputs and Outputs'!B13 * 'Inputs and Outputs'!B32 * (1+'Inputs and Outputs'!B85/100)^4</f>
        <v>0</v>
      </c>
      <c r="G20" s="17">
        <f>-'Inputs and Outputs'!B75 * 'Inputs and Outputs'!B13 * 'Inputs and Outputs'!B32 * (1+'Inputs and Outputs'!B85/100)^5</f>
        <v>0</v>
      </c>
      <c r="H20" s="17">
        <f>-'Inputs and Outputs'!B75 * 'Inputs and Outputs'!B13 * 'Inputs and Outputs'!B32 * (1+'Inputs and Outputs'!B85/100)^6</f>
        <v>0</v>
      </c>
      <c r="I20" s="17">
        <f>-'Inputs and Outputs'!B75 * 'Inputs and Outputs'!B13 * 'Inputs and Outputs'!B32 * (1+'Inputs and Outputs'!B85/100)^7</f>
        <v>0</v>
      </c>
      <c r="J20" s="17">
        <f>-'Inputs and Outputs'!B75 * 'Inputs and Outputs'!B13 * 'Inputs and Outputs'!B32 * (1+'Inputs and Outputs'!B85/100)^8</f>
        <v>0</v>
      </c>
      <c r="K20" s="17">
        <f>-'Inputs and Outputs'!B75 * 'Inputs and Outputs'!B13 * 'Inputs and Outputs'!B32 * (1+'Inputs and Outputs'!B85/100)^9</f>
        <v>0</v>
      </c>
      <c r="L20" s="17">
        <f>-'Inputs and Outputs'!B75 * 'Inputs and Outputs'!B13 * 'Inputs and Outputs'!B32 * (1+'Inputs and Outputs'!B85/100)^10</f>
        <v>0</v>
      </c>
      <c r="M20" s="17">
        <f>-'Inputs and Outputs'!B75 * 'Inputs and Outputs'!B13 * 'Inputs and Outputs'!B32 * (1+'Inputs and Outputs'!B85/100)^11</f>
        <v>0</v>
      </c>
      <c r="N20" s="17">
        <f>-'Inputs and Outputs'!B75 * 'Inputs and Outputs'!B13 * 'Inputs and Outputs'!B32 * (1+'Inputs and Outputs'!B85/100)^12</f>
        <v>0</v>
      </c>
      <c r="O20" s="17">
        <f>-'Inputs and Outputs'!B75 * 'Inputs and Outputs'!B13 * 'Inputs and Outputs'!B32 * (1+'Inputs and Outputs'!B85/100)^13</f>
        <v>0</v>
      </c>
      <c r="P20" s="17">
        <f>-'Inputs and Outputs'!B75 * 'Inputs and Outputs'!B13 * 'Inputs and Outputs'!B32 * (1+'Inputs and Outputs'!B85/100)^14</f>
        <v>0</v>
      </c>
      <c r="Q20" s="17">
        <f>-'Inputs and Outputs'!B75 * 'Inputs and Outputs'!B13 * 'Inputs and Outputs'!B32 * (1+'Inputs and Outputs'!B85/100)^15</f>
        <v>0</v>
      </c>
      <c r="R20" s="17">
        <f>-'Inputs and Outputs'!B75 * 'Inputs and Outputs'!B13 * 'Inputs and Outputs'!B32 * (1+'Inputs and Outputs'!B85/100)^16</f>
        <v>0</v>
      </c>
      <c r="S20" s="17">
        <f>-'Inputs and Outputs'!B75 * 'Inputs and Outputs'!B13 * 'Inputs and Outputs'!B32 * (1+'Inputs and Outputs'!B85/100)^17</f>
        <v>0</v>
      </c>
      <c r="T20" s="17">
        <f>-'Inputs and Outputs'!B75 * 'Inputs and Outputs'!B13 * 'Inputs and Outputs'!B32 * (1+'Inputs and Outputs'!B85/100)^18</f>
        <v>0</v>
      </c>
      <c r="U20" s="17">
        <f>-'Inputs and Outputs'!B75 * 'Inputs and Outputs'!B13 * 'Inputs and Outputs'!B32 * (1+'Inputs and Outputs'!B85/100)^19</f>
        <v>0</v>
      </c>
      <c r="V20" s="17">
        <f>-'Inputs and Outputs'!B75 * 'Inputs and Outputs'!B13 * 'Inputs and Outputs'!B32 * (1+'Inputs and Outputs'!B85/100)^20</f>
        <v>0</v>
      </c>
      <c r="W20" s="17">
        <f>-'Inputs and Outputs'!B75 * 'Inputs and Outputs'!B13 * 'Inputs and Outputs'!B32 * (1+'Inputs and Outputs'!B85/100)^21</f>
        <v>0</v>
      </c>
      <c r="X20" s="17">
        <f>-'Inputs and Outputs'!B75 * 'Inputs and Outputs'!B13 * 'Inputs and Outputs'!B32 * (1+'Inputs and Outputs'!B85/100)^22</f>
        <v>0</v>
      </c>
      <c r="Y20" s="17">
        <f>-'Inputs and Outputs'!B75 * 'Inputs and Outputs'!B13 * 'Inputs and Outputs'!B32 * (1+'Inputs and Outputs'!B85/100)^23</f>
        <v>0</v>
      </c>
      <c r="Z20" s="17">
        <f>-'Inputs and Outputs'!B75 * 'Inputs and Outputs'!B13 * 'Inputs and Outputs'!B32 * (1+'Inputs and Outputs'!B85/100)^24</f>
        <v>0</v>
      </c>
      <c r="AA20" s="17">
        <f>-'Inputs and Outputs'!B75 * 'Inputs and Outputs'!B13 * 'Inputs and Outputs'!B32 * (1+'Inputs and Outputs'!B85/100)^25</f>
        <v>0</v>
      </c>
    </row>
    <row r="21" spans="1:27">
      <c r="A21" s="18" t="s">
        <v>193</v>
      </c>
      <c r="C21" s="17">
        <f>-'Inputs and Outputs'!B76 * 'Inputs and Outputs'!B14 * (1+'Inputs and Outputs'!B85/100)^1</f>
        <v>0</v>
      </c>
      <c r="D21" s="17">
        <f>-'Inputs and Outputs'!B76 * 'Inputs and Outputs'!B14 * (1+'Inputs and Outputs'!B85/100)^2</f>
        <v>0</v>
      </c>
      <c r="E21" s="17">
        <f>-'Inputs and Outputs'!B76 * 'Inputs and Outputs'!B14 * (1+'Inputs and Outputs'!B85/100)^3</f>
        <v>0</v>
      </c>
      <c r="F21" s="17">
        <f>-'Inputs and Outputs'!B76 * 'Inputs and Outputs'!B14 * (1+'Inputs and Outputs'!B85/100)^4</f>
        <v>0</v>
      </c>
      <c r="G21" s="17">
        <f>-'Inputs and Outputs'!B76 * 'Inputs and Outputs'!B14 * (1+'Inputs and Outputs'!B85/100)^5</f>
        <v>0</v>
      </c>
      <c r="H21" s="17">
        <f>-'Inputs and Outputs'!B76 * 'Inputs and Outputs'!B14 * (1+'Inputs and Outputs'!B85/100)^6</f>
        <v>0</v>
      </c>
      <c r="I21" s="17">
        <f>-'Inputs and Outputs'!B76 * 'Inputs and Outputs'!B14 * (1+'Inputs and Outputs'!B85/100)^7</f>
        <v>0</v>
      </c>
      <c r="J21" s="17">
        <f>-'Inputs and Outputs'!B76 * 'Inputs and Outputs'!B14 * (1+'Inputs and Outputs'!B85/100)^8</f>
        <v>0</v>
      </c>
      <c r="K21" s="17">
        <f>-'Inputs and Outputs'!B76 * 'Inputs and Outputs'!B14 * (1+'Inputs and Outputs'!B85/100)^9</f>
        <v>0</v>
      </c>
      <c r="L21" s="17">
        <f>-'Inputs and Outputs'!B76 * 'Inputs and Outputs'!B14 * (1+'Inputs and Outputs'!B85/100)^10</f>
        <v>0</v>
      </c>
      <c r="M21" s="17">
        <f>-'Inputs and Outputs'!B76 * 'Inputs and Outputs'!B14 * (1+'Inputs and Outputs'!B85/100)^11</f>
        <v>0</v>
      </c>
      <c r="N21" s="17">
        <f>-'Inputs and Outputs'!B76 * 'Inputs and Outputs'!B14 * (1+'Inputs and Outputs'!B85/100)^12</f>
        <v>0</v>
      </c>
      <c r="O21" s="17">
        <f>-'Inputs and Outputs'!B76 * 'Inputs and Outputs'!B14 * (1+'Inputs and Outputs'!B85/100)^13</f>
        <v>0</v>
      </c>
      <c r="P21" s="17">
        <f>-'Inputs and Outputs'!B76 * 'Inputs and Outputs'!B14 * (1+'Inputs and Outputs'!B85/100)^14</f>
        <v>0</v>
      </c>
      <c r="Q21" s="17">
        <f>-'Inputs and Outputs'!B76 * 'Inputs and Outputs'!B14 * (1+'Inputs and Outputs'!B85/100)^15</f>
        <v>0</v>
      </c>
      <c r="R21" s="17">
        <f>-'Inputs and Outputs'!B76 * 'Inputs and Outputs'!B14 * (1+'Inputs and Outputs'!B85/100)^16</f>
        <v>0</v>
      </c>
      <c r="S21" s="17">
        <f>-'Inputs and Outputs'!B76 * 'Inputs and Outputs'!B14 * (1+'Inputs and Outputs'!B85/100)^17</f>
        <v>0</v>
      </c>
      <c r="T21" s="17">
        <f>-'Inputs and Outputs'!B76 * 'Inputs and Outputs'!B14 * (1+'Inputs and Outputs'!B85/100)^18</f>
        <v>0</v>
      </c>
      <c r="U21" s="17">
        <f>-'Inputs and Outputs'!B76 * 'Inputs and Outputs'!B14 * (1+'Inputs and Outputs'!B85/100)^19</f>
        <v>0</v>
      </c>
      <c r="V21" s="17">
        <f>-'Inputs and Outputs'!B76 * 'Inputs and Outputs'!B14 * (1+'Inputs and Outputs'!B85/100)^20</f>
        <v>0</v>
      </c>
      <c r="W21" s="17">
        <f>-'Inputs and Outputs'!B76 * 'Inputs and Outputs'!B14 * (1+'Inputs and Outputs'!B85/100)^21</f>
        <v>0</v>
      </c>
      <c r="X21" s="17">
        <f>-'Inputs and Outputs'!B76 * 'Inputs and Outputs'!B14 * (1+'Inputs and Outputs'!B85/100)^22</f>
        <v>0</v>
      </c>
      <c r="Y21" s="17">
        <f>-'Inputs and Outputs'!B76 * 'Inputs and Outputs'!B14 * (1+'Inputs and Outputs'!B85/100)^23</f>
        <v>0</v>
      </c>
      <c r="Z21" s="17">
        <f>-'Inputs and Outputs'!B76 * 'Inputs and Outputs'!B14 * (1+'Inputs and Outputs'!B85/100)^24</f>
        <v>0</v>
      </c>
      <c r="AA21" s="17">
        <f>-'Inputs and Outputs'!B76 * 'Inputs and Outputs'!B14 * (1+'Inputs and Outputs'!B85/100)^25</f>
        <v>0</v>
      </c>
    </row>
    <row r="22" spans="1:27">
      <c r="A22" s="18" t="s">
        <v>194</v>
      </c>
      <c r="C22" s="17">
        <f>-'Inputs and Outputs'!B77 * 'Inputs and Outputs'!B15 * (1+'Inputs and Outputs'!B85/100)^1</f>
        <v>0</v>
      </c>
      <c r="D22" s="17">
        <f>-'Inputs and Outputs'!B77 * 'Inputs and Outputs'!B15 * (1+'Inputs and Outputs'!B85/100)^2</f>
        <v>0</v>
      </c>
      <c r="E22" s="17">
        <f>-'Inputs and Outputs'!B77 * 'Inputs and Outputs'!B15 * (1+'Inputs and Outputs'!B85/100)^3</f>
        <v>0</v>
      </c>
      <c r="F22" s="17">
        <f>-'Inputs and Outputs'!B77 * 'Inputs and Outputs'!B15 * (1+'Inputs and Outputs'!B85/100)^4</f>
        <v>0</v>
      </c>
      <c r="G22" s="17">
        <f>-'Inputs and Outputs'!B77 * 'Inputs and Outputs'!B15 * (1+'Inputs and Outputs'!B85/100)^5</f>
        <v>0</v>
      </c>
      <c r="H22" s="17">
        <f>-'Inputs and Outputs'!B77 * 'Inputs and Outputs'!B15 * (1+'Inputs and Outputs'!B85/100)^6</f>
        <v>0</v>
      </c>
      <c r="I22" s="17">
        <f>-'Inputs and Outputs'!B77 * 'Inputs and Outputs'!B15 * (1+'Inputs and Outputs'!B85/100)^7</f>
        <v>0</v>
      </c>
      <c r="J22" s="17">
        <f>-'Inputs and Outputs'!B77 * 'Inputs and Outputs'!B15 * (1+'Inputs and Outputs'!B85/100)^8</f>
        <v>0</v>
      </c>
      <c r="K22" s="17">
        <f>-'Inputs and Outputs'!B77 * 'Inputs and Outputs'!B15 * (1+'Inputs and Outputs'!B85/100)^9</f>
        <v>0</v>
      </c>
      <c r="L22" s="17">
        <f>-'Inputs and Outputs'!B77 * 'Inputs and Outputs'!B15 * (1+'Inputs and Outputs'!B85/100)^10</f>
        <v>0</v>
      </c>
      <c r="M22" s="17">
        <f>-'Inputs and Outputs'!B77 * 'Inputs and Outputs'!B15 * (1+'Inputs and Outputs'!B85/100)^11</f>
        <v>0</v>
      </c>
      <c r="N22" s="17">
        <f>-'Inputs and Outputs'!B77 * 'Inputs and Outputs'!B15 * (1+'Inputs and Outputs'!B85/100)^12</f>
        <v>0</v>
      </c>
      <c r="O22" s="17">
        <f>-'Inputs and Outputs'!B77 * 'Inputs and Outputs'!B15 * (1+'Inputs and Outputs'!B85/100)^13</f>
        <v>0</v>
      </c>
      <c r="P22" s="17">
        <f>-'Inputs and Outputs'!B77 * 'Inputs and Outputs'!B15 * (1+'Inputs and Outputs'!B85/100)^14</f>
        <v>0</v>
      </c>
      <c r="Q22" s="17">
        <f>-'Inputs and Outputs'!B77 * 'Inputs and Outputs'!B15 * (1+'Inputs and Outputs'!B85/100)^15</f>
        <v>0</v>
      </c>
      <c r="R22" s="17">
        <f>-'Inputs and Outputs'!B77 * 'Inputs and Outputs'!B15 * (1+'Inputs and Outputs'!B85/100)^16</f>
        <v>0</v>
      </c>
      <c r="S22" s="17">
        <f>-'Inputs and Outputs'!B77 * 'Inputs and Outputs'!B15 * (1+'Inputs and Outputs'!B85/100)^17</f>
        <v>0</v>
      </c>
      <c r="T22" s="17">
        <f>-'Inputs and Outputs'!B77 * 'Inputs and Outputs'!B15 * (1+'Inputs and Outputs'!B85/100)^18</f>
        <v>0</v>
      </c>
      <c r="U22" s="17">
        <f>-'Inputs and Outputs'!B77 * 'Inputs and Outputs'!B15 * (1+'Inputs and Outputs'!B85/100)^19</f>
        <v>0</v>
      </c>
      <c r="V22" s="17">
        <f>-'Inputs and Outputs'!B77 * 'Inputs and Outputs'!B15 * (1+'Inputs and Outputs'!B85/100)^20</f>
        <v>0</v>
      </c>
      <c r="W22" s="17">
        <f>-'Inputs and Outputs'!B77 * 'Inputs and Outputs'!B15 * (1+'Inputs and Outputs'!B85/100)^21</f>
        <v>0</v>
      </c>
      <c r="X22" s="17">
        <f>-'Inputs and Outputs'!B77 * 'Inputs and Outputs'!B15 * (1+'Inputs and Outputs'!B85/100)^22</f>
        <v>0</v>
      </c>
      <c r="Y22" s="17">
        <f>-'Inputs and Outputs'!B77 * 'Inputs and Outputs'!B15 * (1+'Inputs and Outputs'!B85/100)^23</f>
        <v>0</v>
      </c>
      <c r="Z22" s="17">
        <f>-'Inputs and Outputs'!B77 * 'Inputs and Outputs'!B15 * (1+'Inputs and Outputs'!B85/100)^24</f>
        <v>0</v>
      </c>
      <c r="AA22" s="17">
        <f>-'Inputs and Outputs'!B77 * 'Inputs and Outputs'!B15 * (1+'Inputs and Outputs'!B85/100)^25</f>
        <v>0</v>
      </c>
    </row>
    <row r="23" spans="1:27">
      <c r="A23" s="18" t="s">
        <v>195</v>
      </c>
      <c r="C23" s="17">
        <f>-'Inputs and Outputs'!B78 * 'Inputs and Outputs'!B16 * (1+'Inputs and Outputs'!B85/100)^1</f>
        <v>0</v>
      </c>
      <c r="D23" s="17">
        <f>-'Inputs and Outputs'!B78 * 'Inputs and Outputs'!B16 * (1+'Inputs and Outputs'!B85/100)^2</f>
        <v>0</v>
      </c>
      <c r="E23" s="17">
        <f>-'Inputs and Outputs'!B78 * 'Inputs and Outputs'!B16 * (1+'Inputs and Outputs'!B85/100)^3</f>
        <v>0</v>
      </c>
      <c r="F23" s="17">
        <f>-'Inputs and Outputs'!B78 * 'Inputs and Outputs'!B16 * (1+'Inputs and Outputs'!B85/100)^4</f>
        <v>0</v>
      </c>
      <c r="G23" s="17">
        <f>-'Inputs and Outputs'!B78 * 'Inputs and Outputs'!B16 * (1+'Inputs and Outputs'!B85/100)^5</f>
        <v>0</v>
      </c>
      <c r="H23" s="17">
        <f>-'Inputs and Outputs'!B78 * 'Inputs and Outputs'!B16 * (1+'Inputs and Outputs'!B85/100)^6</f>
        <v>0</v>
      </c>
      <c r="I23" s="17">
        <f>-'Inputs and Outputs'!B78 * 'Inputs and Outputs'!B16 * (1+'Inputs and Outputs'!B85/100)^7</f>
        <v>0</v>
      </c>
      <c r="J23" s="17">
        <f>-'Inputs and Outputs'!B78 * 'Inputs and Outputs'!B16 * (1+'Inputs and Outputs'!B85/100)^8</f>
        <v>0</v>
      </c>
      <c r="K23" s="17">
        <f>-'Inputs and Outputs'!B78 * 'Inputs and Outputs'!B16 * (1+'Inputs and Outputs'!B85/100)^9</f>
        <v>0</v>
      </c>
      <c r="L23" s="17">
        <f>-'Inputs and Outputs'!B78 * 'Inputs and Outputs'!B16 * (1+'Inputs and Outputs'!B85/100)^10</f>
        <v>0</v>
      </c>
      <c r="M23" s="17">
        <f>-'Inputs and Outputs'!B78 * 'Inputs and Outputs'!B16 * (1+'Inputs and Outputs'!B85/100)^11</f>
        <v>0</v>
      </c>
      <c r="N23" s="17">
        <f>-'Inputs and Outputs'!B78 * 'Inputs and Outputs'!B16 * (1+'Inputs and Outputs'!B85/100)^12</f>
        <v>0</v>
      </c>
      <c r="O23" s="17">
        <f>-'Inputs and Outputs'!B78 * 'Inputs and Outputs'!B16 * (1+'Inputs and Outputs'!B85/100)^13</f>
        <v>0</v>
      </c>
      <c r="P23" s="17">
        <f>-'Inputs and Outputs'!B78 * 'Inputs and Outputs'!B16 * (1+'Inputs and Outputs'!B85/100)^14</f>
        <v>0</v>
      </c>
      <c r="Q23" s="17">
        <f>-'Inputs and Outputs'!B78 * 'Inputs and Outputs'!B16 * (1+'Inputs and Outputs'!B85/100)^15</f>
        <v>0</v>
      </c>
      <c r="R23" s="17">
        <f>-'Inputs and Outputs'!B78 * 'Inputs and Outputs'!B16 * (1+'Inputs and Outputs'!B85/100)^16</f>
        <v>0</v>
      </c>
      <c r="S23" s="17">
        <f>-'Inputs and Outputs'!B78 * 'Inputs and Outputs'!B16 * (1+'Inputs and Outputs'!B85/100)^17</f>
        <v>0</v>
      </c>
      <c r="T23" s="17">
        <f>-'Inputs and Outputs'!B78 * 'Inputs and Outputs'!B16 * (1+'Inputs and Outputs'!B85/100)^18</f>
        <v>0</v>
      </c>
      <c r="U23" s="17">
        <f>-'Inputs and Outputs'!B78 * 'Inputs and Outputs'!B16 * (1+'Inputs and Outputs'!B85/100)^19</f>
        <v>0</v>
      </c>
      <c r="V23" s="17">
        <f>-'Inputs and Outputs'!B78 * 'Inputs and Outputs'!B16 * (1+'Inputs and Outputs'!B85/100)^20</f>
        <v>0</v>
      </c>
      <c r="W23" s="17">
        <f>-'Inputs and Outputs'!B78 * 'Inputs and Outputs'!B16 * (1+'Inputs and Outputs'!B85/100)^21</f>
        <v>0</v>
      </c>
      <c r="X23" s="17">
        <f>-'Inputs and Outputs'!B78 * 'Inputs and Outputs'!B16 * (1+'Inputs and Outputs'!B85/100)^22</f>
        <v>0</v>
      </c>
      <c r="Y23" s="17">
        <f>-'Inputs and Outputs'!B78 * 'Inputs and Outputs'!B16 * (1+'Inputs and Outputs'!B85/100)^23</f>
        <v>0</v>
      </c>
      <c r="Z23" s="17">
        <f>-'Inputs and Outputs'!B78 * 'Inputs and Outputs'!B16 * (1+'Inputs and Outputs'!B85/100)^24</f>
        <v>0</v>
      </c>
      <c r="AA23" s="17">
        <f>-'Inputs and Outputs'!B78 * 'Inputs and Outputs'!B16 * (1+'Inputs and Outputs'!B85/100)^25</f>
        <v>0</v>
      </c>
    </row>
    <row r="24" spans="1:27">
      <c r="A24" s="18" t="s">
        <v>196</v>
      </c>
      <c r="C24" s="17">
        <f>-'Inputs and Outputs'!B79 * 'Inputs and Outputs'!B17 * (1+'Inputs and Outputs'!B85/100)^1</f>
        <v>0</v>
      </c>
      <c r="D24" s="17">
        <f>-'Inputs and Outputs'!B79 * 'Inputs and Outputs'!B17 * (1+'Inputs and Outputs'!B85/100)^2</f>
        <v>0</v>
      </c>
      <c r="E24" s="17">
        <f>-'Inputs and Outputs'!B79 * 'Inputs and Outputs'!B17 * (1+'Inputs and Outputs'!B85/100)^3</f>
        <v>0</v>
      </c>
      <c r="F24" s="17">
        <f>-'Inputs and Outputs'!B79 * 'Inputs and Outputs'!B17 * (1+'Inputs and Outputs'!B85/100)^4</f>
        <v>0</v>
      </c>
      <c r="G24" s="17">
        <f>-'Inputs and Outputs'!B79 * 'Inputs and Outputs'!B17 * (1+'Inputs and Outputs'!B85/100)^5</f>
        <v>0</v>
      </c>
      <c r="H24" s="17">
        <f>-'Inputs and Outputs'!B79 * 'Inputs and Outputs'!B17 * (1+'Inputs and Outputs'!B85/100)^6</f>
        <v>0</v>
      </c>
      <c r="I24" s="17">
        <f>-'Inputs and Outputs'!B79 * 'Inputs and Outputs'!B17 * (1+'Inputs and Outputs'!B85/100)^7</f>
        <v>0</v>
      </c>
      <c r="J24" s="17">
        <f>-'Inputs and Outputs'!B79 * 'Inputs and Outputs'!B17 * (1+'Inputs and Outputs'!B85/100)^8</f>
        <v>0</v>
      </c>
      <c r="K24" s="17">
        <f>-'Inputs and Outputs'!B79 * 'Inputs and Outputs'!B17 * (1+'Inputs and Outputs'!B85/100)^9</f>
        <v>0</v>
      </c>
      <c r="L24" s="17">
        <f>-'Inputs and Outputs'!B79 * 'Inputs and Outputs'!B17 * (1+'Inputs and Outputs'!B85/100)^10</f>
        <v>0</v>
      </c>
      <c r="M24" s="17">
        <f>-'Inputs and Outputs'!B79 * 'Inputs and Outputs'!B17 * (1+'Inputs and Outputs'!B85/100)^11</f>
        <v>0</v>
      </c>
      <c r="N24" s="17">
        <f>-'Inputs and Outputs'!B79 * 'Inputs and Outputs'!B17 * (1+'Inputs and Outputs'!B85/100)^12</f>
        <v>0</v>
      </c>
      <c r="O24" s="17">
        <f>-'Inputs and Outputs'!B79 * 'Inputs and Outputs'!B17 * (1+'Inputs and Outputs'!B85/100)^13</f>
        <v>0</v>
      </c>
      <c r="P24" s="17">
        <f>-'Inputs and Outputs'!B79 * 'Inputs and Outputs'!B17 * (1+'Inputs and Outputs'!B85/100)^14</f>
        <v>0</v>
      </c>
      <c r="Q24" s="17">
        <f>-'Inputs and Outputs'!B79 * 'Inputs and Outputs'!B17 * (1+'Inputs and Outputs'!B85/100)^15</f>
        <v>0</v>
      </c>
      <c r="R24" s="17">
        <f>-'Inputs and Outputs'!B79 * 'Inputs and Outputs'!B17 * (1+'Inputs and Outputs'!B85/100)^16</f>
        <v>0</v>
      </c>
      <c r="S24" s="17">
        <f>-'Inputs and Outputs'!B79 * 'Inputs and Outputs'!B17 * (1+'Inputs and Outputs'!B85/100)^17</f>
        <v>0</v>
      </c>
      <c r="T24" s="17">
        <f>-'Inputs and Outputs'!B79 * 'Inputs and Outputs'!B17 * (1+'Inputs and Outputs'!B85/100)^18</f>
        <v>0</v>
      </c>
      <c r="U24" s="17">
        <f>-'Inputs and Outputs'!B79 * 'Inputs and Outputs'!B17 * (1+'Inputs and Outputs'!B85/100)^19</f>
        <v>0</v>
      </c>
      <c r="V24" s="17">
        <f>-'Inputs and Outputs'!B79 * 'Inputs and Outputs'!B17 * (1+'Inputs and Outputs'!B85/100)^20</f>
        <v>0</v>
      </c>
      <c r="W24" s="17">
        <f>-'Inputs and Outputs'!B79 * 'Inputs and Outputs'!B17 * (1+'Inputs and Outputs'!B85/100)^21</f>
        <v>0</v>
      </c>
      <c r="X24" s="17">
        <f>-'Inputs and Outputs'!B79 * 'Inputs and Outputs'!B17 * (1+'Inputs and Outputs'!B85/100)^22</f>
        <v>0</v>
      </c>
      <c r="Y24" s="17">
        <f>-'Inputs and Outputs'!B79 * 'Inputs and Outputs'!B17 * (1+'Inputs and Outputs'!B85/100)^23</f>
        <v>0</v>
      </c>
      <c r="Z24" s="17">
        <f>-'Inputs and Outputs'!B79 * 'Inputs and Outputs'!B17 * (1+'Inputs and Outputs'!B85/100)^24</f>
        <v>0</v>
      </c>
      <c r="AA24" s="17">
        <f>-'Inputs and Outputs'!B79 * 'Inputs and Outputs'!B17 * (1+'Inputs and Outputs'!B85/100)^25</f>
        <v>0</v>
      </c>
    </row>
    <row r="25" spans="1:27">
      <c r="A25" s="18" t="s">
        <v>197</v>
      </c>
      <c r="C25" s="17">
        <f>-'Inputs and Outputs'!B80 * 'Inputs and Outputs'!B33 * (1+'Inputs and Outputs'!B85/100)^1</f>
        <v>0</v>
      </c>
      <c r="D25" s="17">
        <f>-'Inputs and Outputs'!B80 * 'Inputs and Outputs'!B33 * (1+'Inputs and Outputs'!B85/100)^2</f>
        <v>0</v>
      </c>
      <c r="E25" s="17">
        <f>-'Inputs and Outputs'!B80 * 'Inputs and Outputs'!B33 * (1+'Inputs and Outputs'!B85/100)^3</f>
        <v>0</v>
      </c>
      <c r="F25" s="17">
        <f>-'Inputs and Outputs'!B80 * 'Inputs and Outputs'!B33 * (1+'Inputs and Outputs'!B85/100)^4</f>
        <v>0</v>
      </c>
      <c r="G25" s="17">
        <f>-'Inputs and Outputs'!B80 * 'Inputs and Outputs'!B33 * (1+'Inputs and Outputs'!B85/100)^5</f>
        <v>0</v>
      </c>
      <c r="H25" s="17">
        <f>-'Inputs and Outputs'!B80 * 'Inputs and Outputs'!B33 * (1+'Inputs and Outputs'!B85/100)^6</f>
        <v>0</v>
      </c>
      <c r="I25" s="17">
        <f>-'Inputs and Outputs'!B80 * 'Inputs and Outputs'!B33 * (1+'Inputs and Outputs'!B85/100)^7</f>
        <v>0</v>
      </c>
      <c r="J25" s="17">
        <f>-'Inputs and Outputs'!B80 * 'Inputs and Outputs'!B33 * (1+'Inputs and Outputs'!B85/100)^8</f>
        <v>0</v>
      </c>
      <c r="K25" s="17">
        <f>-'Inputs and Outputs'!B80 * 'Inputs and Outputs'!B33 * (1+'Inputs and Outputs'!B85/100)^9</f>
        <v>0</v>
      </c>
      <c r="L25" s="17">
        <f>-'Inputs and Outputs'!B80 * 'Inputs and Outputs'!B33 * (1+'Inputs and Outputs'!B85/100)^10</f>
        <v>0</v>
      </c>
      <c r="M25" s="17">
        <f>-'Inputs and Outputs'!B80 * 'Inputs and Outputs'!B33 * (1+'Inputs and Outputs'!B85/100)^11</f>
        <v>0</v>
      </c>
      <c r="N25" s="17">
        <f>-'Inputs and Outputs'!B80 * 'Inputs and Outputs'!B33 * (1+'Inputs and Outputs'!B85/100)^12</f>
        <v>0</v>
      </c>
      <c r="O25" s="17">
        <f>-'Inputs and Outputs'!B80 * 'Inputs and Outputs'!B33 * (1+'Inputs and Outputs'!B85/100)^13</f>
        <v>0</v>
      </c>
      <c r="P25" s="17">
        <f>-'Inputs and Outputs'!B80 * 'Inputs and Outputs'!B33 * (1+'Inputs and Outputs'!B85/100)^14</f>
        <v>0</v>
      </c>
      <c r="Q25" s="17">
        <f>-'Inputs and Outputs'!B80 * 'Inputs and Outputs'!B33 * (1+'Inputs and Outputs'!B85/100)^15</f>
        <v>0</v>
      </c>
      <c r="R25" s="17">
        <f>-'Inputs and Outputs'!B80 * 'Inputs and Outputs'!B33 * (1+'Inputs and Outputs'!B85/100)^16</f>
        <v>0</v>
      </c>
      <c r="S25" s="17">
        <f>-'Inputs and Outputs'!B80 * 'Inputs and Outputs'!B33 * (1+'Inputs and Outputs'!B85/100)^17</f>
        <v>0</v>
      </c>
      <c r="T25" s="17">
        <f>-'Inputs and Outputs'!B80 * 'Inputs and Outputs'!B33 * (1+'Inputs and Outputs'!B85/100)^18</f>
        <v>0</v>
      </c>
      <c r="U25" s="17">
        <f>-'Inputs and Outputs'!B80 * 'Inputs and Outputs'!B33 * (1+'Inputs and Outputs'!B85/100)^19</f>
        <v>0</v>
      </c>
      <c r="V25" s="17">
        <f>-'Inputs and Outputs'!B80 * 'Inputs and Outputs'!B33 * (1+'Inputs and Outputs'!B85/100)^20</f>
        <v>0</v>
      </c>
      <c r="W25" s="17">
        <f>-'Inputs and Outputs'!B80 * 'Inputs and Outputs'!B33 * (1+'Inputs and Outputs'!B85/100)^21</f>
        <v>0</v>
      </c>
      <c r="X25" s="17">
        <f>-'Inputs and Outputs'!B80 * 'Inputs and Outputs'!B33 * (1+'Inputs and Outputs'!B85/100)^22</f>
        <v>0</v>
      </c>
      <c r="Y25" s="17">
        <f>-'Inputs and Outputs'!B80 * 'Inputs and Outputs'!B33 * (1+'Inputs and Outputs'!B85/100)^23</f>
        <v>0</v>
      </c>
      <c r="Z25" s="17">
        <f>-'Inputs and Outputs'!B80 * 'Inputs and Outputs'!B33 * (1+'Inputs and Outputs'!B85/100)^24</f>
        <v>0</v>
      </c>
      <c r="AA25" s="17">
        <f>-'Inputs and Outputs'!B80 * 'Inputs and Outputs'!B33 * (1+'Inputs and Outputs'!B85/100)^25</f>
        <v>0</v>
      </c>
    </row>
    <row r="26" spans="1:27">
      <c r="A26" s="18" t="s">
        <v>198</v>
      </c>
      <c r="C26" s="17">
        <f>-'Inputs and Outputs'!B81 * (1+'Inputs and Outputs'!B85/100)^1</f>
        <v>0</v>
      </c>
      <c r="D26" s="17">
        <f>-'Inputs and Outputs'!B81 * (1+'Inputs and Outputs'!B85/100)^2</f>
        <v>0</v>
      </c>
      <c r="E26" s="17">
        <f>-'Inputs and Outputs'!B81 * (1+'Inputs and Outputs'!B85/100)^3</f>
        <v>0</v>
      </c>
      <c r="F26" s="17">
        <f>-'Inputs and Outputs'!B81 * (1+'Inputs and Outputs'!B85/100)^4</f>
        <v>0</v>
      </c>
      <c r="G26" s="17">
        <f>-'Inputs and Outputs'!B81 * (1+'Inputs and Outputs'!B85/100)^5</f>
        <v>0</v>
      </c>
      <c r="H26" s="17">
        <f>-'Inputs and Outputs'!B81 * (1+'Inputs and Outputs'!B85/100)^6</f>
        <v>0</v>
      </c>
      <c r="I26" s="17">
        <f>-'Inputs and Outputs'!B81 * (1+'Inputs and Outputs'!B85/100)^7</f>
        <v>0</v>
      </c>
      <c r="J26" s="17">
        <f>-'Inputs and Outputs'!B81 * (1+'Inputs and Outputs'!B85/100)^8</f>
        <v>0</v>
      </c>
      <c r="K26" s="17">
        <f>-'Inputs and Outputs'!B81 * (1+'Inputs and Outputs'!B85/100)^9</f>
        <v>0</v>
      </c>
      <c r="L26" s="17">
        <f>-'Inputs and Outputs'!B81 * (1+'Inputs and Outputs'!B85/100)^10</f>
        <v>0</v>
      </c>
      <c r="M26" s="17">
        <f>-'Inputs and Outputs'!B81 * (1+'Inputs and Outputs'!B85/100)^11</f>
        <v>0</v>
      </c>
      <c r="N26" s="17">
        <f>-'Inputs and Outputs'!B81 * (1+'Inputs and Outputs'!B85/100)^12</f>
        <v>0</v>
      </c>
      <c r="O26" s="17">
        <f>-'Inputs and Outputs'!B81 * (1+'Inputs and Outputs'!B85/100)^13</f>
        <v>0</v>
      </c>
      <c r="P26" s="17">
        <f>-'Inputs and Outputs'!B81 * (1+'Inputs and Outputs'!B85/100)^14</f>
        <v>0</v>
      </c>
      <c r="Q26" s="17">
        <f>-'Inputs and Outputs'!B81 * (1+'Inputs and Outputs'!B85/100)^15</f>
        <v>0</v>
      </c>
      <c r="R26" s="17">
        <f>-'Inputs and Outputs'!B81 * (1+'Inputs and Outputs'!B85/100)^16</f>
        <v>0</v>
      </c>
      <c r="S26" s="17">
        <f>-'Inputs and Outputs'!B81 * (1+'Inputs and Outputs'!B85/100)^17</f>
        <v>0</v>
      </c>
      <c r="T26" s="17">
        <f>-'Inputs and Outputs'!B81 * (1+'Inputs and Outputs'!B85/100)^18</f>
        <v>0</v>
      </c>
      <c r="U26" s="17">
        <f>-'Inputs and Outputs'!B81 * (1+'Inputs and Outputs'!B85/100)^19</f>
        <v>0</v>
      </c>
      <c r="V26" s="17">
        <f>-'Inputs and Outputs'!B81 * (1+'Inputs and Outputs'!B85/100)^20</f>
        <v>0</v>
      </c>
      <c r="W26" s="17">
        <f>-'Inputs and Outputs'!B81 * (1+'Inputs and Outputs'!B85/100)^21</f>
        <v>0</v>
      </c>
      <c r="X26" s="17">
        <f>-'Inputs and Outputs'!B81 * (1+'Inputs and Outputs'!B85/100)^22</f>
        <v>0</v>
      </c>
      <c r="Y26" s="17">
        <f>-'Inputs and Outputs'!B81 * (1+'Inputs and Outputs'!B85/100)^23</f>
        <v>0</v>
      </c>
      <c r="Z26" s="17">
        <f>-'Inputs and Outputs'!B81 * (1+'Inputs and Outputs'!B85/100)^24</f>
        <v>0</v>
      </c>
      <c r="AA26" s="17">
        <f>-'Inputs and Outputs'!B81 * (1+'Inputs and Outputs'!B85/100)^25</f>
        <v>0</v>
      </c>
    </row>
    <row r="27" spans="1:27">
      <c r="A27" s="19" t="s">
        <v>199</v>
      </c>
      <c r="B27" s="19"/>
      <c r="C27" s="19">
        <f>SUM(C5:C26)</f>
        <v>0</v>
      </c>
      <c r="D27" s="19">
        <f>SUM(D5:D26)</f>
        <v>0</v>
      </c>
      <c r="E27" s="19">
        <f>SUM(E5:E26)</f>
        <v>0</v>
      </c>
      <c r="F27" s="19">
        <f>SUM(F5:F26)</f>
        <v>0</v>
      </c>
      <c r="G27" s="19">
        <f>SUM(G5:G26)</f>
        <v>0</v>
      </c>
      <c r="H27" s="19">
        <f>SUM(H5:H26)</f>
        <v>0</v>
      </c>
      <c r="I27" s="19">
        <f>SUM(I5:I26)</f>
        <v>0</v>
      </c>
      <c r="J27" s="19">
        <f>SUM(J5:J26)</f>
        <v>0</v>
      </c>
      <c r="K27" s="19">
        <f>SUM(K5:K26)</f>
        <v>0</v>
      </c>
      <c r="L27" s="19">
        <f>SUM(L5:L26)</f>
        <v>0</v>
      </c>
      <c r="M27" s="19">
        <f>SUM(M5:M26)</f>
        <v>0</v>
      </c>
      <c r="N27" s="19">
        <f>SUM(N5:N26)</f>
        <v>0</v>
      </c>
      <c r="O27" s="19">
        <f>SUM(O5:O26)</f>
        <v>0</v>
      </c>
      <c r="P27" s="19">
        <f>SUM(P5:P26)</f>
        <v>0</v>
      </c>
      <c r="Q27" s="19">
        <f>SUM(Q5:Q26)</f>
        <v>0</v>
      </c>
      <c r="R27" s="19">
        <f>SUM(R5:R26)</f>
        <v>0</v>
      </c>
      <c r="S27" s="19">
        <f>SUM(S5:S26)</f>
        <v>0</v>
      </c>
      <c r="T27" s="19">
        <f>SUM(T5:T26)</f>
        <v>0</v>
      </c>
      <c r="U27" s="19">
        <f>SUM(U5:U26)</f>
        <v>0</v>
      </c>
      <c r="V27" s="19">
        <f>SUM(V5:V26)</f>
        <v>0</v>
      </c>
      <c r="W27" s="19">
        <f>SUM(W5:W26)</f>
        <v>0</v>
      </c>
      <c r="X27" s="19">
        <f>SUM(X5:X26)</f>
        <v>0</v>
      </c>
      <c r="Y27" s="19">
        <f>SUM(Y5:Y26)</f>
        <v>0</v>
      </c>
      <c r="Z27" s="19">
        <f>SUM(Z5:Z26)</f>
        <v>0</v>
      </c>
      <c r="AA27" s="19">
        <f>SUM(AA5:AA26)</f>
        <v>0</v>
      </c>
    </row>
    <row r="28" spans="1:27">
      <c r="A28" s="19" t="s">
        <v>200</v>
      </c>
      <c r="B28" s="19"/>
      <c r="C28" s="19">
        <f>IF('Inputs and Outputs'!B92 &gt; 0, C27, 0)</f>
        <v>0</v>
      </c>
      <c r="D28" s="19">
        <f>IF('Inputs and Outputs'!B92 &gt; 0, C27, 0)</f>
        <v>0</v>
      </c>
      <c r="E28" s="19">
        <f>IF('Inputs and Outputs'!B92 &gt; 0, C27, 0)</f>
        <v>0</v>
      </c>
      <c r="F28" s="19">
        <f>IF('Inputs and Outputs'!B92 &gt; 0, C27, 0)</f>
        <v>0</v>
      </c>
      <c r="G28" s="19">
        <f>IF('Inputs and Outputs'!B92 &gt; 0, C27, 0)</f>
        <v>0</v>
      </c>
      <c r="H28" s="19">
        <f>IF('Inputs and Outputs'!B92 &gt; 0, C27, 0)</f>
        <v>0</v>
      </c>
      <c r="I28" s="19">
        <f>IF('Inputs and Outputs'!B92 &gt; 0, C27, 0)</f>
        <v>0</v>
      </c>
      <c r="J28" s="19">
        <f>IF('Inputs and Outputs'!B92 &gt; 0, C27, 0)</f>
        <v>0</v>
      </c>
      <c r="K28" s="19">
        <f>IF('Inputs and Outputs'!B92 &gt; 0, C27, 0)</f>
        <v>0</v>
      </c>
      <c r="L28" s="19">
        <f>IF('Inputs and Outputs'!B92 &gt; 0, C27, 0)</f>
        <v>0</v>
      </c>
      <c r="M28" s="19">
        <f>IF('Inputs and Outputs'!B92 &gt; 0, C27, 0)</f>
        <v>0</v>
      </c>
      <c r="N28" s="19">
        <f>IF('Inputs and Outputs'!B92 &gt; 0, C27, 0)</f>
        <v>0</v>
      </c>
      <c r="O28" s="19">
        <f>IF('Inputs and Outputs'!B92 &gt; 0, C27, 0)</f>
        <v>0</v>
      </c>
      <c r="P28" s="19">
        <f>IF('Inputs and Outputs'!B92 &gt; 0, C27, 0)</f>
        <v>0</v>
      </c>
      <c r="Q28" s="19">
        <f>IF('Inputs and Outputs'!B92 &gt; 0, C27, 0)</f>
        <v>0</v>
      </c>
      <c r="R28" s="19">
        <f>IF('Inputs and Outputs'!B92 &gt; 0, C27, 0)</f>
        <v>0</v>
      </c>
      <c r="S28" s="19">
        <f>IF('Inputs and Outputs'!B92 &gt; 0, C27, 0)</f>
        <v>0</v>
      </c>
      <c r="T28" s="19">
        <f>IF('Inputs and Outputs'!B92 &gt; 0, C27, 0)</f>
        <v>0</v>
      </c>
      <c r="U28" s="19">
        <f>IF('Inputs and Outputs'!B92 &gt; 0, C27, 0)</f>
        <v>0</v>
      </c>
      <c r="V28" s="19">
        <f>IF('Inputs and Outputs'!B92 &gt; 0, C27, 0)</f>
        <v>0</v>
      </c>
      <c r="W28" s="19">
        <f>IF('Inputs and Outputs'!B92 &gt; 0, C27, 0)</f>
        <v>0</v>
      </c>
      <c r="X28" s="19">
        <f>IF('Inputs and Outputs'!B92 &gt; 0, C27, 0)</f>
        <v>0</v>
      </c>
      <c r="Y28" s="19">
        <f>IF('Inputs and Outputs'!B92 &gt; 0, C27, 0)</f>
        <v>0</v>
      </c>
      <c r="Z28" s="19">
        <f>IF('Inputs and Outputs'!B92 &gt; 0, C27, 0)</f>
        <v>0</v>
      </c>
      <c r="AA28" s="19">
        <f>IF('Inputs and Outputs'!B92 &gt; 0, C27, 0)</f>
        <v>0</v>
      </c>
    </row>
    <row r="30" spans="1:27">
      <c r="A30" s="10" t="s">
        <v>201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spans="1:27">
      <c r="A31" s="17" t="s">
        <v>202</v>
      </c>
    </row>
    <row r="32" spans="1:27">
      <c r="A32" s="18" t="s">
        <v>203</v>
      </c>
      <c r="B32" s="17">
        <f>MIN(('Inputs and Outputs'!B102/100)*('Inputs and Outputs'!B52-B33-B38),'Inputs and Outputs'!C102)</f>
        <v>0</v>
      </c>
    </row>
    <row r="33" spans="1:2">
      <c r="A33" s="18" t="s">
        <v>204</v>
      </c>
      <c r="B33" s="17">
        <f>MIN(('Inputs and Outputs'!B103/100)*'Inputs and Outputs'!B52,'Inputs and Outputs'!C103)</f>
        <v>0</v>
      </c>
    </row>
    <row r="34" spans="1:2">
      <c r="A34" s="18" t="s">
        <v>205</v>
      </c>
      <c r="B34" s="17">
        <f>SUM(B32,B33)</f>
        <v>0</v>
      </c>
    </row>
    <row r="35" spans="1:2">
      <c r="A35" s="17" t="s">
        <v>206</v>
      </c>
      <c r="B35" s="17"/>
    </row>
    <row r="36" spans="1:2">
      <c r="A36" s="18" t="s">
        <v>207</v>
      </c>
      <c r="B36" s="17">
        <f>MIN('Inputs and Outputs'!B105*'Inputs and Outputs'!B3*1000,'Inputs and Outputs'!C105)</f>
        <v>0</v>
      </c>
    </row>
    <row r="37" spans="1:2">
      <c r="A37" s="18" t="s">
        <v>208</v>
      </c>
      <c r="B37" s="17">
        <f>MIN('Inputs and Outputs'!B106*'Inputs and Outputs'!B3*1000,'Inputs and Outputs'!C106)</f>
        <v>0</v>
      </c>
    </row>
    <row r="38" spans="1:2">
      <c r="A38" s="18" t="s">
        <v>209</v>
      </c>
      <c r="B38" s="17">
        <f>MIN('Inputs and Outputs'!B107*'Inputs and Outputs'!B3*1000,'Inputs and Outputs'!C107)</f>
        <v>0</v>
      </c>
    </row>
    <row r="39" spans="1:2">
      <c r="A39" s="18" t="s">
        <v>205</v>
      </c>
      <c r="B39" s="17">
        <f>SUM(B36,B37,B38)</f>
        <v>0</v>
      </c>
    </row>
    <row r="40" spans="1:2">
      <c r="A40" s="17" t="s">
        <v>210</v>
      </c>
      <c r="B40" s="17"/>
    </row>
    <row r="41" spans="1:2">
      <c r="A41" s="18" t="s">
        <v>203</v>
      </c>
      <c r="B41" s="17">
        <f>MIN(('Inputs and Outputs'!B119/100)*('Inputs and Outputs'!B53-B42-B47),'Inputs and Outputs'!C119)</f>
        <v>0</v>
      </c>
    </row>
    <row r="42" spans="1:2">
      <c r="A42" s="18" t="s">
        <v>204</v>
      </c>
      <c r="B42" s="17">
        <f>MIN(('Inputs and Outputs'!B120/100)*'Inputs and Outputs'!B53,'Inputs and Outputs'!C120)</f>
        <v>0</v>
      </c>
    </row>
    <row r="43" spans="1:2">
      <c r="A43" s="18" t="s">
        <v>205</v>
      </c>
      <c r="B43" s="17">
        <f>SUM(B41,B42)</f>
        <v>0</v>
      </c>
    </row>
    <row r="44" spans="1:2">
      <c r="A44" s="17" t="s">
        <v>211</v>
      </c>
      <c r="B44" s="17"/>
    </row>
    <row r="45" spans="1:2">
      <c r="A45" s="18" t="s">
        <v>207</v>
      </c>
      <c r="B45" s="17">
        <f>MIN('Inputs and Outputs'!B122*'Inputs and Outputs'!B7*1000,'Inputs and Outputs'!C122)</f>
        <v>0</v>
      </c>
    </row>
    <row r="46" spans="1:2">
      <c r="A46" s="18" t="s">
        <v>208</v>
      </c>
      <c r="B46" s="17">
        <f>MIN('Inputs and Outputs'!B123*'Inputs and Outputs'!B7*1000,'Inputs and Outputs'!C123)</f>
        <v>0</v>
      </c>
    </row>
    <row r="47" spans="1:2">
      <c r="A47" s="18" t="s">
        <v>209</v>
      </c>
      <c r="B47" s="17">
        <f>MIN('Inputs and Outputs'!B124*'Inputs and Outputs'!B7*1000,'Inputs and Outputs'!C124)</f>
        <v>0</v>
      </c>
    </row>
    <row r="48" spans="1:2">
      <c r="A48" s="18" t="s">
        <v>205</v>
      </c>
      <c r="B48" s="17">
        <f>SUM(B45,B46,B47)</f>
        <v>0</v>
      </c>
    </row>
    <row r="49" spans="1:2">
      <c r="A49" s="17" t="s">
        <v>212</v>
      </c>
      <c r="B49" s="17"/>
    </row>
    <row r="50" spans="1:2">
      <c r="A50" s="18" t="s">
        <v>203</v>
      </c>
      <c r="B50" s="17">
        <f>MIN(('Inputs and Outputs'!B136/100)*('Inputs and Outputs'!B55),'Inputs and Outputs'!C136)</f>
        <v>0</v>
      </c>
    </row>
    <row r="51" spans="1:2">
      <c r="A51" s="18" t="s">
        <v>204</v>
      </c>
      <c r="B51" s="17">
        <f>MIN(('Inputs and Outputs'!B137/100)*'Inputs and Outputs'!B55,'Inputs and Outputs'!C137)</f>
        <v>0</v>
      </c>
    </row>
    <row r="52" spans="1:2">
      <c r="A52" s="18" t="s">
        <v>205</v>
      </c>
      <c r="B52" s="17">
        <f>SUM(B50,B51)</f>
        <v>0</v>
      </c>
    </row>
    <row r="53" spans="1:2">
      <c r="A53" s="17" t="s">
        <v>213</v>
      </c>
      <c r="B53" s="17"/>
    </row>
    <row r="54" spans="1:2">
      <c r="A54" s="18" t="s">
        <v>214</v>
      </c>
      <c r="B54" s="17">
        <f>MIN('Inputs and Outputs'!B139*'Inputs and Outputs'!B11*1000,'Inputs and Outputs'!C139)</f>
        <v>0</v>
      </c>
    </row>
    <row r="55" spans="1:2">
      <c r="A55" s="18" t="s">
        <v>215</v>
      </c>
      <c r="B55" s="17">
        <f>MIN('Inputs and Outputs'!B140*'Inputs and Outputs'!B12*1000,'Inputs and Outputs'!C140)</f>
        <v>0</v>
      </c>
    </row>
    <row r="56" spans="1:2">
      <c r="A56" s="18" t="s">
        <v>205</v>
      </c>
      <c r="B56" s="17">
        <f>SUM(B54,B55)</f>
        <v>0</v>
      </c>
    </row>
    <row r="57" spans="1:2">
      <c r="A57" s="17" t="s">
        <v>216</v>
      </c>
      <c r="B57" s="17"/>
    </row>
    <row r="58" spans="1:2">
      <c r="A58" s="18" t="s">
        <v>203</v>
      </c>
      <c r="B58" s="17">
        <f>MIN(('Inputs and Outputs'!B150/100)*('Inputs and Outputs'!B56-B59-B64),'Inputs and Outputs'!C150)</f>
        <v>0</v>
      </c>
    </row>
    <row r="59" spans="1:2">
      <c r="A59" s="18" t="s">
        <v>204</v>
      </c>
      <c r="B59" s="17">
        <f>MIN(('Inputs and Outputs'!B151/100)*'Inputs and Outputs'!B56,'Inputs and Outputs'!C151)</f>
        <v>0</v>
      </c>
    </row>
    <row r="60" spans="1:2">
      <c r="A60" s="18" t="s">
        <v>205</v>
      </c>
      <c r="B60" s="17">
        <f>SUM(B58,B59)</f>
        <v>0</v>
      </c>
    </row>
    <row r="61" spans="1:2">
      <c r="A61" s="17" t="s">
        <v>217</v>
      </c>
      <c r="B61" s="17"/>
    </row>
    <row r="62" spans="1:2">
      <c r="A62" s="18" t="s">
        <v>207</v>
      </c>
      <c r="B62" s="17">
        <f>MIN('Inputs and Outputs'!B153*'Inputs and Outputs'!B13*1000,'Inputs and Outputs'!C153)</f>
        <v>0</v>
      </c>
    </row>
    <row r="63" spans="1:2">
      <c r="A63" s="18" t="s">
        <v>208</v>
      </c>
      <c r="B63" s="17">
        <f>MIN('Inputs and Outputs'!B154*'Inputs and Outputs'!B13*1000,'Inputs and Outputs'!C154)</f>
        <v>0</v>
      </c>
    </row>
    <row r="64" spans="1:2">
      <c r="A64" s="18" t="s">
        <v>209</v>
      </c>
      <c r="B64" s="17">
        <f>MIN('Inputs and Outputs'!B155*'Inputs and Outputs'!B13*1000,'Inputs and Outputs'!C155)</f>
        <v>0</v>
      </c>
    </row>
    <row r="65" spans="1:2">
      <c r="A65" s="18" t="s">
        <v>205</v>
      </c>
      <c r="B65" s="17">
        <f>SUM(B62,B63,B64)</f>
        <v>0</v>
      </c>
    </row>
    <row r="66" spans="1:2">
      <c r="B66" s="17"/>
    </row>
    <row r="67" spans="1:2">
      <c r="A67" s="17" t="s">
        <v>218</v>
      </c>
      <c r="B67" s="17">
        <f>SUM(B34,B39,B43,B48,B52,B56,B60,B65)</f>
        <v>0</v>
      </c>
    </row>
    <row r="68" spans="1:2">
      <c r="B68" s="17"/>
    </row>
    <row r="69" spans="1:2">
      <c r="A69" s="17" t="s">
        <v>219</v>
      </c>
      <c r="B69" s="17"/>
    </row>
    <row r="70" spans="1:2">
      <c r="A70" s="18" t="s">
        <v>203</v>
      </c>
      <c r="B70" s="17">
        <f>MIN(('Inputs and Outputs'!B167/100)*('Inputs and Outputs'!B61-B71-B76),'Inputs and Outputs'!C167)</f>
        <v>0</v>
      </c>
    </row>
    <row r="71" spans="1:2">
      <c r="A71" s="18" t="s">
        <v>204</v>
      </c>
      <c r="B71" s="17">
        <f>MIN(('Inputs and Outputs'!B168/100)*'Inputs and Outputs'!B61,'Inputs and Outputs'!C168)</f>
        <v>0</v>
      </c>
    </row>
    <row r="72" spans="1:2">
      <c r="A72" s="18" t="s">
        <v>205</v>
      </c>
      <c r="B72" s="17">
        <f>SUM(B70,B71)</f>
        <v>0</v>
      </c>
    </row>
    <row r="73" spans="1:2">
      <c r="A73" s="17" t="s">
        <v>220</v>
      </c>
      <c r="B73" s="17"/>
    </row>
    <row r="74" spans="1:2">
      <c r="A74" s="18" t="s">
        <v>207</v>
      </c>
      <c r="B74" s="17">
        <f>MIN('Inputs and Outputs'!B170*'Inputs and Outputs'!B18,'Inputs and Outputs'!C170)</f>
        <v>0</v>
      </c>
    </row>
    <row r="75" spans="1:2">
      <c r="A75" s="18" t="s">
        <v>208</v>
      </c>
      <c r="B75" s="17">
        <f>MIN('Inputs and Outputs'!B171*'Inputs and Outputs'!B18,'Inputs and Outputs'!C171)</f>
        <v>0</v>
      </c>
    </row>
    <row r="76" spans="1:2">
      <c r="A76" s="18" t="s">
        <v>209</v>
      </c>
      <c r="B76" s="17">
        <f>MIN('Inputs and Outputs'!B172*'Inputs and Outputs'!B18,'Inputs and Outputs'!C172)</f>
        <v>0</v>
      </c>
    </row>
    <row r="77" spans="1:2">
      <c r="A77" s="18" t="s">
        <v>205</v>
      </c>
      <c r="B77" s="17">
        <f>SUM(B74,B75,B76)</f>
        <v>0</v>
      </c>
    </row>
    <row r="78" spans="1:2">
      <c r="B78" s="17"/>
    </row>
    <row r="79" spans="1:2">
      <c r="A79" s="17" t="s">
        <v>218</v>
      </c>
      <c r="B79" s="17">
        <f>SUM(B34,B39,B43,B48,B52,B56,B60,B65,B72,B77)</f>
        <v>0</v>
      </c>
    </row>
    <row r="81" spans="1:27">
      <c r="A81" s="17" t="s">
        <v>221</v>
      </c>
    </row>
    <row r="82" spans="1:27">
      <c r="A82" s="18" t="s">
        <v>222</v>
      </c>
      <c r="C82">
        <f t="array" ref="C82:AA82">IF('Inputs and Outputs'!B2:'Inputs and Outputs'!Z2 &lt; 'Inputs and Outputs'!E109, MIN('Inputs and Outputs'!B109 * ('Inputs and Outputs'!C182:'Inputs and Outputs'!AA182 - 'Inputs and Outputs'!C183:'Inputs and Outputs'!AA183), 'Inputs and Outputs'!C109 * (1 - 'Inputs and Outputs'!B5/100)^'Inputs and Outputs'!B2:'Inputs and Outputs'!Z2), 0)</f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>
      <c r="A83" s="18" t="s">
        <v>223</v>
      </c>
      <c r="C83">
        <f t="array" ref="C83:AA83">IF('Inputs and Outputs'!B2:'Inputs and Outputs'!Z2 &lt; 'Inputs and Outputs'!E109, MIN('Inputs and Outputs'!B109 * ('Inputs and Outputs'!C183:'Inputs and Outputs'!AA183), 'Inputs and Outputs'!C109 * (1 - 'Inputs and Outputs'!B5/100)^'Inputs and Outputs'!B2:'Inputs and Outputs'!Z2), 0)</f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8" t="s">
        <v>224</v>
      </c>
      <c r="C84">
        <f t="array" ref="C84:AA84">IF('Inputs and Outputs'!B2:'Inputs and Outputs'!Z2 &lt; 'Inputs and Outputs'!E126, MIN('Inputs and Outputs'!B126 * 'Inputs and Outputs'!C184:'Inputs and Outputs'!AA184, 'Inputs and Outputs'!C126), 0)</f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8" t="s">
        <v>225</v>
      </c>
      <c r="C85">
        <f t="array" ref="C85:AA85">IF('Inputs and Outputs'!B2:'Inputs and Outputs'!Z2 &lt; 'Inputs and Outputs'!E157, MIN('Inputs and Outputs'!B157 * 'Inputs and Outputs'!C186:'Inputs and Outputs'!AA186, 'Inputs and Outputs'!C157), 0)</f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9" t="s">
        <v>226</v>
      </c>
      <c r="B86" s="19">
        <f>IF('Inputs and Outputs'!D102="Yes", B32, 0) + IF('Inputs and Outputs'!D103="Yes", B33, 0) + IF('Inputs and Outputs'!D105="Yes", B36,0) + IF('Inputs and Outputs'!D106="Yes", B37, 0) + IF('Inputs and Outputs'!D107="Yes", B38, 0)+IF('Inputs and Outputs'!D136="Yes", B50, 0)+IF('Inputs and Outputs'!D137="Yes", B51, 0)+IF('Inputs and Outputs'!D139="Yes", B54, 0)+IF('Inputs and Outputs'!D140="Yes", B55, 0)+IF('Inputs and Outputs'!D119="Yes", B41, 0)+IF('Inputs and Outputs'!D120="Yes", B42, 0)+IF('Inputs and Outputs'!D123="Yes", B45, 0)+IF('Inputs and Outputs'!D122="Yes", B46, 0)+IF('Inputs and Outputs'!D124="Yes", B47, 0)+IF('Inputs and Outputs'!D150="Yes", B58, 0)+IF('Inputs and Outputs'!D151="Yes", B59, 0)+IF('Inputs and Outputs'!D154="Yes", B62, 0)+IF('Inputs and Outputs'!D153="Yes", B63, 0)+IF('Inputs and Outputs'!D155="Yes", B64, 0)+IF('Inputs and Outputs'!D167="Yes", B70, 0)+IF('Inputs and Outputs'!D168="Yes", B71, 0)+IF('Inputs and Outputs'!D171="Yes", B74, 0)+IF('Inputs and Outputs'!D170="Yes", B75, 0)+IF('Inputs and Outputs'!D172="Yes", B76, 0)</f>
        <v>0</v>
      </c>
      <c r="C86" s="19">
        <f t="array" ref="C86:AA86">IF('Inputs and Outputs'!D109="Yes", C82:AA82, 0) + IF('Inputs and Outputs'!D109="Yes", C83:AA83, 0) + IF('Inputs and Outputs'!D126="Yes", C84:AA84, 0)+IF('Inputs and Outputs'!D157="Yes", C85:AA85, 0)</f>
        <v>0</v>
      </c>
      <c r="D86" s="19">
        <v>0</v>
      </c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</row>
    <row r="87" spans="1:27">
      <c r="A87" s="19" t="s">
        <v>227</v>
      </c>
      <c r="B87" s="19">
        <f>IF('Inputs and Outputs'!D102="No", B32, 0) + IF('Inputs and Outputs'!D103="No", B33, 0) + IF('Inputs and Outputs'!D105="No", B36,0) + IF('Inputs and Outputs'!D106="No", B37, 0) + IF('Inputs and Outputs'!D107="No", B38, 0) + IF('Inputs and Outputs'!D109="No", B82, 0) + IF('Inputs and Outputs'!D109="No", B83, 0)+IF('Inputs and Outputs'!D136="No", B50, 0)+IF('Inputs and Outputs'!D137="No", B51, 0)+IF('Inputs and Outputs'!D139="No", B54, 0)+IF('Inputs and Outputs'!D140="No", B55, 0)+IF('Inputs and Outputs'!D119="No", B41, 0)+IF('Inputs and Outputs'!D120="No", B42, 0)+IF('Inputs and Outputs'!D123="No", B45, 0)+IF('Inputs and Outputs'!D122="No", B46, 0)+IF('Inputs and Outputs'!D124="No", B47, 0)+IF('Inputs and Outputs'!D126="No", B84, 0)+IF('Inputs and Outputs'!D150="No", B58, 0)+IF('Inputs and Outputs'!D151="No", B59, 0)+IF('Inputs and Outputs'!D154="No", B62, 0)+IF('Inputs and Outputs'!D153="No", B63, 0)+IF('Inputs and Outputs'!D155="No", B64, 0)+IF('Inputs and Outputs'!D157="No", B85, 0)+IF('Inputs and Outputs'!D167="No", B70, 0)+IF('Inputs and Outputs'!D168="No", B71, 0)+IF('Inputs and Outputs'!D171="No", B74, 0)+IF('Inputs and Outputs'!D170="No", B75, 0)+IF('Inputs and Outputs'!D172="No", B76, 0)</f>
        <v>0</v>
      </c>
      <c r="C87" s="19">
        <f t="array" ref="C87:AA87">IF('Inputs and Outputs'!D109="No", C82:AA82, 0) + IF('Inputs and Outputs'!D109="No", C83:AA83, 0) + IF('Inputs and Outputs'!D126="No", C84:AA84, 0)+IF('Inputs and Outputs'!D157="No", C85:AA85, 0)</f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  <c r="X87" s="19">
        <v>0</v>
      </c>
      <c r="Y87" s="19">
        <v>0</v>
      </c>
      <c r="Z87" s="19">
        <v>0</v>
      </c>
      <c r="AA87" s="19">
        <v>0</v>
      </c>
    </row>
    <row r="89" spans="1:27">
      <c r="A89" s="10" t="s">
        <v>228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spans="1:27">
      <c r="A90" s="17" t="s">
        <v>229</v>
      </c>
    </row>
    <row r="91" spans="1:27">
      <c r="A91" s="18" t="s">
        <v>230</v>
      </c>
      <c r="C91" s="17">
        <f>'Inputs and Outputs'!C190</f>
        <v>0</v>
      </c>
      <c r="D91" s="17">
        <f>'Inputs and Outputs'!D190</f>
        <v>0</v>
      </c>
      <c r="E91" s="17">
        <f>'Inputs and Outputs'!E190</f>
        <v>0</v>
      </c>
      <c r="F91" s="17">
        <f>'Inputs and Outputs'!F190</f>
        <v>0</v>
      </c>
      <c r="G91" s="17">
        <f>'Inputs and Outputs'!G190</f>
        <v>0</v>
      </c>
      <c r="H91" s="17">
        <f>'Inputs and Outputs'!H190</f>
        <v>0</v>
      </c>
      <c r="I91" s="17">
        <f>'Inputs and Outputs'!I190</f>
        <v>0</v>
      </c>
      <c r="J91" s="17">
        <f>'Inputs and Outputs'!J190</f>
        <v>0</v>
      </c>
      <c r="K91" s="17">
        <f>'Inputs and Outputs'!K190</f>
        <v>0</v>
      </c>
      <c r="L91" s="17">
        <f>'Inputs and Outputs'!L190</f>
        <v>0</v>
      </c>
      <c r="M91" s="17">
        <f>'Inputs and Outputs'!M190</f>
        <v>0</v>
      </c>
      <c r="N91" s="17">
        <f>'Inputs and Outputs'!N190</f>
        <v>0</v>
      </c>
      <c r="O91" s="17">
        <f>'Inputs and Outputs'!O190</f>
        <v>0</v>
      </c>
      <c r="P91" s="17">
        <f>'Inputs and Outputs'!P190</f>
        <v>0</v>
      </c>
      <c r="Q91" s="17">
        <f>'Inputs and Outputs'!Q190</f>
        <v>0</v>
      </c>
      <c r="R91" s="17">
        <f>'Inputs and Outputs'!R190</f>
        <v>0</v>
      </c>
      <c r="S91" s="17">
        <f>'Inputs and Outputs'!S190</f>
        <v>0</v>
      </c>
      <c r="T91" s="17">
        <f>'Inputs and Outputs'!T190</f>
        <v>0</v>
      </c>
      <c r="U91" s="17">
        <f>'Inputs and Outputs'!U190</f>
        <v>0</v>
      </c>
      <c r="V91" s="17">
        <f>'Inputs and Outputs'!V190</f>
        <v>0</v>
      </c>
      <c r="W91" s="17">
        <f>'Inputs and Outputs'!W190</f>
        <v>0</v>
      </c>
      <c r="X91" s="17">
        <f>'Inputs and Outputs'!X190</f>
        <v>0</v>
      </c>
      <c r="Y91" s="17">
        <f>'Inputs and Outputs'!Y190</f>
        <v>0</v>
      </c>
      <c r="Z91" s="17">
        <f>'Inputs and Outputs'!Z190</f>
        <v>0</v>
      </c>
      <c r="AA91" s="17">
        <f>'Inputs and Outputs'!AA190</f>
        <v>0</v>
      </c>
    </row>
    <row r="92" spans="1:27">
      <c r="A92" s="18" t="s">
        <v>231</v>
      </c>
      <c r="B92" s="17">
        <f>IF(OR('Inputs and Outputs'!B177=5,'Inputs and Outputs'!B177=7),(B142-IF('Inputs and Outputs'!D97="Yes",0.5*MIN('Inputs and Outputs'!B97/100*B142,'Inputs and Outputs'!C97),0)),0)</f>
        <v>0</v>
      </c>
    </row>
    <row r="93" spans="1:27">
      <c r="A93" s="18" t="s">
        <v>232</v>
      </c>
      <c r="B93" s="17">
        <f>B92*(1-'Inputs and Outputs'!B178)</f>
        <v>0</v>
      </c>
    </row>
    <row r="94" spans="1:27">
      <c r="A94" s="18" t="s">
        <v>233</v>
      </c>
      <c r="C94" s="17">
        <f>B93*C91 + (B92*'Inputs and Outputs'!B178)</f>
        <v>0</v>
      </c>
      <c r="D94" s="17">
        <f>B93*D91</f>
        <v>0</v>
      </c>
      <c r="E94" s="17">
        <f>B93*E91</f>
        <v>0</v>
      </c>
      <c r="F94" s="17">
        <f>B93*F91</f>
        <v>0</v>
      </c>
      <c r="G94" s="17">
        <f>B93*G91</f>
        <v>0</v>
      </c>
      <c r="H94" s="17">
        <f>B93*H91</f>
        <v>0</v>
      </c>
      <c r="I94" s="17">
        <f>B93*I91</f>
        <v>0</v>
      </c>
      <c r="J94" s="17">
        <f>B93*J91</f>
        <v>0</v>
      </c>
      <c r="K94" s="17">
        <f>B93*K91</f>
        <v>0</v>
      </c>
      <c r="L94" s="17">
        <f>B93*L91</f>
        <v>0</v>
      </c>
      <c r="M94" s="17">
        <f>B93*M91</f>
        <v>0</v>
      </c>
      <c r="N94" s="17">
        <f>B93*N91</f>
        <v>0</v>
      </c>
      <c r="O94" s="17">
        <f>B93*O91</f>
        <v>0</v>
      </c>
      <c r="P94" s="17">
        <f>B93*P91</f>
        <v>0</v>
      </c>
      <c r="Q94" s="17">
        <f>B93*Q91</f>
        <v>0</v>
      </c>
      <c r="R94" s="17">
        <f>B93*R91</f>
        <v>0</v>
      </c>
      <c r="S94" s="17">
        <f>B93*S91</f>
        <v>0</v>
      </c>
      <c r="T94" s="17">
        <f>B93*T91</f>
        <v>0</v>
      </c>
      <c r="U94" s="17">
        <f>B93*U91</f>
        <v>0</v>
      </c>
      <c r="V94" s="17">
        <f>B93*V91</f>
        <v>0</v>
      </c>
      <c r="W94" s="17">
        <f>B93*W91</f>
        <v>0</v>
      </c>
      <c r="X94" s="17">
        <f>B93*X91</f>
        <v>0</v>
      </c>
      <c r="Y94" s="17">
        <f>B93*Y91</f>
        <v>0</v>
      </c>
      <c r="Z94" s="17">
        <f>B93*Z91</f>
        <v>0</v>
      </c>
      <c r="AA94" s="17">
        <f>B93*AA91</f>
        <v>0</v>
      </c>
    </row>
    <row r="95" spans="1:27">
      <c r="A95" s="17" t="s">
        <v>234</v>
      </c>
    </row>
    <row r="96" spans="1:27">
      <c r="A96" s="18" t="s">
        <v>230</v>
      </c>
      <c r="C96" s="17">
        <f>'Inputs and Outputs'!C191</f>
        <v>0</v>
      </c>
      <c r="D96" s="17">
        <f>'Inputs and Outputs'!D191</f>
        <v>0</v>
      </c>
      <c r="E96" s="17">
        <f>'Inputs and Outputs'!E191</f>
        <v>0</v>
      </c>
      <c r="F96" s="17">
        <f>'Inputs and Outputs'!F191</f>
        <v>0</v>
      </c>
      <c r="G96" s="17">
        <f>'Inputs and Outputs'!G191</f>
        <v>0</v>
      </c>
      <c r="H96" s="17">
        <f>'Inputs and Outputs'!H191</f>
        <v>0</v>
      </c>
      <c r="I96" s="17">
        <f>'Inputs and Outputs'!I191</f>
        <v>0</v>
      </c>
      <c r="J96" s="17">
        <f>'Inputs and Outputs'!J191</f>
        <v>0</v>
      </c>
      <c r="K96" s="17">
        <f>'Inputs and Outputs'!K191</f>
        <v>0</v>
      </c>
      <c r="L96" s="17">
        <f>'Inputs and Outputs'!L191</f>
        <v>0</v>
      </c>
      <c r="M96" s="17">
        <f>'Inputs and Outputs'!M191</f>
        <v>0</v>
      </c>
      <c r="N96" s="17">
        <f>'Inputs and Outputs'!N191</f>
        <v>0</v>
      </c>
      <c r="O96" s="17">
        <f>'Inputs and Outputs'!O191</f>
        <v>0</v>
      </c>
      <c r="P96" s="17">
        <f>'Inputs and Outputs'!P191</f>
        <v>0</v>
      </c>
      <c r="Q96" s="17">
        <f>'Inputs and Outputs'!Q191</f>
        <v>0</v>
      </c>
      <c r="R96" s="17">
        <f>'Inputs and Outputs'!R191</f>
        <v>0</v>
      </c>
      <c r="S96" s="17">
        <f>'Inputs and Outputs'!S191</f>
        <v>0</v>
      </c>
      <c r="T96" s="17">
        <f>'Inputs and Outputs'!T191</f>
        <v>0</v>
      </c>
      <c r="U96" s="17">
        <f>'Inputs and Outputs'!U191</f>
        <v>0</v>
      </c>
      <c r="V96" s="17">
        <f>'Inputs and Outputs'!V191</f>
        <v>0</v>
      </c>
      <c r="W96" s="17">
        <f>'Inputs and Outputs'!W191</f>
        <v>0</v>
      </c>
      <c r="X96" s="17">
        <f>'Inputs and Outputs'!X191</f>
        <v>0</v>
      </c>
      <c r="Y96" s="17">
        <f>'Inputs and Outputs'!Y191</f>
        <v>0</v>
      </c>
      <c r="Z96" s="17">
        <f>'Inputs and Outputs'!Z191</f>
        <v>0</v>
      </c>
      <c r="AA96" s="17">
        <f>'Inputs and Outputs'!AA191</f>
        <v>0</v>
      </c>
    </row>
    <row r="97" spans="1:27">
      <c r="A97" s="18" t="s">
        <v>231</v>
      </c>
      <c r="B97" s="17">
        <f>IF(OR('Inputs and Outputs'!D177=5,'Inputs and Outputs'!D177=7),(B144-IF('Inputs and Outputs'!D114="Yes",0.5*MIN('Inputs and Outputs'!B114/100*B144,'Inputs and Outputs'!C114),0)),0)</f>
        <v>0</v>
      </c>
    </row>
    <row r="98" spans="1:27">
      <c r="A98" s="18" t="s">
        <v>232</v>
      </c>
      <c r="B98" s="17">
        <f>B97*(1-'Inputs and Outputs'!D178)</f>
        <v>0</v>
      </c>
    </row>
    <row r="99" spans="1:27">
      <c r="A99" s="18" t="s">
        <v>233</v>
      </c>
      <c r="C99" s="17">
        <f>B98*C96 + (B97*'Inputs and Outputs'!D178)</f>
        <v>0</v>
      </c>
      <c r="D99" s="17">
        <f>B98*D96</f>
        <v>0</v>
      </c>
      <c r="E99" s="17">
        <f>B98*E96</f>
        <v>0</v>
      </c>
      <c r="F99" s="17">
        <f>B98*F96</f>
        <v>0</v>
      </c>
      <c r="G99" s="17">
        <f>B98*G96</f>
        <v>0</v>
      </c>
      <c r="H99" s="17">
        <f>B98*H96</f>
        <v>0</v>
      </c>
      <c r="I99" s="17">
        <f>B98*I96</f>
        <v>0</v>
      </c>
      <c r="J99" s="17">
        <f>B98*J96</f>
        <v>0</v>
      </c>
      <c r="K99" s="17">
        <f>B98*K96</f>
        <v>0</v>
      </c>
      <c r="L99" s="17">
        <f>B98*L96</f>
        <v>0</v>
      </c>
      <c r="M99" s="17">
        <f>B98*M96</f>
        <v>0</v>
      </c>
      <c r="N99" s="17">
        <f>B98*N96</f>
        <v>0</v>
      </c>
      <c r="O99" s="17">
        <f>B98*O96</f>
        <v>0</v>
      </c>
      <c r="P99" s="17">
        <f>B98*P96</f>
        <v>0</v>
      </c>
      <c r="Q99" s="17">
        <f>B98*Q96</f>
        <v>0</v>
      </c>
      <c r="R99" s="17">
        <f>B98*R96</f>
        <v>0</v>
      </c>
      <c r="S99" s="17">
        <f>B98*S96</f>
        <v>0</v>
      </c>
      <c r="T99" s="17">
        <f>B98*T96</f>
        <v>0</v>
      </c>
      <c r="U99" s="17">
        <f>B98*U96</f>
        <v>0</v>
      </c>
      <c r="V99" s="17">
        <f>B98*V96</f>
        <v>0</v>
      </c>
      <c r="W99" s="17">
        <f>B98*W96</f>
        <v>0</v>
      </c>
      <c r="X99" s="17">
        <f>B98*X96</f>
        <v>0</v>
      </c>
      <c r="Y99" s="17">
        <f>B98*Y96</f>
        <v>0</v>
      </c>
      <c r="Z99" s="17">
        <f>B98*Z96</f>
        <v>0</v>
      </c>
      <c r="AA99" s="17">
        <f>B98*AA96</f>
        <v>0</v>
      </c>
    </row>
    <row r="100" spans="1:27">
      <c r="A100" s="17" t="s">
        <v>235</v>
      </c>
    </row>
    <row r="101" spans="1:27">
      <c r="A101" s="18" t="s">
        <v>230</v>
      </c>
      <c r="C101" s="17">
        <f>'Inputs and Outputs'!C192</f>
        <v>0</v>
      </c>
      <c r="D101" s="17">
        <f>'Inputs and Outputs'!D192</f>
        <v>0</v>
      </c>
      <c r="E101" s="17">
        <f>'Inputs and Outputs'!E192</f>
        <v>0</v>
      </c>
      <c r="F101" s="17">
        <f>'Inputs and Outputs'!F192</f>
        <v>0</v>
      </c>
      <c r="G101" s="17">
        <f>'Inputs and Outputs'!G192</f>
        <v>0</v>
      </c>
      <c r="H101" s="17">
        <f>'Inputs and Outputs'!H192</f>
        <v>0</v>
      </c>
      <c r="I101" s="17">
        <f>'Inputs and Outputs'!I192</f>
        <v>0</v>
      </c>
      <c r="J101" s="17">
        <f>'Inputs and Outputs'!J192</f>
        <v>0</v>
      </c>
      <c r="K101" s="17">
        <f>'Inputs and Outputs'!K192</f>
        <v>0</v>
      </c>
      <c r="L101" s="17">
        <f>'Inputs and Outputs'!L192</f>
        <v>0</v>
      </c>
      <c r="M101" s="17">
        <f>'Inputs and Outputs'!M192</f>
        <v>0</v>
      </c>
      <c r="N101" s="17">
        <f>'Inputs and Outputs'!N192</f>
        <v>0</v>
      </c>
      <c r="O101" s="17">
        <f>'Inputs and Outputs'!O192</f>
        <v>0</v>
      </c>
      <c r="P101" s="17">
        <f>'Inputs and Outputs'!P192</f>
        <v>0</v>
      </c>
      <c r="Q101" s="17">
        <f>'Inputs and Outputs'!Q192</f>
        <v>0</v>
      </c>
      <c r="R101" s="17">
        <f>'Inputs and Outputs'!R192</f>
        <v>0</v>
      </c>
      <c r="S101" s="17">
        <f>'Inputs and Outputs'!S192</f>
        <v>0</v>
      </c>
      <c r="T101" s="17">
        <f>'Inputs and Outputs'!T192</f>
        <v>0</v>
      </c>
      <c r="U101" s="17">
        <f>'Inputs and Outputs'!U192</f>
        <v>0</v>
      </c>
      <c r="V101" s="17">
        <f>'Inputs and Outputs'!V192</f>
        <v>0</v>
      </c>
      <c r="W101" s="17">
        <f>'Inputs and Outputs'!W192</f>
        <v>0</v>
      </c>
      <c r="X101" s="17">
        <f>'Inputs and Outputs'!X192</f>
        <v>0</v>
      </c>
      <c r="Y101" s="17">
        <f>'Inputs and Outputs'!Y192</f>
        <v>0</v>
      </c>
      <c r="Z101" s="17">
        <f>'Inputs and Outputs'!Z192</f>
        <v>0</v>
      </c>
      <c r="AA101" s="17">
        <f>'Inputs and Outputs'!AA192</f>
        <v>0</v>
      </c>
    </row>
    <row r="102" spans="1:27">
      <c r="A102" s="18" t="s">
        <v>231</v>
      </c>
      <c r="B102" s="17">
        <f>IF(OR('Inputs and Outputs'!C177=5,'Inputs and Outputs'!C177=7),(B146-IF('Inputs and Outputs'!D131="Yes",0.5*MIN('Inputs and Outputs'!B131/100*B146,'Inputs and Outputs'!C131),0)),0)</f>
        <v>0</v>
      </c>
    </row>
    <row r="103" spans="1:27">
      <c r="A103" s="18" t="s">
        <v>232</v>
      </c>
      <c r="B103" s="17">
        <f>B102*(1-'Inputs and Outputs'!C178)</f>
        <v>0</v>
      </c>
    </row>
    <row r="104" spans="1:27">
      <c r="A104" s="18" t="s">
        <v>233</v>
      </c>
      <c r="C104" s="17">
        <f>B103*C101 + (B102*'Inputs and Outputs'!C178)</f>
        <v>0</v>
      </c>
      <c r="D104" s="17">
        <f>B103*D101</f>
        <v>0</v>
      </c>
      <c r="E104" s="17">
        <f>B103*E101</f>
        <v>0</v>
      </c>
      <c r="F104" s="17">
        <f>B103*F101</f>
        <v>0</v>
      </c>
      <c r="G104" s="17">
        <f>B103*G101</f>
        <v>0</v>
      </c>
      <c r="H104" s="17">
        <f>B103*H101</f>
        <v>0</v>
      </c>
      <c r="I104" s="17">
        <f>B103*I101</f>
        <v>0</v>
      </c>
      <c r="J104" s="17">
        <f>B103*J101</f>
        <v>0</v>
      </c>
      <c r="K104" s="17">
        <f>B103*K101</f>
        <v>0</v>
      </c>
      <c r="L104" s="17">
        <f>B103*L101</f>
        <v>0</v>
      </c>
      <c r="M104" s="17">
        <f>B103*M101</f>
        <v>0</v>
      </c>
      <c r="N104" s="17">
        <f>B103*N101</f>
        <v>0</v>
      </c>
      <c r="O104" s="17">
        <f>B103*O101</f>
        <v>0</v>
      </c>
      <c r="P104" s="17">
        <f>B103*P101</f>
        <v>0</v>
      </c>
      <c r="Q104" s="17">
        <f>B103*Q101</f>
        <v>0</v>
      </c>
      <c r="R104" s="17">
        <f>B103*R101</f>
        <v>0</v>
      </c>
      <c r="S104" s="17">
        <f>B103*S101</f>
        <v>0</v>
      </c>
      <c r="T104" s="17">
        <f>B103*T101</f>
        <v>0</v>
      </c>
      <c r="U104" s="17">
        <f>B103*U101</f>
        <v>0</v>
      </c>
      <c r="V104" s="17">
        <f>B103*V101</f>
        <v>0</v>
      </c>
      <c r="W104" s="17">
        <f>B103*W101</f>
        <v>0</v>
      </c>
      <c r="X104" s="17">
        <f>B103*X101</f>
        <v>0</v>
      </c>
      <c r="Y104" s="17">
        <f>B103*Y101</f>
        <v>0</v>
      </c>
      <c r="Z104" s="17">
        <f>B103*Z101</f>
        <v>0</v>
      </c>
      <c r="AA104" s="17">
        <f>B103*AA101</f>
        <v>0</v>
      </c>
    </row>
    <row r="105" spans="1:27">
      <c r="A105" s="17" t="s">
        <v>236</v>
      </c>
    </row>
    <row r="106" spans="1:27">
      <c r="A106" s="18" t="s">
        <v>230</v>
      </c>
      <c r="C106" s="17">
        <f>'Inputs and Outputs'!C193</f>
        <v>0</v>
      </c>
      <c r="D106" s="17">
        <f>'Inputs and Outputs'!D193</f>
        <v>0</v>
      </c>
      <c r="E106" s="17">
        <f>'Inputs and Outputs'!E193</f>
        <v>0</v>
      </c>
      <c r="F106" s="17">
        <f>'Inputs and Outputs'!F193</f>
        <v>0</v>
      </c>
      <c r="G106" s="17">
        <f>'Inputs and Outputs'!G193</f>
        <v>0</v>
      </c>
      <c r="H106" s="17">
        <f>'Inputs and Outputs'!H193</f>
        <v>0</v>
      </c>
      <c r="I106" s="17">
        <f>'Inputs and Outputs'!I193</f>
        <v>0</v>
      </c>
      <c r="J106" s="17">
        <f>'Inputs and Outputs'!J193</f>
        <v>0</v>
      </c>
      <c r="K106" s="17">
        <f>'Inputs and Outputs'!K193</f>
        <v>0</v>
      </c>
      <c r="L106" s="17">
        <f>'Inputs and Outputs'!L193</f>
        <v>0</v>
      </c>
      <c r="M106" s="17">
        <f>'Inputs and Outputs'!M193</f>
        <v>0</v>
      </c>
      <c r="N106" s="17">
        <f>'Inputs and Outputs'!N193</f>
        <v>0</v>
      </c>
      <c r="O106" s="17">
        <f>'Inputs and Outputs'!O193</f>
        <v>0</v>
      </c>
      <c r="P106" s="17">
        <f>'Inputs and Outputs'!P193</f>
        <v>0</v>
      </c>
      <c r="Q106" s="17">
        <f>'Inputs and Outputs'!Q193</f>
        <v>0</v>
      </c>
      <c r="R106" s="17">
        <f>'Inputs and Outputs'!R193</f>
        <v>0</v>
      </c>
      <c r="S106" s="17">
        <f>'Inputs and Outputs'!S193</f>
        <v>0</v>
      </c>
      <c r="T106" s="17">
        <f>'Inputs and Outputs'!T193</f>
        <v>0</v>
      </c>
      <c r="U106" s="17">
        <f>'Inputs and Outputs'!U193</f>
        <v>0</v>
      </c>
      <c r="V106" s="17">
        <f>'Inputs and Outputs'!V193</f>
        <v>0</v>
      </c>
      <c r="W106" s="17">
        <f>'Inputs and Outputs'!W193</f>
        <v>0</v>
      </c>
      <c r="X106" s="17">
        <f>'Inputs and Outputs'!X193</f>
        <v>0</v>
      </c>
      <c r="Y106" s="17">
        <f>'Inputs and Outputs'!Y193</f>
        <v>0</v>
      </c>
      <c r="Z106" s="17">
        <f>'Inputs and Outputs'!Z193</f>
        <v>0</v>
      </c>
      <c r="AA106" s="17">
        <f>'Inputs and Outputs'!AA193</f>
        <v>0</v>
      </c>
    </row>
    <row r="107" spans="1:27">
      <c r="A107" s="18" t="s">
        <v>231</v>
      </c>
      <c r="B107" s="17">
        <f>IF(OR('Inputs and Outputs'!E177=5,'Inputs and Outputs'!E177=7),(B148-IF('Inputs and Outputs'!D145="Yes",0.5*MIN('Inputs and Outputs'!B145/100*B148,'Inputs and Outputs'!C145),0)),0)</f>
        <v>0</v>
      </c>
    </row>
    <row r="108" spans="1:27">
      <c r="A108" s="18" t="s">
        <v>232</v>
      </c>
      <c r="B108" s="17">
        <f>B107*(1-'Inputs and Outputs'!E178)</f>
        <v>0</v>
      </c>
    </row>
    <row r="109" spans="1:27">
      <c r="A109" s="18" t="s">
        <v>233</v>
      </c>
      <c r="C109" s="17">
        <f>B108*C106 + (B107*'Inputs and Outputs'!E178)</f>
        <v>0</v>
      </c>
      <c r="D109" s="17">
        <f>B108*D106</f>
        <v>0</v>
      </c>
      <c r="E109" s="17">
        <f>B108*E106</f>
        <v>0</v>
      </c>
      <c r="F109" s="17">
        <f>B108*F106</f>
        <v>0</v>
      </c>
      <c r="G109" s="17">
        <f>B108*G106</f>
        <v>0</v>
      </c>
      <c r="H109" s="17">
        <f>B108*H106</f>
        <v>0</v>
      </c>
      <c r="I109" s="17">
        <f>B108*I106</f>
        <v>0</v>
      </c>
      <c r="J109" s="17">
        <f>B108*J106</f>
        <v>0</v>
      </c>
      <c r="K109" s="17">
        <f>B108*K106</f>
        <v>0</v>
      </c>
      <c r="L109" s="17">
        <f>B108*L106</f>
        <v>0</v>
      </c>
      <c r="M109" s="17">
        <f>B108*M106</f>
        <v>0</v>
      </c>
      <c r="N109" s="17">
        <f>B108*N106</f>
        <v>0</v>
      </c>
      <c r="O109" s="17">
        <f>B108*O106</f>
        <v>0</v>
      </c>
      <c r="P109" s="17">
        <f>B108*P106</f>
        <v>0</v>
      </c>
      <c r="Q109" s="17">
        <f>B108*Q106</f>
        <v>0</v>
      </c>
      <c r="R109" s="17">
        <f>B108*R106</f>
        <v>0</v>
      </c>
      <c r="S109" s="17">
        <f>B108*S106</f>
        <v>0</v>
      </c>
      <c r="T109" s="17">
        <f>B108*T106</f>
        <v>0</v>
      </c>
      <c r="U109" s="17">
        <f>B108*U106</f>
        <v>0</v>
      </c>
      <c r="V109" s="17">
        <f>B108*V106</f>
        <v>0</v>
      </c>
      <c r="W109" s="17">
        <f>B108*W106</f>
        <v>0</v>
      </c>
      <c r="X109" s="17">
        <f>B108*X106</f>
        <v>0</v>
      </c>
      <c r="Y109" s="17">
        <f>B108*Y106</f>
        <v>0</v>
      </c>
      <c r="Z109" s="17">
        <f>B108*Z106</f>
        <v>0</v>
      </c>
      <c r="AA109" s="17">
        <f>B108*AA106</f>
        <v>0</v>
      </c>
    </row>
    <row r="110" spans="1:27">
      <c r="A110" s="17" t="s">
        <v>237</v>
      </c>
    </row>
    <row r="111" spans="1:27">
      <c r="A111" s="18" t="s">
        <v>230</v>
      </c>
      <c r="C111" s="17">
        <f>'Inputs and Outputs'!C194</f>
        <v>0</v>
      </c>
      <c r="D111" s="17">
        <f>'Inputs and Outputs'!D194</f>
        <v>0</v>
      </c>
      <c r="E111" s="17">
        <f>'Inputs and Outputs'!E194</f>
        <v>0</v>
      </c>
      <c r="F111" s="17">
        <f>'Inputs and Outputs'!F194</f>
        <v>0</v>
      </c>
      <c r="G111" s="17">
        <f>'Inputs and Outputs'!G194</f>
        <v>0</v>
      </c>
      <c r="H111" s="17">
        <f>'Inputs and Outputs'!H194</f>
        <v>0</v>
      </c>
      <c r="I111" s="17">
        <f>'Inputs and Outputs'!I194</f>
        <v>0</v>
      </c>
      <c r="J111" s="17">
        <f>'Inputs and Outputs'!J194</f>
        <v>0</v>
      </c>
      <c r="K111" s="17">
        <f>'Inputs and Outputs'!K194</f>
        <v>0</v>
      </c>
      <c r="L111" s="17">
        <f>'Inputs and Outputs'!L194</f>
        <v>0</v>
      </c>
      <c r="M111" s="17">
        <f>'Inputs and Outputs'!M194</f>
        <v>0</v>
      </c>
      <c r="N111" s="17">
        <f>'Inputs and Outputs'!N194</f>
        <v>0</v>
      </c>
      <c r="O111" s="17">
        <f>'Inputs and Outputs'!O194</f>
        <v>0</v>
      </c>
      <c r="P111" s="17">
        <f>'Inputs and Outputs'!P194</f>
        <v>0</v>
      </c>
      <c r="Q111" s="17">
        <f>'Inputs and Outputs'!Q194</f>
        <v>0</v>
      </c>
      <c r="R111" s="17">
        <f>'Inputs and Outputs'!R194</f>
        <v>0</v>
      </c>
      <c r="S111" s="17">
        <f>'Inputs and Outputs'!S194</f>
        <v>0</v>
      </c>
      <c r="T111" s="17">
        <f>'Inputs and Outputs'!T194</f>
        <v>0</v>
      </c>
      <c r="U111" s="17">
        <f>'Inputs and Outputs'!U194</f>
        <v>0</v>
      </c>
      <c r="V111" s="17">
        <f>'Inputs and Outputs'!V194</f>
        <v>0</v>
      </c>
      <c r="W111" s="17">
        <f>'Inputs and Outputs'!W194</f>
        <v>0</v>
      </c>
      <c r="X111" s="17">
        <f>'Inputs and Outputs'!X194</f>
        <v>0</v>
      </c>
      <c r="Y111" s="17">
        <f>'Inputs and Outputs'!Y194</f>
        <v>0</v>
      </c>
      <c r="Z111" s="17">
        <f>'Inputs and Outputs'!Z194</f>
        <v>0</v>
      </c>
      <c r="AA111" s="17">
        <f>'Inputs and Outputs'!AA194</f>
        <v>0</v>
      </c>
    </row>
    <row r="112" spans="1:27">
      <c r="A112" s="18" t="s">
        <v>231</v>
      </c>
      <c r="B112" s="17">
        <f>IF(OR('Inputs and Outputs'!F177=5,'Inputs and Outputs'!F177=7),'Inputs and Outputs'!B57,0)</f>
        <v>0</v>
      </c>
    </row>
    <row r="113" spans="1:27">
      <c r="A113" s="18" t="s">
        <v>232</v>
      </c>
      <c r="B113" s="17">
        <f>B112*(1-'Inputs and Outputs'!F178)</f>
        <v>0</v>
      </c>
    </row>
    <row r="114" spans="1:27">
      <c r="A114" s="18" t="s">
        <v>233</v>
      </c>
      <c r="C114" s="17">
        <f>B113*C111 + (B112*'Inputs and Outputs'!F178)</f>
        <v>0</v>
      </c>
      <c r="D114" s="17">
        <f>B113*D111</f>
        <v>0</v>
      </c>
      <c r="E114" s="17">
        <f>B113*E111</f>
        <v>0</v>
      </c>
      <c r="F114" s="17">
        <f>B113*F111</f>
        <v>0</v>
      </c>
      <c r="G114" s="17">
        <f>B113*G111</f>
        <v>0</v>
      </c>
      <c r="H114" s="17">
        <f>B113*H111</f>
        <v>0</v>
      </c>
      <c r="I114" s="17">
        <f>B113*I111</f>
        <v>0</v>
      </c>
      <c r="J114" s="17">
        <f>B113*J111</f>
        <v>0</v>
      </c>
      <c r="K114" s="17">
        <f>B113*K111</f>
        <v>0</v>
      </c>
      <c r="L114" s="17">
        <f>B113*L111</f>
        <v>0</v>
      </c>
      <c r="M114" s="17">
        <f>B113*M111</f>
        <v>0</v>
      </c>
      <c r="N114" s="17">
        <f>B113*N111</f>
        <v>0</v>
      </c>
      <c r="O114" s="17">
        <f>B113*O111</f>
        <v>0</v>
      </c>
      <c r="P114" s="17">
        <f>B113*P111</f>
        <v>0</v>
      </c>
      <c r="Q114" s="17">
        <f>B113*Q111</f>
        <v>0</v>
      </c>
      <c r="R114" s="17">
        <f>B113*R111</f>
        <v>0</v>
      </c>
      <c r="S114" s="17">
        <f>B113*S111</f>
        <v>0</v>
      </c>
      <c r="T114" s="17">
        <f>B113*T111</f>
        <v>0</v>
      </c>
      <c r="U114" s="17">
        <f>B113*U111</f>
        <v>0</v>
      </c>
      <c r="V114" s="17">
        <f>B113*V111</f>
        <v>0</v>
      </c>
      <c r="W114" s="17">
        <f>B113*W111</f>
        <v>0</v>
      </c>
      <c r="X114" s="17">
        <f>B113*X111</f>
        <v>0</v>
      </c>
      <c r="Y114" s="17">
        <f>B113*Y111</f>
        <v>0</v>
      </c>
      <c r="Z114" s="17">
        <f>B113*Z111</f>
        <v>0</v>
      </c>
      <c r="AA114" s="17">
        <f>B113*AA111</f>
        <v>0</v>
      </c>
    </row>
    <row r="115" spans="1:27">
      <c r="A115" s="17" t="s">
        <v>238</v>
      </c>
    </row>
    <row r="116" spans="1:27">
      <c r="A116" s="18" t="s">
        <v>230</v>
      </c>
      <c r="C116" s="17">
        <f>'Inputs and Outputs'!C195</f>
        <v>0</v>
      </c>
      <c r="D116" s="17">
        <f>'Inputs and Outputs'!D195</f>
        <v>0</v>
      </c>
      <c r="E116" s="17">
        <f>'Inputs and Outputs'!E195</f>
        <v>0</v>
      </c>
      <c r="F116" s="17">
        <f>'Inputs and Outputs'!F195</f>
        <v>0</v>
      </c>
      <c r="G116" s="17">
        <f>'Inputs and Outputs'!G195</f>
        <v>0</v>
      </c>
      <c r="H116" s="17">
        <f>'Inputs and Outputs'!H195</f>
        <v>0</v>
      </c>
      <c r="I116" s="17">
        <f>'Inputs and Outputs'!I195</f>
        <v>0</v>
      </c>
      <c r="J116" s="17">
        <f>'Inputs and Outputs'!J195</f>
        <v>0</v>
      </c>
      <c r="K116" s="17">
        <f>'Inputs and Outputs'!K195</f>
        <v>0</v>
      </c>
      <c r="L116" s="17">
        <f>'Inputs and Outputs'!L195</f>
        <v>0</v>
      </c>
      <c r="M116" s="17">
        <f>'Inputs and Outputs'!M195</f>
        <v>0</v>
      </c>
      <c r="N116" s="17">
        <f>'Inputs and Outputs'!N195</f>
        <v>0</v>
      </c>
      <c r="O116" s="17">
        <f>'Inputs and Outputs'!O195</f>
        <v>0</v>
      </c>
      <c r="P116" s="17">
        <f>'Inputs and Outputs'!P195</f>
        <v>0</v>
      </c>
      <c r="Q116" s="17">
        <f>'Inputs and Outputs'!Q195</f>
        <v>0</v>
      </c>
      <c r="R116" s="17">
        <f>'Inputs and Outputs'!R195</f>
        <v>0</v>
      </c>
      <c r="S116" s="17">
        <f>'Inputs and Outputs'!S195</f>
        <v>0</v>
      </c>
      <c r="T116" s="17">
        <f>'Inputs and Outputs'!T195</f>
        <v>0</v>
      </c>
      <c r="U116" s="17">
        <f>'Inputs and Outputs'!U195</f>
        <v>0</v>
      </c>
      <c r="V116" s="17">
        <f>'Inputs and Outputs'!V195</f>
        <v>0</v>
      </c>
      <c r="W116" s="17">
        <f>'Inputs and Outputs'!W195</f>
        <v>0</v>
      </c>
      <c r="X116" s="17">
        <f>'Inputs and Outputs'!X195</f>
        <v>0</v>
      </c>
      <c r="Y116" s="17">
        <f>'Inputs and Outputs'!Y195</f>
        <v>0</v>
      </c>
      <c r="Z116" s="17">
        <f>'Inputs and Outputs'!Z195</f>
        <v>0</v>
      </c>
      <c r="AA116" s="17">
        <f>'Inputs and Outputs'!AA195</f>
        <v>0</v>
      </c>
    </row>
    <row r="117" spans="1:27">
      <c r="A117" s="18" t="s">
        <v>231</v>
      </c>
      <c r="B117" s="17">
        <f>IF(OR('Inputs and Outputs'!G177=5,'Inputs and Outputs'!G177=7),'Inputs and Outputs'!B58,0)</f>
        <v>0</v>
      </c>
    </row>
    <row r="118" spans="1:27">
      <c r="A118" s="18" t="s">
        <v>232</v>
      </c>
      <c r="B118" s="17">
        <f>B117*(1-'Inputs and Outputs'!G178)</f>
        <v>0</v>
      </c>
    </row>
    <row r="119" spans="1:27">
      <c r="A119" s="18" t="s">
        <v>233</v>
      </c>
      <c r="C119" s="17">
        <f>B118*C116 + (B117*'Inputs and Outputs'!G178)</f>
        <v>0</v>
      </c>
      <c r="D119" s="17">
        <f>B118*D116</f>
        <v>0</v>
      </c>
      <c r="E119" s="17">
        <f>B118*E116</f>
        <v>0</v>
      </c>
      <c r="F119" s="17">
        <f>B118*F116</f>
        <v>0</v>
      </c>
      <c r="G119" s="17">
        <f>B118*G116</f>
        <v>0</v>
      </c>
      <c r="H119" s="17">
        <f>B118*H116</f>
        <v>0</v>
      </c>
      <c r="I119" s="17">
        <f>B118*I116</f>
        <v>0</v>
      </c>
      <c r="J119" s="17">
        <f>B118*J116</f>
        <v>0</v>
      </c>
      <c r="K119" s="17">
        <f>B118*K116</f>
        <v>0</v>
      </c>
      <c r="L119" s="17">
        <f>B118*L116</f>
        <v>0</v>
      </c>
      <c r="M119" s="17">
        <f>B118*M116</f>
        <v>0</v>
      </c>
      <c r="N119" s="17">
        <f>B118*N116</f>
        <v>0</v>
      </c>
      <c r="O119" s="17">
        <f>B118*O116</f>
        <v>0</v>
      </c>
      <c r="P119" s="17">
        <f>B118*P116</f>
        <v>0</v>
      </c>
      <c r="Q119" s="17">
        <f>B118*Q116</f>
        <v>0</v>
      </c>
      <c r="R119" s="17">
        <f>B118*R116</f>
        <v>0</v>
      </c>
      <c r="S119" s="17">
        <f>B118*S116</f>
        <v>0</v>
      </c>
      <c r="T119" s="17">
        <f>B118*T116</f>
        <v>0</v>
      </c>
      <c r="U119" s="17">
        <f>B118*U116</f>
        <v>0</v>
      </c>
      <c r="V119" s="17">
        <f>B118*V116</f>
        <v>0</v>
      </c>
      <c r="W119" s="17">
        <f>B118*W116</f>
        <v>0</v>
      </c>
      <c r="X119" s="17">
        <f>B118*X116</f>
        <v>0</v>
      </c>
      <c r="Y119" s="17">
        <f>B118*Y116</f>
        <v>0</v>
      </c>
      <c r="Z119" s="17">
        <f>B118*Z116</f>
        <v>0</v>
      </c>
      <c r="AA119" s="17">
        <f>B118*AA116</f>
        <v>0</v>
      </c>
    </row>
    <row r="120" spans="1:27">
      <c r="A120" s="17" t="s">
        <v>239</v>
      </c>
    </row>
    <row r="121" spans="1:27">
      <c r="A121" s="18" t="s">
        <v>230</v>
      </c>
      <c r="C121" s="17">
        <f>'Inputs and Outputs'!C196</f>
        <v>0</v>
      </c>
      <c r="D121" s="17">
        <f>'Inputs and Outputs'!D196</f>
        <v>0</v>
      </c>
      <c r="E121" s="17">
        <f>'Inputs and Outputs'!E196</f>
        <v>0</v>
      </c>
      <c r="F121" s="17">
        <f>'Inputs and Outputs'!F196</f>
        <v>0</v>
      </c>
      <c r="G121" s="17">
        <f>'Inputs and Outputs'!G196</f>
        <v>0</v>
      </c>
      <c r="H121" s="17">
        <f>'Inputs and Outputs'!H196</f>
        <v>0</v>
      </c>
      <c r="I121" s="17">
        <f>'Inputs and Outputs'!I196</f>
        <v>0</v>
      </c>
      <c r="J121" s="17">
        <f>'Inputs and Outputs'!J196</f>
        <v>0</v>
      </c>
      <c r="K121" s="17">
        <f>'Inputs and Outputs'!K196</f>
        <v>0</v>
      </c>
      <c r="L121" s="17">
        <f>'Inputs and Outputs'!L196</f>
        <v>0</v>
      </c>
      <c r="M121" s="17">
        <f>'Inputs and Outputs'!M196</f>
        <v>0</v>
      </c>
      <c r="N121" s="17">
        <f>'Inputs and Outputs'!N196</f>
        <v>0</v>
      </c>
      <c r="O121" s="17">
        <f>'Inputs and Outputs'!O196</f>
        <v>0</v>
      </c>
      <c r="P121" s="17">
        <f>'Inputs and Outputs'!P196</f>
        <v>0</v>
      </c>
      <c r="Q121" s="17">
        <f>'Inputs and Outputs'!Q196</f>
        <v>0</v>
      </c>
      <c r="R121" s="17">
        <f>'Inputs and Outputs'!R196</f>
        <v>0</v>
      </c>
      <c r="S121" s="17">
        <f>'Inputs and Outputs'!S196</f>
        <v>0</v>
      </c>
      <c r="T121" s="17">
        <f>'Inputs and Outputs'!T196</f>
        <v>0</v>
      </c>
      <c r="U121" s="17">
        <f>'Inputs and Outputs'!U196</f>
        <v>0</v>
      </c>
      <c r="V121" s="17">
        <f>'Inputs and Outputs'!V196</f>
        <v>0</v>
      </c>
      <c r="W121" s="17">
        <f>'Inputs and Outputs'!W196</f>
        <v>0</v>
      </c>
      <c r="X121" s="17">
        <f>'Inputs and Outputs'!X196</f>
        <v>0</v>
      </c>
      <c r="Y121" s="17">
        <f>'Inputs and Outputs'!Y196</f>
        <v>0</v>
      </c>
      <c r="Z121" s="17">
        <f>'Inputs and Outputs'!Z196</f>
        <v>0</v>
      </c>
      <c r="AA121" s="17">
        <f>'Inputs and Outputs'!AA196</f>
        <v>0</v>
      </c>
    </row>
    <row r="122" spans="1:27">
      <c r="A122" s="18" t="s">
        <v>231</v>
      </c>
      <c r="B122" s="17">
        <f>IF(OR('Inputs and Outputs'!H177=5,'Inputs and Outputs'!H177=7),'Inputs and Outputs'!B59,0)</f>
        <v>0</v>
      </c>
    </row>
    <row r="123" spans="1:27">
      <c r="A123" s="18" t="s">
        <v>232</v>
      </c>
      <c r="B123" s="17">
        <f>B122*(1-'Inputs and Outputs'!H178)</f>
        <v>0</v>
      </c>
    </row>
    <row r="124" spans="1:27">
      <c r="A124" s="18" t="s">
        <v>233</v>
      </c>
      <c r="C124" s="17">
        <f>B123*C121 + (B122*'Inputs and Outputs'!H178)</f>
        <v>0</v>
      </c>
      <c r="D124" s="17">
        <f>B123*D121</f>
        <v>0</v>
      </c>
      <c r="E124" s="17">
        <f>B123*E121</f>
        <v>0</v>
      </c>
      <c r="F124" s="17">
        <f>B123*F121</f>
        <v>0</v>
      </c>
      <c r="G124" s="17">
        <f>B123*G121</f>
        <v>0</v>
      </c>
      <c r="H124" s="17">
        <f>B123*H121</f>
        <v>0</v>
      </c>
      <c r="I124" s="17">
        <f>B123*I121</f>
        <v>0</v>
      </c>
      <c r="J124" s="17">
        <f>B123*J121</f>
        <v>0</v>
      </c>
      <c r="K124" s="17">
        <f>B123*K121</f>
        <v>0</v>
      </c>
      <c r="L124" s="17">
        <f>B123*L121</f>
        <v>0</v>
      </c>
      <c r="M124" s="17">
        <f>B123*M121</f>
        <v>0</v>
      </c>
      <c r="N124" s="17">
        <f>B123*N121</f>
        <v>0</v>
      </c>
      <c r="O124" s="17">
        <f>B123*O121</f>
        <v>0</v>
      </c>
      <c r="P124" s="17">
        <f>B123*P121</f>
        <v>0</v>
      </c>
      <c r="Q124" s="17">
        <f>B123*Q121</f>
        <v>0</v>
      </c>
      <c r="R124" s="17">
        <f>B123*R121</f>
        <v>0</v>
      </c>
      <c r="S124" s="17">
        <f>B123*S121</f>
        <v>0</v>
      </c>
      <c r="T124" s="17">
        <f>B123*T121</f>
        <v>0</v>
      </c>
      <c r="U124" s="17">
        <f>B123*U121</f>
        <v>0</v>
      </c>
      <c r="V124" s="17">
        <f>B123*V121</f>
        <v>0</v>
      </c>
      <c r="W124" s="17">
        <f>B123*W121</f>
        <v>0</v>
      </c>
      <c r="X124" s="17">
        <f>B123*X121</f>
        <v>0</v>
      </c>
      <c r="Y124" s="17">
        <f>B123*Y121</f>
        <v>0</v>
      </c>
      <c r="Z124" s="17">
        <f>B123*Z121</f>
        <v>0</v>
      </c>
      <c r="AA124" s="17">
        <f>B123*AA121</f>
        <v>0</v>
      </c>
    </row>
    <row r="125" spans="1:27">
      <c r="A125" s="17" t="s">
        <v>240</v>
      </c>
    </row>
    <row r="126" spans="1:27">
      <c r="A126" s="18" t="s">
        <v>230</v>
      </c>
      <c r="C126" s="17">
        <f>'Inputs and Outputs'!C197</f>
        <v>0</v>
      </c>
      <c r="D126" s="17">
        <f>'Inputs and Outputs'!D197</f>
        <v>0</v>
      </c>
      <c r="E126" s="17">
        <f>'Inputs and Outputs'!E197</f>
        <v>0</v>
      </c>
      <c r="F126" s="17">
        <f>'Inputs and Outputs'!F197</f>
        <v>0</v>
      </c>
      <c r="G126" s="17">
        <f>'Inputs and Outputs'!G197</f>
        <v>0</v>
      </c>
      <c r="H126" s="17">
        <f>'Inputs and Outputs'!H197</f>
        <v>0</v>
      </c>
      <c r="I126" s="17">
        <f>'Inputs and Outputs'!I197</f>
        <v>0</v>
      </c>
      <c r="J126" s="17">
        <f>'Inputs and Outputs'!J197</f>
        <v>0</v>
      </c>
      <c r="K126" s="17">
        <f>'Inputs and Outputs'!K197</f>
        <v>0</v>
      </c>
      <c r="L126" s="17">
        <f>'Inputs and Outputs'!L197</f>
        <v>0</v>
      </c>
      <c r="M126" s="17">
        <f>'Inputs and Outputs'!M197</f>
        <v>0</v>
      </c>
      <c r="N126" s="17">
        <f>'Inputs and Outputs'!N197</f>
        <v>0</v>
      </c>
      <c r="O126" s="17">
        <f>'Inputs and Outputs'!O197</f>
        <v>0</v>
      </c>
      <c r="P126" s="17">
        <f>'Inputs and Outputs'!P197</f>
        <v>0</v>
      </c>
      <c r="Q126" s="17">
        <f>'Inputs and Outputs'!Q197</f>
        <v>0</v>
      </c>
      <c r="R126" s="17">
        <f>'Inputs and Outputs'!R197</f>
        <v>0</v>
      </c>
      <c r="S126" s="17">
        <f>'Inputs and Outputs'!S197</f>
        <v>0</v>
      </c>
      <c r="T126" s="17">
        <f>'Inputs and Outputs'!T197</f>
        <v>0</v>
      </c>
      <c r="U126" s="17">
        <f>'Inputs and Outputs'!U197</f>
        <v>0</v>
      </c>
      <c r="V126" s="17">
        <f>'Inputs and Outputs'!V197</f>
        <v>0</v>
      </c>
      <c r="W126" s="17">
        <f>'Inputs and Outputs'!W197</f>
        <v>0</v>
      </c>
      <c r="X126" s="17">
        <f>'Inputs and Outputs'!X197</f>
        <v>0</v>
      </c>
      <c r="Y126" s="17">
        <f>'Inputs and Outputs'!Y197</f>
        <v>0</v>
      </c>
      <c r="Z126" s="17">
        <f>'Inputs and Outputs'!Z197</f>
        <v>0</v>
      </c>
      <c r="AA126" s="17">
        <f>'Inputs and Outputs'!AA197</f>
        <v>0</v>
      </c>
    </row>
    <row r="127" spans="1:27">
      <c r="A127" s="18" t="s">
        <v>231</v>
      </c>
    </row>
    <row r="128" spans="1:27">
      <c r="A128" s="18" t="s">
        <v>232</v>
      </c>
      <c r="B128" s="17">
        <f>B127*(1-'Inputs and Outputs'!I178)</f>
        <v>0</v>
      </c>
    </row>
    <row r="129" spans="1:27">
      <c r="A129" s="18" t="s">
        <v>233</v>
      </c>
      <c r="C129" s="17">
        <f>B128*C126 + (B127*'Inputs and Outputs'!I178)</f>
        <v>0</v>
      </c>
      <c r="D129" s="17">
        <f>B128*D126</f>
        <v>0</v>
      </c>
      <c r="E129" s="17">
        <f>B128*E126</f>
        <v>0</v>
      </c>
      <c r="F129" s="17">
        <f>B128*F126</f>
        <v>0</v>
      </c>
      <c r="G129" s="17">
        <f>B128*G126</f>
        <v>0</v>
      </c>
      <c r="H129" s="17">
        <f>B128*H126</f>
        <v>0</v>
      </c>
      <c r="I129" s="17">
        <f>B128*I126</f>
        <v>0</v>
      </c>
      <c r="J129" s="17">
        <f>B128*J126</f>
        <v>0</v>
      </c>
      <c r="K129" s="17">
        <f>B128*K126</f>
        <v>0</v>
      </c>
      <c r="L129" s="17">
        <f>B128*L126</f>
        <v>0</v>
      </c>
      <c r="M129" s="17">
        <f>B128*M126</f>
        <v>0</v>
      </c>
      <c r="N129" s="17">
        <f>B128*N126</f>
        <v>0</v>
      </c>
      <c r="O129" s="17">
        <f>B128*O126</f>
        <v>0</v>
      </c>
      <c r="P129" s="17">
        <f>B128*P126</f>
        <v>0</v>
      </c>
      <c r="Q129" s="17">
        <f>B128*Q126</f>
        <v>0</v>
      </c>
      <c r="R129" s="17">
        <f>B128*R126</f>
        <v>0</v>
      </c>
      <c r="S129" s="17">
        <f>B128*S126</f>
        <v>0</v>
      </c>
      <c r="T129" s="17">
        <f>B128*T126</f>
        <v>0</v>
      </c>
      <c r="U129" s="17">
        <f>B128*U126</f>
        <v>0</v>
      </c>
      <c r="V129" s="17">
        <f>B128*V126</f>
        <v>0</v>
      </c>
      <c r="W129" s="17">
        <f>B128*W126</f>
        <v>0</v>
      </c>
      <c r="X129" s="17">
        <f>B128*X126</f>
        <v>0</v>
      </c>
      <c r="Y129" s="17">
        <f>B128*Y126</f>
        <v>0</v>
      </c>
      <c r="Z129" s="17">
        <f>B128*Z126</f>
        <v>0</v>
      </c>
      <c r="AA129" s="17">
        <f>B128*AA126</f>
        <v>0</v>
      </c>
    </row>
    <row r="130" spans="1:27">
      <c r="A130" s="17" t="s">
        <v>241</v>
      </c>
    </row>
    <row r="131" spans="1:27">
      <c r="A131" s="18" t="s">
        <v>230</v>
      </c>
      <c r="C131" s="17">
        <f>'Inputs and Outputs'!C198</f>
        <v>0</v>
      </c>
      <c r="D131" s="17">
        <f>'Inputs and Outputs'!D198</f>
        <v>0</v>
      </c>
      <c r="E131" s="17">
        <f>'Inputs and Outputs'!E198</f>
        <v>0</v>
      </c>
      <c r="F131" s="17">
        <f>'Inputs and Outputs'!F198</f>
        <v>0</v>
      </c>
      <c r="G131" s="17">
        <f>'Inputs and Outputs'!G198</f>
        <v>0</v>
      </c>
      <c r="H131" s="17">
        <f>'Inputs and Outputs'!H198</f>
        <v>0</v>
      </c>
      <c r="I131" s="17">
        <f>'Inputs and Outputs'!I198</f>
        <v>0</v>
      </c>
      <c r="J131" s="17">
        <f>'Inputs and Outputs'!J198</f>
        <v>0</v>
      </c>
      <c r="K131" s="17">
        <f>'Inputs and Outputs'!K198</f>
        <v>0</v>
      </c>
      <c r="L131" s="17">
        <f>'Inputs and Outputs'!L198</f>
        <v>0</v>
      </c>
      <c r="M131" s="17">
        <f>'Inputs and Outputs'!M198</f>
        <v>0</v>
      </c>
      <c r="N131" s="17">
        <f>'Inputs and Outputs'!N198</f>
        <v>0</v>
      </c>
      <c r="O131" s="17">
        <f>'Inputs and Outputs'!O198</f>
        <v>0</v>
      </c>
      <c r="P131" s="17">
        <f>'Inputs and Outputs'!P198</f>
        <v>0</v>
      </c>
      <c r="Q131" s="17">
        <f>'Inputs and Outputs'!Q198</f>
        <v>0</v>
      </c>
      <c r="R131" s="17">
        <f>'Inputs and Outputs'!R198</f>
        <v>0</v>
      </c>
      <c r="S131" s="17">
        <f>'Inputs and Outputs'!S198</f>
        <v>0</v>
      </c>
      <c r="T131" s="17">
        <f>'Inputs and Outputs'!T198</f>
        <v>0</v>
      </c>
      <c r="U131" s="17">
        <f>'Inputs and Outputs'!U198</f>
        <v>0</v>
      </c>
      <c r="V131" s="17">
        <f>'Inputs and Outputs'!V198</f>
        <v>0</v>
      </c>
      <c r="W131" s="17">
        <f>'Inputs and Outputs'!W198</f>
        <v>0</v>
      </c>
      <c r="X131" s="17">
        <f>'Inputs and Outputs'!X198</f>
        <v>0</v>
      </c>
      <c r="Y131" s="17">
        <f>'Inputs and Outputs'!Y198</f>
        <v>0</v>
      </c>
      <c r="Z131" s="17">
        <f>'Inputs and Outputs'!Z198</f>
        <v>0</v>
      </c>
      <c r="AA131" s="17">
        <f>'Inputs and Outputs'!AA198</f>
        <v>0</v>
      </c>
    </row>
    <row r="132" spans="1:27">
      <c r="A132" s="18" t="s">
        <v>231</v>
      </c>
      <c r="B132" s="17">
        <f>IF(OR('Inputs and Outputs'!J177=5,'Inputs and Outputs'!J177=7),(B150-IF('Inputs and Outputs'!D162="Yes",0.5*MIN('Inputs and Outputs'!B162/100*B150,'Inputs and Outputs'!C162),0)),0)</f>
        <v>0</v>
      </c>
    </row>
    <row r="133" spans="1:27">
      <c r="A133" s="18" t="s">
        <v>232</v>
      </c>
      <c r="B133" s="17">
        <f>B132*(1-'Inputs and Outputs'!J178)</f>
        <v>0</v>
      </c>
    </row>
    <row r="134" spans="1:27">
      <c r="A134" s="18" t="s">
        <v>233</v>
      </c>
      <c r="C134" s="17">
        <f>B133*C131 + (B132*'Inputs and Outputs'!J178)</f>
        <v>0</v>
      </c>
      <c r="D134" s="17">
        <f>B133*D131</f>
        <v>0</v>
      </c>
      <c r="E134" s="17">
        <f>B133*E131</f>
        <v>0</v>
      </c>
      <c r="F134" s="17">
        <f>B133*F131</f>
        <v>0</v>
      </c>
      <c r="G134" s="17">
        <f>B133*G131</f>
        <v>0</v>
      </c>
      <c r="H134" s="17">
        <f>B133*H131</f>
        <v>0</v>
      </c>
      <c r="I134" s="17">
        <f>B133*I131</f>
        <v>0</v>
      </c>
      <c r="J134" s="17">
        <f>B133*J131</f>
        <v>0</v>
      </c>
      <c r="K134" s="17">
        <f>B133*K131</f>
        <v>0</v>
      </c>
      <c r="L134" s="17">
        <f>B133*L131</f>
        <v>0</v>
      </c>
      <c r="M134" s="17">
        <f>B133*M131</f>
        <v>0</v>
      </c>
      <c r="N134" s="17">
        <f>B133*N131</f>
        <v>0</v>
      </c>
      <c r="O134" s="17">
        <f>B133*O131</f>
        <v>0</v>
      </c>
      <c r="P134" s="17">
        <f>B133*P131</f>
        <v>0</v>
      </c>
      <c r="Q134" s="17">
        <f>B133*Q131</f>
        <v>0</v>
      </c>
      <c r="R134" s="17">
        <f>B133*R131</f>
        <v>0</v>
      </c>
      <c r="S134" s="17">
        <f>B133*S131</f>
        <v>0</v>
      </c>
      <c r="T134" s="17">
        <f>B133*T131</f>
        <v>0</v>
      </c>
      <c r="U134" s="17">
        <f>B133*U131</f>
        <v>0</v>
      </c>
      <c r="V134" s="17">
        <f>B133*V131</f>
        <v>0</v>
      </c>
      <c r="W134" s="17">
        <f>B133*W131</f>
        <v>0</v>
      </c>
      <c r="X134" s="17">
        <f>B133*X131</f>
        <v>0</v>
      </c>
      <c r="Y134" s="17">
        <f>B133*Y131</f>
        <v>0</v>
      </c>
      <c r="Z134" s="17">
        <f>B133*Z131</f>
        <v>0</v>
      </c>
      <c r="AA134" s="17">
        <f>B133*AA131</f>
        <v>0</v>
      </c>
    </row>
    <row r="135" spans="1:27">
      <c r="A135" s="19" t="s">
        <v>242</v>
      </c>
      <c r="B135" s="19"/>
      <c r="C135" s="19">
        <f>SUM(C94,C99,C104,C109,C114,C119,C124,C129,C134)</f>
        <v>0</v>
      </c>
      <c r="D135" s="19">
        <f>SUM(D94,D99,D104,D109,D114,D119,D124,D129,D134)</f>
        <v>0</v>
      </c>
      <c r="E135" s="19">
        <f>SUM(E94,E99,E104,E109,E114,E119,E124,E129,E134)</f>
        <v>0</v>
      </c>
      <c r="F135" s="19">
        <f>SUM(F94,F99,F104,F109,F114,F119,F124,F129,F134)</f>
        <v>0</v>
      </c>
      <c r="G135" s="19">
        <f>SUM(G94,G99,G104,G109,G114,G119,G124,G129,G134)</f>
        <v>0</v>
      </c>
      <c r="H135" s="19">
        <f>SUM(H94,H99,H104,H109,H114,H119,H124,H129,H134)</f>
        <v>0</v>
      </c>
      <c r="I135" s="19">
        <f>SUM(I94,I99,I104,I109,I114,I119,I124,I129,I134)</f>
        <v>0</v>
      </c>
      <c r="J135" s="19">
        <f>SUM(J94,J99,J104,J109,J114,J119,J124,J129,J134)</f>
        <v>0</v>
      </c>
      <c r="K135" s="19">
        <f>SUM(K94,K99,K104,K109,K114,K119,K124,K129,K134)</f>
        <v>0</v>
      </c>
      <c r="L135" s="19">
        <f>SUM(L94,L99,L104,L109,L114,L119,L124,L129,L134)</f>
        <v>0</v>
      </c>
      <c r="M135" s="19">
        <f>SUM(M94,M99,M104,M109,M114,M119,M124,M129,M134)</f>
        <v>0</v>
      </c>
      <c r="N135" s="19">
        <f>SUM(N94,N99,N104,N109,N114,N119,N124,N129,N134)</f>
        <v>0</v>
      </c>
      <c r="O135" s="19">
        <f>SUM(O94,O99,O104,O109,O114,O119,O124,O129,O134)</f>
        <v>0</v>
      </c>
      <c r="P135" s="19">
        <f>SUM(P94,P99,P104,P109,P114,P119,P124,P129,P134)</f>
        <v>0</v>
      </c>
      <c r="Q135" s="19">
        <f>SUM(Q94,Q99,Q104,Q109,Q114,Q119,Q124,Q129,Q134)</f>
        <v>0</v>
      </c>
      <c r="R135" s="19">
        <f>SUM(R94,R99,R104,R109,R114,R119,R124,R129,R134)</f>
        <v>0</v>
      </c>
      <c r="S135" s="19">
        <f>SUM(S94,S99,S104,S109,S114,S119,S124,S129,S134)</f>
        <v>0</v>
      </c>
      <c r="T135" s="19">
        <f>SUM(T94,T99,T104,T109,T114,T119,T124,T129,T134)</f>
        <v>0</v>
      </c>
      <c r="U135" s="19">
        <f>SUM(U94,U99,U104,U109,U114,U119,U124,U129,U134)</f>
        <v>0</v>
      </c>
      <c r="V135" s="19">
        <f>SUM(V94,V99,V104,V109,V114,V119,V124,V129,V134)</f>
        <v>0</v>
      </c>
      <c r="W135" s="19">
        <f>SUM(W94,W99,W104,W109,W114,W119,W124,W129,W134)</f>
        <v>0</v>
      </c>
      <c r="X135" s="19">
        <f>SUM(X94,X99,X104,X109,X114,X119,X124,X129,X134)</f>
        <v>0</v>
      </c>
      <c r="Y135" s="19">
        <f>SUM(Y94,Y99,Y104,Y109,Y114,Y119,Y124,Y129,Y134)</f>
        <v>0</v>
      </c>
      <c r="Z135" s="19">
        <f>SUM(Z94,Z99,Z104,Z109,Z114,Z119,Z124,Z129,Z134)</f>
        <v>0</v>
      </c>
      <c r="AA135" s="19">
        <f>SUM(AA94,AA99,AA104,AA109,AA114,AA119,AA124,AA129,AA134)</f>
        <v>0</v>
      </c>
    </row>
    <row r="137" spans="1:27">
      <c r="A137" s="10" t="s">
        <v>243</v>
      </c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spans="1:27">
      <c r="A138" s="19" t="s">
        <v>244</v>
      </c>
      <c r="B138" s="19"/>
      <c r="C138" s="19">
        <f>((-1 * 'Optimal Cash Flow'!C10) + 'Optimal Cash Flow'!C94) * 'Inputs and Outputs'!B92/100</f>
        <v>0</v>
      </c>
      <c r="D138" s="19">
        <f>((-1 * 'Optimal Cash Flow'!D10) + 'Optimal Cash Flow'!D94) * 'Inputs and Outputs'!B92/100</f>
        <v>0</v>
      </c>
      <c r="E138" s="19">
        <f>((-1 * 'Optimal Cash Flow'!E10) + 'Optimal Cash Flow'!E94) * 'Inputs and Outputs'!B92/100</f>
        <v>0</v>
      </c>
      <c r="F138" s="19">
        <f>((-1 * 'Optimal Cash Flow'!F10) + 'Optimal Cash Flow'!F94) * 'Inputs and Outputs'!B92/100</f>
        <v>0</v>
      </c>
      <c r="G138" s="19">
        <f>((-1 * 'Optimal Cash Flow'!G10) + 'Optimal Cash Flow'!G94) * 'Inputs and Outputs'!B92/100</f>
        <v>0</v>
      </c>
      <c r="H138" s="19">
        <f>((-1 * 'Optimal Cash Flow'!H10) + 'Optimal Cash Flow'!H94) * 'Inputs and Outputs'!B92/100</f>
        <v>0</v>
      </c>
      <c r="I138" s="19">
        <f>((-1 * 'Optimal Cash Flow'!I10) + 'Optimal Cash Flow'!I94) * 'Inputs and Outputs'!B92/100</f>
        <v>0</v>
      </c>
      <c r="J138" s="19">
        <f>((-1 * 'Optimal Cash Flow'!J10) + 'Optimal Cash Flow'!J94) * 'Inputs and Outputs'!B92/100</f>
        <v>0</v>
      </c>
      <c r="K138" s="19">
        <f>((-1 * 'Optimal Cash Flow'!K10) + 'Optimal Cash Flow'!K94) * 'Inputs and Outputs'!B92/100</f>
        <v>0</v>
      </c>
      <c r="L138" s="19">
        <f>((-1 * 'Optimal Cash Flow'!L10) + 'Optimal Cash Flow'!L94) * 'Inputs and Outputs'!B92/100</f>
        <v>0</v>
      </c>
      <c r="M138" s="19">
        <f>((-1 * 'Optimal Cash Flow'!M10) + 'Optimal Cash Flow'!M94) * 'Inputs and Outputs'!B92/100</f>
        <v>0</v>
      </c>
      <c r="N138" s="19">
        <f>((-1 * 'Optimal Cash Flow'!N10) + 'Optimal Cash Flow'!N94) * 'Inputs and Outputs'!B92/100</f>
        <v>0</v>
      </c>
      <c r="O138" s="19">
        <f>((-1 * 'Optimal Cash Flow'!O10) + 'Optimal Cash Flow'!O94) * 'Inputs and Outputs'!B92/100</f>
        <v>0</v>
      </c>
      <c r="P138" s="19">
        <f>((-1 * 'Optimal Cash Flow'!P10) + 'Optimal Cash Flow'!P94) * 'Inputs and Outputs'!B92/100</f>
        <v>0</v>
      </c>
      <c r="Q138" s="19">
        <f>((-1 * 'Optimal Cash Flow'!Q10) + 'Optimal Cash Flow'!Q94) * 'Inputs and Outputs'!B92/100</f>
        <v>0</v>
      </c>
      <c r="R138" s="19">
        <f>((-1 * 'Optimal Cash Flow'!R10) + 'Optimal Cash Flow'!R94) * 'Inputs and Outputs'!B92/100</f>
        <v>0</v>
      </c>
      <c r="S138" s="19">
        <f>((-1 * 'Optimal Cash Flow'!S10) + 'Optimal Cash Flow'!S94) * 'Inputs and Outputs'!B92/100</f>
        <v>0</v>
      </c>
      <c r="T138" s="19">
        <f>((-1 * 'Optimal Cash Flow'!T10) + 'Optimal Cash Flow'!T94) * 'Inputs and Outputs'!B92/100</f>
        <v>0</v>
      </c>
      <c r="U138" s="19">
        <f>((-1 * 'Optimal Cash Flow'!U10) + 'Optimal Cash Flow'!U94) * 'Inputs and Outputs'!B92/100</f>
        <v>0</v>
      </c>
      <c r="V138" s="19">
        <f>((-1 * 'Optimal Cash Flow'!V10) + 'Optimal Cash Flow'!V94) * 'Inputs and Outputs'!B92/100</f>
        <v>0</v>
      </c>
      <c r="W138" s="19">
        <f>((-1 * 'Optimal Cash Flow'!W10) + 'Optimal Cash Flow'!W94) * 'Inputs and Outputs'!B92/100</f>
        <v>0</v>
      </c>
      <c r="X138" s="19">
        <f>((-1 * 'Optimal Cash Flow'!X10) + 'Optimal Cash Flow'!X94) * 'Inputs and Outputs'!B92/100</f>
        <v>0</v>
      </c>
      <c r="Y138" s="19">
        <f>((-1 * 'Optimal Cash Flow'!Y10) + 'Optimal Cash Flow'!Y94) * 'Inputs and Outputs'!B92/100</f>
        <v>0</v>
      </c>
      <c r="Z138" s="19">
        <f>((-1 * 'Optimal Cash Flow'!Z10) + 'Optimal Cash Flow'!Z94) * 'Inputs and Outputs'!B92/100</f>
        <v>0</v>
      </c>
      <c r="AA138" s="19">
        <f>((-1 * 'Optimal Cash Flow'!AA10) + 'Optimal Cash Flow'!AA94) * 'Inputs and Outputs'!B92/100</f>
        <v>0</v>
      </c>
    </row>
    <row r="139" spans="1:27">
      <c r="A139" s="19" t="s">
        <v>245</v>
      </c>
      <c r="B139" s="19"/>
      <c r="C139" s="19">
        <f>((-1 * 'Optimal Cash Flow'!C12) + 'Optimal Cash Flow'!C99) * 'Inputs and Outputs'!B92/100</f>
        <v>0</v>
      </c>
      <c r="D139" s="19">
        <f>((-1 * 'Optimal Cash Flow'!D12) + 'Optimal Cash Flow'!D99) * 'Inputs and Outputs'!B92/100</f>
        <v>0</v>
      </c>
      <c r="E139" s="19">
        <f>((-1 * 'Optimal Cash Flow'!E12) + 'Optimal Cash Flow'!E99) * 'Inputs and Outputs'!B92/100</f>
        <v>0</v>
      </c>
      <c r="F139" s="19">
        <f>((-1 * 'Optimal Cash Flow'!F12) + 'Optimal Cash Flow'!F99) * 'Inputs and Outputs'!B92/100</f>
        <v>0</v>
      </c>
      <c r="G139" s="19">
        <f>((-1 * 'Optimal Cash Flow'!G12) + 'Optimal Cash Flow'!G99) * 'Inputs and Outputs'!B92/100</f>
        <v>0</v>
      </c>
      <c r="H139" s="19">
        <f>((-1 * 'Optimal Cash Flow'!H12) + 'Optimal Cash Flow'!H99) * 'Inputs and Outputs'!B92/100</f>
        <v>0</v>
      </c>
      <c r="I139" s="19">
        <f>((-1 * 'Optimal Cash Flow'!I12) + 'Optimal Cash Flow'!I99) * 'Inputs and Outputs'!B92/100</f>
        <v>0</v>
      </c>
      <c r="J139" s="19">
        <f>((-1 * 'Optimal Cash Flow'!J12) + 'Optimal Cash Flow'!J99) * 'Inputs and Outputs'!B92/100</f>
        <v>0</v>
      </c>
      <c r="K139" s="19">
        <f>((-1 * 'Optimal Cash Flow'!K12) + 'Optimal Cash Flow'!K99) * 'Inputs and Outputs'!B92/100</f>
        <v>0</v>
      </c>
      <c r="L139" s="19">
        <f>((-1 * 'Optimal Cash Flow'!L12) + 'Optimal Cash Flow'!L99) * 'Inputs and Outputs'!B92/100</f>
        <v>0</v>
      </c>
      <c r="M139" s="19">
        <f>((-1 * 'Optimal Cash Flow'!M12) + 'Optimal Cash Flow'!M99) * 'Inputs and Outputs'!B92/100</f>
        <v>0</v>
      </c>
      <c r="N139" s="19">
        <f>((-1 * 'Optimal Cash Flow'!N12) + 'Optimal Cash Flow'!N99) * 'Inputs and Outputs'!B92/100</f>
        <v>0</v>
      </c>
      <c r="O139" s="19">
        <f>((-1 * 'Optimal Cash Flow'!O12) + 'Optimal Cash Flow'!O99) * 'Inputs and Outputs'!B92/100</f>
        <v>0</v>
      </c>
      <c r="P139" s="19">
        <f>((-1 * 'Optimal Cash Flow'!P12) + 'Optimal Cash Flow'!P99) * 'Inputs and Outputs'!B92/100</f>
        <v>0</v>
      </c>
      <c r="Q139" s="19">
        <f>((-1 * 'Optimal Cash Flow'!Q12) + 'Optimal Cash Flow'!Q99) * 'Inputs and Outputs'!B92/100</f>
        <v>0</v>
      </c>
      <c r="R139" s="19">
        <f>((-1 * 'Optimal Cash Flow'!R12) + 'Optimal Cash Flow'!R99) * 'Inputs and Outputs'!B92/100</f>
        <v>0</v>
      </c>
      <c r="S139" s="19">
        <f>((-1 * 'Optimal Cash Flow'!S12) + 'Optimal Cash Flow'!S99) * 'Inputs and Outputs'!B92/100</f>
        <v>0</v>
      </c>
      <c r="T139" s="19">
        <f>((-1 * 'Optimal Cash Flow'!T12) + 'Optimal Cash Flow'!T99) * 'Inputs and Outputs'!B92/100</f>
        <v>0</v>
      </c>
      <c r="U139" s="19">
        <f>((-1 * 'Optimal Cash Flow'!U12) + 'Optimal Cash Flow'!U99) * 'Inputs and Outputs'!B92/100</f>
        <v>0</v>
      </c>
      <c r="V139" s="19">
        <f>((-1 * 'Optimal Cash Flow'!V12) + 'Optimal Cash Flow'!V99) * 'Inputs and Outputs'!B92/100</f>
        <v>0</v>
      </c>
      <c r="W139" s="19">
        <f>((-1 * 'Optimal Cash Flow'!W12) + 'Optimal Cash Flow'!W99) * 'Inputs and Outputs'!B92/100</f>
        <v>0</v>
      </c>
      <c r="X139" s="19">
        <f>((-1 * 'Optimal Cash Flow'!X12) + 'Optimal Cash Flow'!X99) * 'Inputs and Outputs'!B92/100</f>
        <v>0</v>
      </c>
      <c r="Y139" s="19">
        <f>((-1 * 'Optimal Cash Flow'!Y12) + 'Optimal Cash Flow'!Y99) * 'Inputs and Outputs'!B92/100</f>
        <v>0</v>
      </c>
      <c r="Z139" s="19">
        <f>((-1 * 'Optimal Cash Flow'!Z12) + 'Optimal Cash Flow'!Z99) * 'Inputs and Outputs'!B92/100</f>
        <v>0</v>
      </c>
      <c r="AA139" s="19">
        <f>((-1 * 'Optimal Cash Flow'!AA12) + 'Optimal Cash Flow'!AA99) * 'Inputs and Outputs'!B92/100</f>
        <v>0</v>
      </c>
    </row>
    <row r="141" spans="1:27">
      <c r="A141" s="10" t="s">
        <v>246</v>
      </c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spans="1:27">
      <c r="A142" s="17" t="s">
        <v>247</v>
      </c>
      <c r="B142" s="17">
        <f>'Inputs and Outputs'!B52-IF('Inputs and Outputs'!E102="Yes",B32,0)-IF('Inputs and Outputs'!E103="Yes",B33,0)-IF('Inputs and Outputs'!E105="Yes",B36,0)-IF('Inputs and Outputs'!E106="Yes",B37,0)-IF('Inputs and Outputs'!E107="Yes",B38,0)</f>
        <v>0</v>
      </c>
    </row>
    <row r="143" spans="1:27">
      <c r="A143" s="17" t="s">
        <v>248</v>
      </c>
      <c r="C143" s="17">
        <f>MIN('Inputs and Outputs'!B97/100*B142,'Inputs and Outputs'!C97)</f>
        <v>0</v>
      </c>
    </row>
    <row r="144" spans="1:27">
      <c r="A144" s="17" t="s">
        <v>249</v>
      </c>
      <c r="B144" s="17">
        <f>'Inputs and Outputs'!B53-IF('Inputs and Outputs'!E119="Yes",B41,0)-IF('Inputs and Outputs'!E120="Yes",B42,0)-IF('Inputs and Outputs'!E122="Yes",B45,0)-IF('Inputs and Outputs'!E123="Yes",B46,0)-IF('Inputs and Outputs'!E124="Yes",B47,0)</f>
        <v>0</v>
      </c>
    </row>
    <row r="145" spans="1:27">
      <c r="A145" s="17" t="s">
        <v>250</v>
      </c>
      <c r="C145" s="17">
        <f>MIN('Inputs and Outputs'!B114/100*B144,'Inputs and Outputs'!C114)</f>
        <v>0</v>
      </c>
    </row>
    <row r="146" spans="1:27">
      <c r="A146" s="17" t="s">
        <v>251</v>
      </c>
      <c r="B146" s="17">
        <f>'Inputs and Outputs'!B55-IF('Inputs and Outputs'!E136="Yes",B50,0)-IF('Inputs and Outputs'!E137="Yes",B51,0)-IF('Inputs and Outputs'!E139="Yes",B54,0)-IF('Inputs and Outputs'!E140="Yes",B55,0)</f>
        <v>0</v>
      </c>
    </row>
    <row r="147" spans="1:27">
      <c r="A147" s="17" t="s">
        <v>252</v>
      </c>
      <c r="C147" s="17">
        <f>MIN('Inputs and Outputs'!B131/100*B146,'Inputs and Outputs'!C131)</f>
        <v>0</v>
      </c>
    </row>
    <row r="148" spans="1:27">
      <c r="A148" s="17" t="s">
        <v>253</v>
      </c>
      <c r="B148" s="17">
        <f>'Inputs and Outputs'!B56-IF('Inputs and Outputs'!E150="Yes",B58,0)-IF('Inputs and Outputs'!E151="Yes",B59,0)-IF('Inputs and Outputs'!E153="Yes",B62,0)-IF('Inputs and Outputs'!E154="Yes",B63,0)-IF('Inputs and Outputs'!E155="Yes",B64,0)</f>
        <v>0</v>
      </c>
    </row>
    <row r="149" spans="1:27">
      <c r="A149" s="17" t="s">
        <v>254</v>
      </c>
      <c r="C149" s="17">
        <f>MIN('Inputs and Outputs'!B145/100*B148,'Inputs and Outputs'!C145)</f>
        <v>0</v>
      </c>
    </row>
    <row r="150" spans="1:27">
      <c r="A150" s="17" t="s">
        <v>255</v>
      </c>
      <c r="B150" s="17">
        <f>'Inputs and Outputs'!B61-IF('Inputs and Outputs'!E167="Yes",B70,0)-IF('Inputs and Outputs'!E168="Yes",B71,0)-IF('Inputs and Outputs'!E170="Yes",B74,0)-IF('Inputs and Outputs'!E171="Yes",B75,0)-IF('Inputs and Outputs'!E172="Yes",B76,0)</f>
        <v>0</v>
      </c>
    </row>
    <row r="151" spans="1:27">
      <c r="A151" s="17" t="s">
        <v>256</v>
      </c>
      <c r="C151" s="17">
        <f>MIN('Inputs and Outputs'!B162/100*B150,'Inputs and Outputs'!C162)</f>
        <v>0</v>
      </c>
    </row>
    <row r="152" spans="1:27">
      <c r="A152" s="19" t="s">
        <v>257</v>
      </c>
      <c r="B152" s="19"/>
      <c r="C152" s="19">
        <f>SUM(C143, C145, C147, C149, C151)</f>
        <v>0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4" spans="1:27">
      <c r="A154" s="10" t="s">
        <v>258</v>
      </c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spans="1:27">
      <c r="A155" s="17" t="s">
        <v>259</v>
      </c>
      <c r="B155" s="17">
        <f>-'Inputs and Outputs'!B51</f>
        <v>0</v>
      </c>
    </row>
    <row r="156" spans="1:27">
      <c r="A156" s="17" t="s">
        <v>260</v>
      </c>
      <c r="C156" s="17">
        <f>(C27 - C28) + C28 * (1 - 'Inputs and Outputs'!B92/100)</f>
        <v>0</v>
      </c>
      <c r="D156" s="17">
        <f>(D27 - D28) + D28 * (1 - 'Inputs and Outputs'!B92/100)</f>
        <v>0</v>
      </c>
      <c r="E156" s="17">
        <f>(E27 - E28) + E28 * (1 - 'Inputs and Outputs'!B92/100)</f>
        <v>0</v>
      </c>
      <c r="F156" s="17">
        <f>(F27 - F28) + F28 * (1 - 'Inputs and Outputs'!B92/100)</f>
        <v>0</v>
      </c>
      <c r="G156" s="17">
        <f>(G27 - G28) + G28 * (1 - 'Inputs and Outputs'!B92/100)</f>
        <v>0</v>
      </c>
      <c r="H156" s="17">
        <f>(H27 - H28) + H28 * (1 - 'Inputs and Outputs'!B92/100)</f>
        <v>0</v>
      </c>
      <c r="I156" s="17">
        <f>(I27 - I28) + I28 * (1 - 'Inputs and Outputs'!B92/100)</f>
        <v>0</v>
      </c>
      <c r="J156" s="17">
        <f>(J27 - J28) + J28 * (1 - 'Inputs and Outputs'!B92/100)</f>
        <v>0</v>
      </c>
      <c r="K156" s="17">
        <f>(K27 - K28) + K28 * (1 - 'Inputs and Outputs'!B92/100)</f>
        <v>0</v>
      </c>
      <c r="L156" s="17">
        <f>(L27 - L28) + L28 * (1 - 'Inputs and Outputs'!B92/100)</f>
        <v>0</v>
      </c>
      <c r="M156" s="17">
        <f>(M27 - M28) + M28 * (1 - 'Inputs and Outputs'!B92/100)</f>
        <v>0</v>
      </c>
      <c r="N156" s="17">
        <f>(N27 - N28) + N28 * (1 - 'Inputs and Outputs'!B92/100)</f>
        <v>0</v>
      </c>
      <c r="O156" s="17">
        <f>(O27 - O28) + O28 * (1 - 'Inputs and Outputs'!B92/100)</f>
        <v>0</v>
      </c>
      <c r="P156" s="17">
        <f>(P27 - P28) + P28 * (1 - 'Inputs and Outputs'!B92/100)</f>
        <v>0</v>
      </c>
      <c r="Q156" s="17">
        <f>(Q27 - Q28) + Q28 * (1 - 'Inputs and Outputs'!B92/100)</f>
        <v>0</v>
      </c>
      <c r="R156" s="17">
        <f>(R27 - R28) + R28 * (1 - 'Inputs and Outputs'!B92/100)</f>
        <v>0</v>
      </c>
      <c r="S156" s="17">
        <f>(S27 - S28) + S28 * (1 - 'Inputs and Outputs'!B92/100)</f>
        <v>0</v>
      </c>
      <c r="T156" s="17">
        <f>(T27 - T28) + T28 * (1 - 'Inputs and Outputs'!B92/100)</f>
        <v>0</v>
      </c>
      <c r="U156" s="17">
        <f>(U27 - U28) + U28 * (1 - 'Inputs and Outputs'!B92/100)</f>
        <v>0</v>
      </c>
      <c r="V156" s="17">
        <f>(V27 - V28) + V28 * (1 - 'Inputs and Outputs'!B92/100)</f>
        <v>0</v>
      </c>
      <c r="W156" s="17">
        <f>(W27 - W28) + W28 * (1 - 'Inputs and Outputs'!B92/100)</f>
        <v>0</v>
      </c>
      <c r="X156" s="17">
        <f>(X27 - X28) + X28 * (1 - 'Inputs and Outputs'!B92/100)</f>
        <v>0</v>
      </c>
      <c r="Y156" s="17">
        <f>(Y27 - Y28) + Y28 * (1 - 'Inputs and Outputs'!B92/100)</f>
        <v>0</v>
      </c>
      <c r="Z156" s="17">
        <f>(Z27 - Z28) + Z28 * (1 - 'Inputs and Outputs'!B92/100)</f>
        <v>0</v>
      </c>
      <c r="AA156" s="17">
        <f>(AA27 - AA28) + AA28 * (1 - 'Inputs and Outputs'!B92/100)</f>
        <v>0</v>
      </c>
    </row>
    <row r="157" spans="1:27">
      <c r="A157" s="17" t="s">
        <v>261</v>
      </c>
      <c r="B157" s="17">
        <f>(B86 * (1 - 'Inputs and Outputs'!B92/100)) + B87</f>
        <v>0</v>
      </c>
      <c r="C157" s="17">
        <f>(C86 * (1 - 'Inputs and Outputs'!B92/100)) + C87</f>
        <v>0</v>
      </c>
      <c r="D157" s="17">
        <f>(D86 * (1 - 'Inputs and Outputs'!B92/100)) + D87</f>
        <v>0</v>
      </c>
      <c r="E157" s="17">
        <f>(E86 * (1 - 'Inputs and Outputs'!B92/100)) + E87</f>
        <v>0</v>
      </c>
      <c r="F157" s="17">
        <f>(F86 * (1 - 'Inputs and Outputs'!B92/100)) + F87</f>
        <v>0</v>
      </c>
      <c r="G157" s="17">
        <f>(G86 * (1 - 'Inputs and Outputs'!B92/100)) + G87</f>
        <v>0</v>
      </c>
      <c r="H157" s="17">
        <f>(H86 * (1 - 'Inputs and Outputs'!B92/100)) + H87</f>
        <v>0</v>
      </c>
      <c r="I157" s="17">
        <f>(I86 * (1 - 'Inputs and Outputs'!B92/100)) + I87</f>
        <v>0</v>
      </c>
      <c r="J157" s="17">
        <f>(J86 * (1 - 'Inputs and Outputs'!B92/100)) + J87</f>
        <v>0</v>
      </c>
      <c r="K157" s="17">
        <f>(K86 * (1 - 'Inputs and Outputs'!B92/100)) + K87</f>
        <v>0</v>
      </c>
      <c r="L157" s="17">
        <f>(L86 * (1 - 'Inputs and Outputs'!B92/100)) + L87</f>
        <v>0</v>
      </c>
      <c r="M157" s="17">
        <f>(M86 * (1 - 'Inputs and Outputs'!B92/100)) + M87</f>
        <v>0</v>
      </c>
      <c r="N157" s="17">
        <f>(N86 * (1 - 'Inputs and Outputs'!B92/100)) + N87</f>
        <v>0</v>
      </c>
      <c r="O157" s="17">
        <f>(O86 * (1 - 'Inputs and Outputs'!B92/100)) + O87</f>
        <v>0</v>
      </c>
      <c r="P157" s="17">
        <f>(P86 * (1 - 'Inputs and Outputs'!B92/100)) + P87</f>
        <v>0</v>
      </c>
      <c r="Q157" s="17">
        <f>(Q86 * (1 - 'Inputs and Outputs'!B92/100)) + Q87</f>
        <v>0</v>
      </c>
      <c r="R157" s="17">
        <f>(R86 * (1 - 'Inputs and Outputs'!B92/100)) + R87</f>
        <v>0</v>
      </c>
      <c r="S157" s="17">
        <f>(S86 * (1 - 'Inputs and Outputs'!B92/100)) + S87</f>
        <v>0</v>
      </c>
      <c r="T157" s="17">
        <f>(T86 * (1 - 'Inputs and Outputs'!B92/100)) + T87</f>
        <v>0</v>
      </c>
      <c r="U157" s="17">
        <f>(U86 * (1 - 'Inputs and Outputs'!B92/100)) + U87</f>
        <v>0</v>
      </c>
      <c r="V157" s="17">
        <f>(V86 * (1 - 'Inputs and Outputs'!B92/100)) + V87</f>
        <v>0</v>
      </c>
      <c r="W157" s="17">
        <f>(W86 * (1 - 'Inputs and Outputs'!B92/100)) + W87</f>
        <v>0</v>
      </c>
      <c r="X157" s="17">
        <f>(X86 * (1 - 'Inputs and Outputs'!B92/100)) + X87</f>
        <v>0</v>
      </c>
      <c r="Y157" s="17">
        <f>(Y86 * (1 - 'Inputs and Outputs'!B92/100)) + Y87</f>
        <v>0</v>
      </c>
      <c r="Z157" s="17">
        <f>(Z86 * (1 - 'Inputs and Outputs'!B92/100)) + Z87</f>
        <v>0</v>
      </c>
      <c r="AA157" s="17">
        <f>(AA86 * (1 - 'Inputs and Outputs'!B92/100)) + AA87</f>
        <v>0</v>
      </c>
    </row>
    <row r="158" spans="1:27">
      <c r="A158" s="17" t="s">
        <v>262</v>
      </c>
      <c r="C158" s="17">
        <f>C135 * 'Inputs and Outputs'!B92/100</f>
        <v>0</v>
      </c>
      <c r="D158" s="17">
        <f>D135 * 'Inputs and Outputs'!B92/100</f>
        <v>0</v>
      </c>
      <c r="E158" s="17">
        <f>E135 * 'Inputs and Outputs'!B92/100</f>
        <v>0</v>
      </c>
      <c r="F158" s="17">
        <f>F135 * 'Inputs and Outputs'!B92/100</f>
        <v>0</v>
      </c>
      <c r="G158" s="17">
        <f>G135 * 'Inputs and Outputs'!B92/100</f>
        <v>0</v>
      </c>
      <c r="H158" s="17">
        <f>H135 * 'Inputs and Outputs'!B92/100</f>
        <v>0</v>
      </c>
      <c r="I158" s="17">
        <f>I135 * 'Inputs and Outputs'!B92/100</f>
        <v>0</v>
      </c>
      <c r="J158" s="17">
        <f>J135 * 'Inputs and Outputs'!B92/100</f>
        <v>0</v>
      </c>
      <c r="K158" s="17">
        <f>K135 * 'Inputs and Outputs'!B92/100</f>
        <v>0</v>
      </c>
      <c r="L158" s="17">
        <f>L135 * 'Inputs and Outputs'!B92/100</f>
        <v>0</v>
      </c>
      <c r="M158" s="17">
        <f>M135 * 'Inputs and Outputs'!B92/100</f>
        <v>0</v>
      </c>
      <c r="N158" s="17">
        <f>N135 * 'Inputs and Outputs'!B92/100</f>
        <v>0</v>
      </c>
      <c r="O158" s="17">
        <f>O135 * 'Inputs and Outputs'!B92/100</f>
        <v>0</v>
      </c>
      <c r="P158" s="17">
        <f>P135 * 'Inputs and Outputs'!B92/100</f>
        <v>0</v>
      </c>
      <c r="Q158" s="17">
        <f>Q135 * 'Inputs and Outputs'!B92/100</f>
        <v>0</v>
      </c>
      <c r="R158" s="17">
        <f>R135 * 'Inputs and Outputs'!B92/100</f>
        <v>0</v>
      </c>
      <c r="S158" s="17">
        <f>S135 * 'Inputs and Outputs'!B92/100</f>
        <v>0</v>
      </c>
      <c r="T158" s="17">
        <f>T135 * 'Inputs and Outputs'!B92/100</f>
        <v>0</v>
      </c>
      <c r="U158" s="17">
        <f>U135 * 'Inputs and Outputs'!B92/100</f>
        <v>0</v>
      </c>
      <c r="V158" s="17">
        <f>V135 * 'Inputs and Outputs'!B92/100</f>
        <v>0</v>
      </c>
      <c r="W158" s="17">
        <f>W135 * 'Inputs and Outputs'!B92/100</f>
        <v>0</v>
      </c>
      <c r="X158" s="17">
        <f>X135 * 'Inputs and Outputs'!B92/100</f>
        <v>0</v>
      </c>
      <c r="Y158" s="17">
        <f>Y135 * 'Inputs and Outputs'!B92/100</f>
        <v>0</v>
      </c>
      <c r="Z158" s="17">
        <f>Z135 * 'Inputs and Outputs'!B92/100</f>
        <v>0</v>
      </c>
      <c r="AA158" s="17">
        <f>AA135 * 'Inputs and Outputs'!B92/100</f>
        <v>0</v>
      </c>
    </row>
    <row r="159" spans="1:27">
      <c r="A159" s="17" t="s">
        <v>263</v>
      </c>
      <c r="C159" s="17">
        <f>C152</f>
        <v>0</v>
      </c>
      <c r="D159" s="17">
        <f>D152</f>
        <v>0</v>
      </c>
      <c r="E159" s="17">
        <f>E152</f>
        <v>0</v>
      </c>
      <c r="F159" s="17">
        <f>F152</f>
        <v>0</v>
      </c>
      <c r="G159" s="17">
        <f>G152</f>
        <v>0</v>
      </c>
      <c r="H159" s="17">
        <f>H152</f>
        <v>0</v>
      </c>
      <c r="I159" s="17">
        <f>I152</f>
        <v>0</v>
      </c>
      <c r="J159" s="17">
        <f>J152</f>
        <v>0</v>
      </c>
      <c r="K159" s="17">
        <f>K152</f>
        <v>0</v>
      </c>
      <c r="L159" s="17">
        <f>L152</f>
        <v>0</v>
      </c>
      <c r="M159" s="17">
        <f>M152</f>
        <v>0</v>
      </c>
      <c r="N159" s="17">
        <f>N152</f>
        <v>0</v>
      </c>
      <c r="O159" s="17">
        <f>O152</f>
        <v>0</v>
      </c>
      <c r="P159" s="17">
        <f>P152</f>
        <v>0</v>
      </c>
      <c r="Q159" s="17">
        <f>Q152</f>
        <v>0</v>
      </c>
      <c r="R159" s="17">
        <f>R152</f>
        <v>0</v>
      </c>
      <c r="S159" s="17">
        <f>S152</f>
        <v>0</v>
      </c>
      <c r="T159" s="17">
        <f>T152</f>
        <v>0</v>
      </c>
      <c r="U159" s="17">
        <f>U152</f>
        <v>0</v>
      </c>
      <c r="V159" s="17">
        <f>V152</f>
        <v>0</v>
      </c>
      <c r="W159" s="17">
        <f>W152</f>
        <v>0</v>
      </c>
      <c r="X159" s="17">
        <f>X152</f>
        <v>0</v>
      </c>
      <c r="Y159" s="17">
        <f>Y152</f>
        <v>0</v>
      </c>
      <c r="Z159" s="17">
        <f>Z152</f>
        <v>0</v>
      </c>
      <c r="AA159" s="17">
        <f>AA152</f>
        <v>0</v>
      </c>
    </row>
    <row r="160" spans="1:27">
      <c r="A160" s="19" t="s">
        <v>264</v>
      </c>
      <c r="B160" s="19">
        <f>B155+B157</f>
        <v>0</v>
      </c>
      <c r="C160" s="19">
        <f>C156 + C157 + C158 + C159</f>
        <v>0</v>
      </c>
      <c r="D160" s="19">
        <f>D156 + D157 + D158 + D159</f>
        <v>0</v>
      </c>
      <c r="E160" s="19">
        <f>E156 + E157 + E158 + E159</f>
        <v>0</v>
      </c>
      <c r="F160" s="19">
        <f>F156 + F157 + F158 + F159</f>
        <v>0</v>
      </c>
      <c r="G160" s="19">
        <f>G156 + G157 + G158 + G159</f>
        <v>0</v>
      </c>
      <c r="H160" s="19">
        <f>H156 + H157 + H158 + H159</f>
        <v>0</v>
      </c>
      <c r="I160" s="19">
        <f>I156 + I157 + I158 + I159</f>
        <v>0</v>
      </c>
      <c r="J160" s="19">
        <f>J156 + J157 + J158 + J159</f>
        <v>0</v>
      </c>
      <c r="K160" s="19">
        <f>K156 + K157 + K158 + K159</f>
        <v>0</v>
      </c>
      <c r="L160" s="19">
        <f>L156 + L157 + L158 + L159</f>
        <v>0</v>
      </c>
      <c r="M160" s="19">
        <f>M156 + M157 + M158 + M159</f>
        <v>0</v>
      </c>
      <c r="N160" s="19">
        <f>N156 + N157 + N158 + N159</f>
        <v>0</v>
      </c>
      <c r="O160" s="19">
        <f>O156 + O157 + O158 + O159</f>
        <v>0</v>
      </c>
      <c r="P160" s="19">
        <f>P156 + P157 + P158 + P159</f>
        <v>0</v>
      </c>
      <c r="Q160" s="19">
        <f>Q156 + Q157 + Q158 + Q159</f>
        <v>0</v>
      </c>
      <c r="R160" s="19">
        <f>R156 + R157 + R158 + R159</f>
        <v>0</v>
      </c>
      <c r="S160" s="19">
        <f>S156 + S157 + S158 + S159</f>
        <v>0</v>
      </c>
      <c r="T160" s="19">
        <f>T156 + T157 + T158 + T159</f>
        <v>0</v>
      </c>
      <c r="U160" s="19">
        <f>U156 + U157 + U158 + U159</f>
        <v>0</v>
      </c>
      <c r="V160" s="19">
        <f>V156 + V157 + V158 + V159</f>
        <v>0</v>
      </c>
      <c r="W160" s="19">
        <f>W156 + W157 + W158 + W159</f>
        <v>0</v>
      </c>
      <c r="X160" s="19">
        <f>X156 + X157 + X158 + X159</f>
        <v>0</v>
      </c>
      <c r="Y160" s="19">
        <f>Y156 + Y157 + Y158 + Y159</f>
        <v>0</v>
      </c>
      <c r="Z160" s="19">
        <f>Z156 + Z157 + Z158 + Z159</f>
        <v>0</v>
      </c>
      <c r="AA160" s="19">
        <f>AA156 + AA157 + AA158 + AA159</f>
        <v>0</v>
      </c>
    </row>
    <row r="161" spans="1:27">
      <c r="A161" s="19" t="s">
        <v>265</v>
      </c>
      <c r="B161" s="19">
        <f>B155+B157</f>
        <v>0</v>
      </c>
      <c r="C161" s="19">
        <f>C160 / (1 + 'Inputs and Outputs'!B89/100)^2</f>
        <v>0</v>
      </c>
      <c r="D161" s="19">
        <f>D160 / (1 + 'Inputs and Outputs'!B89/100)^3</f>
        <v>0</v>
      </c>
      <c r="E161" s="19">
        <f>E160 / (1 + 'Inputs and Outputs'!B89/100)^4</f>
        <v>0</v>
      </c>
      <c r="F161" s="19">
        <f>F160 / (1 + 'Inputs and Outputs'!B89/100)^5</f>
        <v>0</v>
      </c>
      <c r="G161" s="19">
        <f>G160 / (1 + 'Inputs and Outputs'!B89/100)^6</f>
        <v>0</v>
      </c>
      <c r="H161" s="19">
        <f>H160 / (1 + 'Inputs and Outputs'!B89/100)^7</f>
        <v>0</v>
      </c>
      <c r="I161" s="19">
        <f>I160 / (1 + 'Inputs and Outputs'!B89/100)^8</f>
        <v>0</v>
      </c>
      <c r="J161" s="19">
        <f>J160 / (1 + 'Inputs and Outputs'!B89/100)^9</f>
        <v>0</v>
      </c>
      <c r="K161" s="19">
        <f>K160 / (1 + 'Inputs and Outputs'!B89/100)^10</f>
        <v>0</v>
      </c>
      <c r="L161" s="19">
        <f>L160 / (1 + 'Inputs and Outputs'!B89/100)^11</f>
        <v>0</v>
      </c>
      <c r="M161" s="19">
        <f>M160 / (1 + 'Inputs and Outputs'!B89/100)^12</f>
        <v>0</v>
      </c>
      <c r="N161" s="19">
        <f>N160 / (1 + 'Inputs and Outputs'!B89/100)^13</f>
        <v>0</v>
      </c>
      <c r="O161" s="19">
        <f>O160 / (1 + 'Inputs and Outputs'!B89/100)^14</f>
        <v>0</v>
      </c>
      <c r="P161" s="19">
        <f>P160 / (1 + 'Inputs and Outputs'!B89/100)^15</f>
        <v>0</v>
      </c>
      <c r="Q161" s="19">
        <f>Q160 / (1 + 'Inputs and Outputs'!B89/100)^16</f>
        <v>0</v>
      </c>
      <c r="R161" s="19">
        <f>R160 / (1 + 'Inputs and Outputs'!B89/100)^17</f>
        <v>0</v>
      </c>
      <c r="S161" s="19">
        <f>S160 / (1 + 'Inputs and Outputs'!B89/100)^18</f>
        <v>0</v>
      </c>
      <c r="T161" s="19">
        <f>T160 / (1 + 'Inputs and Outputs'!B89/100)^19</f>
        <v>0</v>
      </c>
      <c r="U161" s="19">
        <f>U160 / (1 + 'Inputs and Outputs'!B89/100)^20</f>
        <v>0</v>
      </c>
      <c r="V161" s="19">
        <f>V160 / (1 + 'Inputs and Outputs'!B89/100)^21</f>
        <v>0</v>
      </c>
      <c r="W161" s="19">
        <f>W160 / (1 + 'Inputs and Outputs'!B89/100)^22</f>
        <v>0</v>
      </c>
      <c r="X161" s="19">
        <f>X160 / (1 + 'Inputs and Outputs'!B89/100)^23</f>
        <v>0</v>
      </c>
      <c r="Y161" s="19">
        <f>Y160 / (1 + 'Inputs and Outputs'!B89/100)^24</f>
        <v>0</v>
      </c>
      <c r="Z161" s="19">
        <f>Z160 / (1 + 'Inputs and Outputs'!B89/100)^25</f>
        <v>0</v>
      </c>
      <c r="AA161" s="19">
        <f>AA160 / (1 + 'Inputs and Outputs'!B89/100)^26</f>
        <v>0</v>
      </c>
    </row>
    <row r="162" spans="1:27">
      <c r="A162" s="8" t="s">
        <v>266</v>
      </c>
      <c r="B162" s="17">
        <f>SUM(B161:AA161)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4"/>
  <sheetViews>
    <sheetView workbookViewId="0"/>
  </sheetViews>
  <sheetFormatPr defaultRowHeight="15"/>
  <cols>
    <col min="1" max="1" width="25" customWidth="1"/>
    <col min="2" max="27" width="11.140625" customWidth="1"/>
  </cols>
  <sheetData>
    <row r="1" spans="1:27">
      <c r="A1" s="1" t="s">
        <v>276</v>
      </c>
      <c r="B1" s="1"/>
    </row>
    <row r="2" spans="1:27">
      <c r="A2" s="16" t="s">
        <v>177</v>
      </c>
      <c r="B2" s="16">
        <v>0</v>
      </c>
      <c r="C2" s="16">
        <v>1</v>
      </c>
      <c r="D2" s="16">
        <v>2</v>
      </c>
      <c r="E2" s="16">
        <v>3</v>
      </c>
      <c r="F2" s="16">
        <v>4</v>
      </c>
      <c r="G2" s="16">
        <v>5</v>
      </c>
      <c r="H2" s="16">
        <v>6</v>
      </c>
      <c r="I2" s="16">
        <v>7</v>
      </c>
      <c r="J2" s="16">
        <v>8</v>
      </c>
      <c r="K2" s="16">
        <v>9</v>
      </c>
      <c r="L2" s="16">
        <v>10</v>
      </c>
      <c r="M2" s="16">
        <v>11</v>
      </c>
      <c r="N2" s="16">
        <v>12</v>
      </c>
      <c r="O2" s="16">
        <v>13</v>
      </c>
      <c r="P2" s="16">
        <v>14</v>
      </c>
      <c r="Q2" s="16">
        <v>15</v>
      </c>
      <c r="R2" s="16">
        <v>16</v>
      </c>
      <c r="S2" s="16">
        <v>17</v>
      </c>
      <c r="T2" s="16">
        <v>18</v>
      </c>
      <c r="U2" s="16">
        <v>19</v>
      </c>
      <c r="V2" s="16">
        <v>20</v>
      </c>
      <c r="W2" s="16">
        <v>21</v>
      </c>
      <c r="X2" s="16">
        <v>22</v>
      </c>
      <c r="Y2" s="16">
        <v>23</v>
      </c>
      <c r="Z2" s="16">
        <v>24</v>
      </c>
      <c r="AA2" s="16">
        <v>25</v>
      </c>
    </row>
    <row r="3" spans="1:27">
      <c r="A3" s="17" t="s">
        <v>267</v>
      </c>
      <c r="C3" s="17">
        <f>-'Inputs and Outputs'!B22 * (1 + 'Inputs and Outputs'!B86/100)^1</f>
        <v>0</v>
      </c>
      <c r="D3" s="17">
        <f>-'Inputs and Outputs'!B22 * (1 + 'Inputs and Outputs'!B86/100)^2</f>
        <v>0</v>
      </c>
      <c r="E3" s="17">
        <f>-'Inputs and Outputs'!B22 * (1 + 'Inputs and Outputs'!B86/100)^3</f>
        <v>0</v>
      </c>
      <c r="F3" s="17">
        <f>-'Inputs and Outputs'!B22 * (1 + 'Inputs and Outputs'!B86/100)^4</f>
        <v>0</v>
      </c>
      <c r="G3" s="17">
        <f>-'Inputs and Outputs'!B22 * (1 + 'Inputs and Outputs'!B86/100)^5</f>
        <v>0</v>
      </c>
      <c r="H3" s="17">
        <f>-'Inputs and Outputs'!B22 * (1 + 'Inputs and Outputs'!B86/100)^6</f>
        <v>0</v>
      </c>
      <c r="I3" s="17">
        <f>-'Inputs and Outputs'!B22 * (1 + 'Inputs and Outputs'!B86/100)^7</f>
        <v>0</v>
      </c>
      <c r="J3" s="17">
        <f>-'Inputs and Outputs'!B22 * (1 + 'Inputs and Outputs'!B86/100)^8</f>
        <v>0</v>
      </c>
      <c r="K3" s="17">
        <f>-'Inputs and Outputs'!B22 * (1 + 'Inputs and Outputs'!B86/100)^9</f>
        <v>0</v>
      </c>
      <c r="L3" s="17">
        <f>-'Inputs and Outputs'!B22 * (1 + 'Inputs and Outputs'!B86/100)^10</f>
        <v>0</v>
      </c>
      <c r="M3" s="17">
        <f>-'Inputs and Outputs'!B22 * (1 + 'Inputs and Outputs'!B86/100)^11</f>
        <v>0</v>
      </c>
      <c r="N3" s="17">
        <f>-'Inputs and Outputs'!B22 * (1 + 'Inputs and Outputs'!B86/100)^12</f>
        <v>0</v>
      </c>
      <c r="O3" s="17">
        <f>-'Inputs and Outputs'!B22 * (1 + 'Inputs and Outputs'!B86/100)^13</f>
        <v>0</v>
      </c>
      <c r="P3" s="17">
        <f>-'Inputs and Outputs'!B22 * (1 + 'Inputs and Outputs'!B86/100)^14</f>
        <v>0</v>
      </c>
      <c r="Q3" s="17">
        <f>-'Inputs and Outputs'!B22 * (1 + 'Inputs and Outputs'!B86/100)^15</f>
        <v>0</v>
      </c>
      <c r="R3" s="17">
        <f>-'Inputs and Outputs'!B22 * (1 + 'Inputs and Outputs'!B86/100)^16</f>
        <v>0</v>
      </c>
      <c r="S3" s="17">
        <f>-'Inputs and Outputs'!B22 * (1 + 'Inputs and Outputs'!B86/100)^17</f>
        <v>0</v>
      </c>
      <c r="T3" s="17">
        <f>-'Inputs and Outputs'!B22 * (1 + 'Inputs and Outputs'!B86/100)^18</f>
        <v>0</v>
      </c>
      <c r="U3" s="17">
        <f>-'Inputs and Outputs'!B22 * (1 + 'Inputs and Outputs'!B86/100)^19</f>
        <v>0</v>
      </c>
      <c r="V3" s="17">
        <f>-'Inputs and Outputs'!B22 * (1 + 'Inputs and Outputs'!B86/100)^20</f>
        <v>0</v>
      </c>
      <c r="W3" s="17">
        <f>-'Inputs and Outputs'!B22 * (1 + 'Inputs and Outputs'!B86/100)^21</f>
        <v>0</v>
      </c>
      <c r="X3" s="17">
        <f>-'Inputs and Outputs'!B22 * (1 + 'Inputs and Outputs'!B86/100)^22</f>
        <v>0</v>
      </c>
      <c r="Y3" s="17">
        <f>-'Inputs and Outputs'!B22 * (1 + 'Inputs and Outputs'!B86/100)^23</f>
        <v>0</v>
      </c>
      <c r="Z3" s="17">
        <f>-'Inputs and Outputs'!B22 * (1 + 'Inputs and Outputs'!B86/100)^24</f>
        <v>0</v>
      </c>
      <c r="AA3" s="17">
        <f>-'Inputs and Outputs'!B22 * (1 + 'Inputs and Outputs'!B86/100)^25</f>
        <v>0</v>
      </c>
    </row>
    <row r="4" spans="1:27">
      <c r="A4" s="17" t="s">
        <v>268</v>
      </c>
      <c r="C4" s="17">
        <f>-'Inputs and Outputs'!B23 * (1 + 'Inputs and Outputs'!B86/100)^1</f>
        <v>0</v>
      </c>
      <c r="D4" s="17">
        <f>-'Inputs and Outputs'!B23 * (1 + 'Inputs and Outputs'!B86/100)^2</f>
        <v>0</v>
      </c>
      <c r="E4" s="17">
        <f>-'Inputs and Outputs'!B23 * (1 + 'Inputs and Outputs'!B86/100)^3</f>
        <v>0</v>
      </c>
      <c r="F4" s="17">
        <f>-'Inputs and Outputs'!B23 * (1 + 'Inputs and Outputs'!B86/100)^4</f>
        <v>0</v>
      </c>
      <c r="G4" s="17">
        <f>-'Inputs and Outputs'!B23 * (1 + 'Inputs and Outputs'!B86/100)^5</f>
        <v>0</v>
      </c>
      <c r="H4" s="17">
        <f>-'Inputs and Outputs'!B23 * (1 + 'Inputs and Outputs'!B86/100)^6</f>
        <v>0</v>
      </c>
      <c r="I4" s="17">
        <f>-'Inputs and Outputs'!B23 * (1 + 'Inputs and Outputs'!B86/100)^7</f>
        <v>0</v>
      </c>
      <c r="J4" s="17">
        <f>-'Inputs and Outputs'!B23 * (1 + 'Inputs and Outputs'!B86/100)^8</f>
        <v>0</v>
      </c>
      <c r="K4" s="17">
        <f>-'Inputs and Outputs'!B23 * (1 + 'Inputs and Outputs'!B86/100)^9</f>
        <v>0</v>
      </c>
      <c r="L4" s="17">
        <f>-'Inputs and Outputs'!B23 * (1 + 'Inputs and Outputs'!B86/100)^10</f>
        <v>0</v>
      </c>
      <c r="M4" s="17">
        <f>-'Inputs and Outputs'!B23 * (1 + 'Inputs and Outputs'!B86/100)^11</f>
        <v>0</v>
      </c>
      <c r="N4" s="17">
        <f>-'Inputs and Outputs'!B23 * (1 + 'Inputs and Outputs'!B86/100)^12</f>
        <v>0</v>
      </c>
      <c r="O4" s="17">
        <f>-'Inputs and Outputs'!B23 * (1 + 'Inputs and Outputs'!B86/100)^13</f>
        <v>0</v>
      </c>
      <c r="P4" s="17">
        <f>-'Inputs and Outputs'!B23 * (1 + 'Inputs and Outputs'!B86/100)^14</f>
        <v>0</v>
      </c>
      <c r="Q4" s="17">
        <f>-'Inputs and Outputs'!B23 * (1 + 'Inputs and Outputs'!B86/100)^15</f>
        <v>0</v>
      </c>
      <c r="R4" s="17">
        <f>-'Inputs and Outputs'!B23 * (1 + 'Inputs and Outputs'!B86/100)^16</f>
        <v>0</v>
      </c>
      <c r="S4" s="17">
        <f>-'Inputs and Outputs'!B23 * (1 + 'Inputs and Outputs'!B86/100)^17</f>
        <v>0</v>
      </c>
      <c r="T4" s="17">
        <f>-'Inputs and Outputs'!B23 * (1 + 'Inputs and Outputs'!B86/100)^18</f>
        <v>0</v>
      </c>
      <c r="U4" s="17">
        <f>-'Inputs and Outputs'!B23 * (1 + 'Inputs and Outputs'!B86/100)^19</f>
        <v>0</v>
      </c>
      <c r="V4" s="17">
        <f>-'Inputs and Outputs'!B23 * (1 + 'Inputs and Outputs'!B86/100)^20</f>
        <v>0</v>
      </c>
      <c r="W4" s="17">
        <f>-'Inputs and Outputs'!B23 * (1 + 'Inputs and Outputs'!B86/100)^21</f>
        <v>0</v>
      </c>
      <c r="X4" s="17">
        <f>-'Inputs and Outputs'!B23 * (1 + 'Inputs and Outputs'!B86/100)^22</f>
        <v>0</v>
      </c>
      <c r="Y4" s="17">
        <f>-'Inputs and Outputs'!B23 * (1 + 'Inputs and Outputs'!B86/100)^23</f>
        <v>0</v>
      </c>
      <c r="Z4" s="17">
        <f>-'Inputs and Outputs'!B23 * (1 + 'Inputs and Outputs'!B86/100)^24</f>
        <v>0</v>
      </c>
      <c r="AA4" s="17">
        <f>-'Inputs and Outputs'!B23 * (1 + 'Inputs and Outputs'!B86/100)^25</f>
        <v>0</v>
      </c>
    </row>
    <row r="5" spans="1:27">
      <c r="A5" s="17" t="s">
        <v>269</v>
      </c>
      <c r="C5" s="17">
        <f>(-1*('Inputs and Outputs'!B35 * (1 + 'Inputs and Outputs'!B87/100)^1))</f>
        <v>0</v>
      </c>
      <c r="D5" s="17">
        <f>(-1*('Inputs and Outputs'!B35 * (1 + 'Inputs and Outputs'!B87/100)^2))</f>
        <v>0</v>
      </c>
      <c r="E5" s="17">
        <f>(-1*('Inputs and Outputs'!B35 * (1 + 'Inputs and Outputs'!B87/100)^3))</f>
        <v>0</v>
      </c>
      <c r="F5" s="17">
        <f>(-1*('Inputs and Outputs'!B35 * (1 + 'Inputs and Outputs'!B87/100)^4))</f>
        <v>0</v>
      </c>
      <c r="G5" s="17">
        <f>(-1*('Inputs and Outputs'!B35 * (1 + 'Inputs and Outputs'!B87/100)^5))</f>
        <v>0</v>
      </c>
      <c r="H5" s="17">
        <f>(-1*('Inputs and Outputs'!B35 * (1 + 'Inputs and Outputs'!B87/100)^6))</f>
        <v>0</v>
      </c>
      <c r="I5" s="17">
        <f>(-1*('Inputs and Outputs'!B35 * (1 + 'Inputs and Outputs'!B87/100)^7))</f>
        <v>0</v>
      </c>
      <c r="J5" s="17">
        <f>(-1*('Inputs and Outputs'!B35 * (1 + 'Inputs and Outputs'!B87/100)^8))</f>
        <v>0</v>
      </c>
      <c r="K5" s="17">
        <f>(-1*('Inputs and Outputs'!B35 * (1 + 'Inputs and Outputs'!B87/100)^9))</f>
        <v>0</v>
      </c>
      <c r="L5" s="17">
        <f>(-1*('Inputs and Outputs'!B35 * (1 + 'Inputs and Outputs'!B87/100)^10))</f>
        <v>0</v>
      </c>
      <c r="M5" s="17">
        <f>(-1*('Inputs and Outputs'!B35 * (1 + 'Inputs and Outputs'!B87/100)^11))</f>
        <v>0</v>
      </c>
      <c r="N5" s="17">
        <f>(-1*('Inputs and Outputs'!B35 * (1 + 'Inputs and Outputs'!B87/100)^12))</f>
        <v>0</v>
      </c>
      <c r="O5" s="17">
        <f>(-1*('Inputs and Outputs'!B35 * (1 + 'Inputs and Outputs'!B87/100)^13))</f>
        <v>0</v>
      </c>
      <c r="P5" s="17">
        <f>(-1*('Inputs and Outputs'!B35 * (1 + 'Inputs and Outputs'!B87/100)^14))</f>
        <v>0</v>
      </c>
      <c r="Q5" s="17">
        <f>(-1*('Inputs and Outputs'!B35 * (1 + 'Inputs and Outputs'!B87/100)^15))</f>
        <v>0</v>
      </c>
      <c r="R5" s="17">
        <f>(-1*('Inputs and Outputs'!B35 * (1 + 'Inputs and Outputs'!B87/100)^16))</f>
        <v>0</v>
      </c>
      <c r="S5" s="17">
        <f>(-1*('Inputs and Outputs'!B35 * (1 + 'Inputs and Outputs'!B87/100)^17))</f>
        <v>0</v>
      </c>
      <c r="T5" s="17">
        <f>(-1*('Inputs and Outputs'!B35 * (1 + 'Inputs and Outputs'!B87/100)^18))</f>
        <v>0</v>
      </c>
      <c r="U5" s="17">
        <f>(-1*('Inputs and Outputs'!B35 * (1 + 'Inputs and Outputs'!B87/100)^19))</f>
        <v>0</v>
      </c>
      <c r="V5" s="17">
        <f>(-1*('Inputs and Outputs'!B35 * (1 + 'Inputs and Outputs'!B87/100)^20))</f>
        <v>0</v>
      </c>
      <c r="W5" s="17">
        <f>(-1*('Inputs and Outputs'!B35 * (1 + 'Inputs and Outputs'!B87/100)^21))</f>
        <v>0</v>
      </c>
      <c r="X5" s="17">
        <f>(-1*('Inputs and Outputs'!B35 * (1 + 'Inputs and Outputs'!B87/100)^22))</f>
        <v>0</v>
      </c>
      <c r="Y5" s="17">
        <f>(-1*('Inputs and Outputs'!B35 * (1 + 'Inputs and Outputs'!B87/100)^23))</f>
        <v>0</v>
      </c>
      <c r="Z5" s="17">
        <f>(-1*('Inputs and Outputs'!B35 * (1 + 'Inputs and Outputs'!B87/100)^24))</f>
        <v>0</v>
      </c>
      <c r="AA5" s="17">
        <f>(-1*('Inputs and Outputs'!B35 * (1 + 'Inputs and Outputs'!B87/100)^25))</f>
        <v>0</v>
      </c>
    </row>
    <row r="6" spans="1:27">
      <c r="A6" s="17" t="s">
        <v>59</v>
      </c>
    </row>
    <row r="7" spans="1:27">
      <c r="A7" s="18" t="s">
        <v>272</v>
      </c>
      <c r="C7" s="17">
        <f>-'Inputs and Outputs'!B63 * (1 + 'Inputs and Outputs'!B85/100)^1 * ('Inputs and Outputs'!B4)</f>
        <v>0</v>
      </c>
      <c r="D7" s="17">
        <f>-'Inputs and Outputs'!B63 * (1 + 'Inputs and Outputs'!B85/100)^2 * ('Inputs and Outputs'!B4)</f>
        <v>0</v>
      </c>
      <c r="E7" s="17">
        <f>-'Inputs and Outputs'!B63 * (1 + 'Inputs and Outputs'!B85/100)^3 * ('Inputs and Outputs'!B4)</f>
        <v>0</v>
      </c>
      <c r="F7" s="17">
        <f>-'Inputs and Outputs'!B63 * (1 + 'Inputs and Outputs'!B85/100)^4 * ('Inputs and Outputs'!B4)</f>
        <v>0</v>
      </c>
      <c r="G7" s="17">
        <f>-'Inputs and Outputs'!B63 * (1 + 'Inputs and Outputs'!B85/100)^5 * ('Inputs and Outputs'!B4)</f>
        <v>0</v>
      </c>
      <c r="H7" s="17">
        <f>-'Inputs and Outputs'!B63 * (1 + 'Inputs and Outputs'!B85/100)^6 * ('Inputs and Outputs'!B4)</f>
        <v>0</v>
      </c>
      <c r="I7" s="17">
        <f>-'Inputs and Outputs'!B63 * (1 + 'Inputs and Outputs'!B85/100)^7 * ('Inputs and Outputs'!B4)</f>
        <v>0</v>
      </c>
      <c r="J7" s="17">
        <f>-'Inputs and Outputs'!B63 * (1 + 'Inputs and Outputs'!B85/100)^8 * ('Inputs and Outputs'!B4)</f>
        <v>0</v>
      </c>
      <c r="K7" s="17">
        <f>-'Inputs and Outputs'!B63 * (1 + 'Inputs and Outputs'!B85/100)^9 * ('Inputs and Outputs'!B4)</f>
        <v>0</v>
      </c>
      <c r="L7" s="17">
        <f>-'Inputs and Outputs'!B63 * (1 + 'Inputs and Outputs'!B85/100)^10 * ('Inputs and Outputs'!B4)</f>
        <v>0</v>
      </c>
      <c r="M7" s="17">
        <f>-'Inputs and Outputs'!B63 * (1 + 'Inputs and Outputs'!B85/100)^11 * ('Inputs and Outputs'!B4)</f>
        <v>0</v>
      </c>
      <c r="N7" s="17">
        <f>-'Inputs and Outputs'!B63 * (1 + 'Inputs and Outputs'!B85/100)^12 * ('Inputs and Outputs'!B4)</f>
        <v>0</v>
      </c>
      <c r="O7" s="17">
        <f>-'Inputs and Outputs'!B63 * (1 + 'Inputs and Outputs'!B85/100)^13 * ('Inputs and Outputs'!B4)</f>
        <v>0</v>
      </c>
      <c r="P7" s="17">
        <f>-'Inputs and Outputs'!B63 * (1 + 'Inputs and Outputs'!B85/100)^14 * ('Inputs and Outputs'!B4)</f>
        <v>0</v>
      </c>
      <c r="Q7" s="17">
        <f>-'Inputs and Outputs'!B63 * (1 + 'Inputs and Outputs'!B85/100)^15 * ('Inputs and Outputs'!B4)</f>
        <v>0</v>
      </c>
      <c r="R7" s="17">
        <f>-'Inputs and Outputs'!B63 * (1 + 'Inputs and Outputs'!B85/100)^16 * ('Inputs and Outputs'!B4)</f>
        <v>0</v>
      </c>
      <c r="S7" s="17">
        <f>-'Inputs and Outputs'!B63 * (1 + 'Inputs and Outputs'!B85/100)^17 * ('Inputs and Outputs'!B4)</f>
        <v>0</v>
      </c>
      <c r="T7" s="17">
        <f>-'Inputs and Outputs'!B63 * (1 + 'Inputs and Outputs'!B85/100)^18 * ('Inputs and Outputs'!B4)</f>
        <v>0</v>
      </c>
      <c r="U7" s="17">
        <f>-'Inputs and Outputs'!B63 * (1 + 'Inputs and Outputs'!B85/100)^19 * ('Inputs and Outputs'!B4)</f>
        <v>0</v>
      </c>
      <c r="V7" s="17">
        <f>-'Inputs and Outputs'!B63 * (1 + 'Inputs and Outputs'!B85/100)^20 * ('Inputs and Outputs'!B4)</f>
        <v>0</v>
      </c>
      <c r="W7" s="17">
        <f>-'Inputs and Outputs'!B63 * (1 + 'Inputs and Outputs'!B85/100)^21 * ('Inputs and Outputs'!B4)</f>
        <v>0</v>
      </c>
      <c r="X7" s="17">
        <f>-'Inputs and Outputs'!B63 * (1 + 'Inputs and Outputs'!B85/100)^22 * ('Inputs and Outputs'!B4)</f>
        <v>0</v>
      </c>
      <c r="Y7" s="17">
        <f>-'Inputs and Outputs'!B63 * (1 + 'Inputs and Outputs'!B85/100)^23 * ('Inputs and Outputs'!B4)</f>
        <v>0</v>
      </c>
      <c r="Z7" s="17">
        <f>-'Inputs and Outputs'!B63 * (1 + 'Inputs and Outputs'!B85/100)^24 * ('Inputs and Outputs'!B4)</f>
        <v>0</v>
      </c>
      <c r="AA7" s="17">
        <f>-'Inputs and Outputs'!B63 * (1 + 'Inputs and Outputs'!B85/100)^25 * ('Inputs and Outputs'!B4)</f>
        <v>0</v>
      </c>
    </row>
    <row r="8" spans="1:27">
      <c r="A8" s="18" t="s">
        <v>273</v>
      </c>
      <c r="C8" s="17">
        <f>0^1</f>
        <v>0</v>
      </c>
      <c r="D8" s="17">
        <f>0^2</f>
        <v>0</v>
      </c>
      <c r="E8" s="17">
        <f>0^3</f>
        <v>0</v>
      </c>
      <c r="F8" s="17">
        <f>0^4</f>
        <v>0</v>
      </c>
      <c r="G8" s="17">
        <f>0^5</f>
        <v>0</v>
      </c>
      <c r="H8" s="17">
        <f>0^6</f>
        <v>0</v>
      </c>
      <c r="I8" s="17">
        <f>0^7</f>
        <v>0</v>
      </c>
      <c r="J8" s="17">
        <f>0^8</f>
        <v>0</v>
      </c>
      <c r="K8" s="17">
        <f>0^9</f>
        <v>0</v>
      </c>
      <c r="L8" s="17">
        <f>0^10</f>
        <v>0</v>
      </c>
      <c r="M8" s="17">
        <f>0^11</f>
        <v>0</v>
      </c>
      <c r="N8" s="17">
        <f>0^12</f>
        <v>0</v>
      </c>
      <c r="O8" s="17">
        <f>0^13</f>
        <v>0</v>
      </c>
      <c r="P8" s="17">
        <f>0^14</f>
        <v>0</v>
      </c>
      <c r="Q8" s="17">
        <f>0^15</f>
        <v>0</v>
      </c>
      <c r="R8" s="17">
        <f>0^16</f>
        <v>0</v>
      </c>
      <c r="S8" s="17">
        <f>0^17</f>
        <v>0</v>
      </c>
      <c r="T8" s="17">
        <f>0^18</f>
        <v>0</v>
      </c>
      <c r="U8" s="17">
        <f>0^19</f>
        <v>0</v>
      </c>
      <c r="V8" s="17">
        <f>0^20</f>
        <v>0</v>
      </c>
      <c r="W8" s="17">
        <f>0^21</f>
        <v>0</v>
      </c>
      <c r="X8" s="17">
        <f>0^22</f>
        <v>0</v>
      </c>
      <c r="Y8" s="17">
        <f>0^23</f>
        <v>0</v>
      </c>
      <c r="Z8" s="17">
        <f>0^24</f>
        <v>0</v>
      </c>
      <c r="AA8" s="17">
        <f>0^25</f>
        <v>0</v>
      </c>
    </row>
    <row r="9" spans="1:27">
      <c r="A9" s="18" t="s">
        <v>274</v>
      </c>
      <c r="C9" s="17">
        <f>0^1</f>
        <v>0</v>
      </c>
      <c r="D9" s="17">
        <f>0^2</f>
        <v>0</v>
      </c>
      <c r="E9" s="17">
        <f>0^3</f>
        <v>0</v>
      </c>
      <c r="F9" s="17">
        <f>0^4</f>
        <v>0</v>
      </c>
      <c r="G9" s="17">
        <f>0^5</f>
        <v>0</v>
      </c>
      <c r="H9" s="17">
        <f>0^6</f>
        <v>0</v>
      </c>
      <c r="I9" s="17">
        <f>0^7</f>
        <v>0</v>
      </c>
      <c r="J9" s="17">
        <f>0^8</f>
        <v>0</v>
      </c>
      <c r="K9" s="17">
        <f>0^9</f>
        <v>0</v>
      </c>
      <c r="L9" s="17">
        <f>0^10</f>
        <v>0</v>
      </c>
      <c r="M9" s="17">
        <f>0^11</f>
        <v>0</v>
      </c>
      <c r="N9" s="17">
        <f>0^12</f>
        <v>0</v>
      </c>
      <c r="O9" s="17">
        <f>0^13</f>
        <v>0</v>
      </c>
      <c r="P9" s="17">
        <f>0^14</f>
        <v>0</v>
      </c>
      <c r="Q9" s="17">
        <f>0^15</f>
        <v>0</v>
      </c>
      <c r="R9" s="17">
        <f>0^16</f>
        <v>0</v>
      </c>
      <c r="S9" s="17">
        <f>0^17</f>
        <v>0</v>
      </c>
      <c r="T9" s="17">
        <f>0^18</f>
        <v>0</v>
      </c>
      <c r="U9" s="17">
        <f>0^19</f>
        <v>0</v>
      </c>
      <c r="V9" s="17">
        <f>0^20</f>
        <v>0</v>
      </c>
      <c r="W9" s="17">
        <f>0^21</f>
        <v>0</v>
      </c>
      <c r="X9" s="17">
        <f>0^22</f>
        <v>0</v>
      </c>
      <c r="Y9" s="17">
        <f>0^23</f>
        <v>0</v>
      </c>
      <c r="Z9" s="17">
        <f>0^24</f>
        <v>0</v>
      </c>
      <c r="AA9" s="17">
        <f>0^25</f>
        <v>0</v>
      </c>
    </row>
    <row r="10" spans="1:27">
      <c r="A10" s="18" t="s">
        <v>275</v>
      </c>
      <c r="C10" s="17">
        <f>-'Inputs and Outputs'!B68 * (1 + 'Inputs and Outputs'!B85/100)^1</f>
        <v>0</v>
      </c>
      <c r="D10" s="17">
        <f>-'Inputs and Outputs'!B68 * (1 + 'Inputs and Outputs'!B85/100)^2</f>
        <v>0</v>
      </c>
      <c r="E10" s="17">
        <f>-'Inputs and Outputs'!B68 * (1 + 'Inputs and Outputs'!B85/100)^3</f>
        <v>0</v>
      </c>
      <c r="F10" s="17">
        <f>-'Inputs and Outputs'!B68 * (1 + 'Inputs and Outputs'!B85/100)^4</f>
        <v>0</v>
      </c>
      <c r="G10" s="17">
        <f>-'Inputs and Outputs'!B68 * (1 + 'Inputs and Outputs'!B85/100)^5</f>
        <v>0</v>
      </c>
      <c r="H10" s="17">
        <f>-'Inputs and Outputs'!B68 * (1 + 'Inputs and Outputs'!B85/100)^6</f>
        <v>0</v>
      </c>
      <c r="I10" s="17">
        <f>-'Inputs and Outputs'!B68 * (1 + 'Inputs and Outputs'!B85/100)^7</f>
        <v>0</v>
      </c>
      <c r="J10" s="17">
        <f>-'Inputs and Outputs'!B68 * (1 + 'Inputs and Outputs'!B85/100)^8</f>
        <v>0</v>
      </c>
      <c r="K10" s="17">
        <f>-'Inputs and Outputs'!B68 * (1 + 'Inputs and Outputs'!B85/100)^9</f>
        <v>0</v>
      </c>
      <c r="L10" s="17">
        <f>-'Inputs and Outputs'!B68 * (1 + 'Inputs and Outputs'!B85/100)^10</f>
        <v>0</v>
      </c>
      <c r="M10" s="17">
        <f>-'Inputs and Outputs'!B68 * (1 + 'Inputs and Outputs'!B85/100)^11</f>
        <v>0</v>
      </c>
      <c r="N10" s="17">
        <f>-'Inputs and Outputs'!B68 * (1 + 'Inputs and Outputs'!B85/100)^12</f>
        <v>0</v>
      </c>
      <c r="O10" s="17">
        <f>-'Inputs and Outputs'!B68 * (1 + 'Inputs and Outputs'!B85/100)^13</f>
        <v>0</v>
      </c>
      <c r="P10" s="17">
        <f>-'Inputs and Outputs'!B68 * (1 + 'Inputs and Outputs'!B85/100)^14</f>
        <v>0</v>
      </c>
      <c r="Q10" s="17">
        <f>-'Inputs and Outputs'!B68 * (1 + 'Inputs and Outputs'!B85/100)^15</f>
        <v>0</v>
      </c>
      <c r="R10" s="17">
        <f>-'Inputs and Outputs'!B68 * (1 + 'Inputs and Outputs'!B85/100)^16</f>
        <v>0</v>
      </c>
      <c r="S10" s="17">
        <f>-'Inputs and Outputs'!B68 * (1 + 'Inputs and Outputs'!B85/100)^17</f>
        <v>0</v>
      </c>
      <c r="T10" s="17">
        <f>-'Inputs and Outputs'!B68 * (1 + 'Inputs and Outputs'!B85/100)^18</f>
        <v>0</v>
      </c>
      <c r="U10" s="17">
        <f>-'Inputs and Outputs'!B68 * (1 + 'Inputs and Outputs'!B85/100)^19</f>
        <v>0</v>
      </c>
      <c r="V10" s="17">
        <f>-'Inputs and Outputs'!B68 * (1 + 'Inputs and Outputs'!B85/100)^20</f>
        <v>0</v>
      </c>
      <c r="W10" s="17">
        <f>-'Inputs and Outputs'!B68 * (1 + 'Inputs and Outputs'!B85/100)^21</f>
        <v>0</v>
      </c>
      <c r="X10" s="17">
        <f>-'Inputs and Outputs'!B68 * (1 + 'Inputs and Outputs'!B85/100)^22</f>
        <v>0</v>
      </c>
      <c r="Y10" s="17">
        <f>-'Inputs and Outputs'!B68 * (1 + 'Inputs and Outputs'!B85/100)^23</f>
        <v>0</v>
      </c>
      <c r="Z10" s="17">
        <f>-'Inputs and Outputs'!B68 * (1 + 'Inputs and Outputs'!B85/100)^24</f>
        <v>0</v>
      </c>
      <c r="AA10" s="17">
        <f>-'Inputs and Outputs'!B68 * (1 + 'Inputs and Outputs'!B85/100)^25</f>
        <v>0</v>
      </c>
    </row>
    <row r="11" spans="1:27">
      <c r="A11" s="19" t="s">
        <v>199</v>
      </c>
      <c r="B11" s="19"/>
      <c r="C11" s="19">
        <f>SUM(C3:C10)</f>
        <v>0</v>
      </c>
      <c r="D11" s="19">
        <f>SUM(C3:C10)</f>
        <v>0</v>
      </c>
      <c r="E11" s="19">
        <f>SUM(C3:C10)</f>
        <v>0</v>
      </c>
      <c r="F11" s="19">
        <f>SUM(C3:C10)</f>
        <v>0</v>
      </c>
      <c r="G11" s="19">
        <f>SUM(C3:C10)</f>
        <v>0</v>
      </c>
      <c r="H11" s="19">
        <f>SUM(C3:C10)</f>
        <v>0</v>
      </c>
      <c r="I11" s="19">
        <f>SUM(C3:C10)</f>
        <v>0</v>
      </c>
      <c r="J11" s="19">
        <f>SUM(C3:C10)</f>
        <v>0</v>
      </c>
      <c r="K11" s="19">
        <f>SUM(C3:C10)</f>
        <v>0</v>
      </c>
      <c r="L11" s="19">
        <f>SUM(C3:C10)</f>
        <v>0</v>
      </c>
      <c r="M11" s="19">
        <f>SUM(C3:C10)</f>
        <v>0</v>
      </c>
      <c r="N11" s="19">
        <f>SUM(C3:C10)</f>
        <v>0</v>
      </c>
      <c r="O11" s="19">
        <f>SUM(C3:C10)</f>
        <v>0</v>
      </c>
      <c r="P11" s="19">
        <f>SUM(C3:C10)</f>
        <v>0</v>
      </c>
      <c r="Q11" s="19">
        <f>SUM(C3:C10)</f>
        <v>0</v>
      </c>
      <c r="R11" s="19">
        <f>SUM(C3:C10)</f>
        <v>0</v>
      </c>
      <c r="S11" s="19">
        <f>SUM(C3:C10)</f>
        <v>0</v>
      </c>
      <c r="T11" s="19">
        <f>SUM(C3:C10)</f>
        <v>0</v>
      </c>
      <c r="U11" s="19">
        <f>SUM(C3:C10)</f>
        <v>0</v>
      </c>
      <c r="V11" s="19">
        <f>SUM(C3:C10)</f>
        <v>0</v>
      </c>
      <c r="W11" s="19">
        <f>SUM(C3:C10)</f>
        <v>0</v>
      </c>
      <c r="X11" s="19">
        <f>SUM(C3:C10)</f>
        <v>0</v>
      </c>
      <c r="Y11" s="19">
        <f>SUM(C3:C10)</f>
        <v>0</v>
      </c>
      <c r="Z11" s="19">
        <f>SUM(C3:C10)</f>
        <v>0</v>
      </c>
      <c r="AA11" s="19">
        <f>SUM(C3:C10)</f>
        <v>0</v>
      </c>
    </row>
    <row r="12" spans="1:27">
      <c r="A12" s="19" t="s">
        <v>200</v>
      </c>
      <c r="B12" s="19"/>
      <c r="C12" s="19">
        <f>IF('Inputs and Outputs'!B92 &gt; 0, C11, 0)</f>
        <v>0</v>
      </c>
      <c r="D12" s="19">
        <f>IF('Inputs and Outputs'!B92 &gt; 0, C11, 0)</f>
        <v>0</v>
      </c>
      <c r="E12" s="19">
        <f>IF('Inputs and Outputs'!B92 &gt; 0, C11, 0)</f>
        <v>0</v>
      </c>
      <c r="F12" s="19">
        <f>IF('Inputs and Outputs'!B92 &gt; 0, C11, 0)</f>
        <v>0</v>
      </c>
      <c r="G12" s="19">
        <f>IF('Inputs and Outputs'!B92 &gt; 0, C11, 0)</f>
        <v>0</v>
      </c>
      <c r="H12" s="19">
        <f>IF('Inputs and Outputs'!B92 &gt; 0, C11, 0)</f>
        <v>0</v>
      </c>
      <c r="I12" s="19">
        <f>IF('Inputs and Outputs'!B92 &gt; 0, C11, 0)</f>
        <v>0</v>
      </c>
      <c r="J12" s="19">
        <f>IF('Inputs and Outputs'!B92 &gt; 0, C11, 0)</f>
        <v>0</v>
      </c>
      <c r="K12" s="19">
        <f>IF('Inputs and Outputs'!B92 &gt; 0, C11, 0)</f>
        <v>0</v>
      </c>
      <c r="L12" s="19">
        <f>IF('Inputs and Outputs'!B92 &gt; 0, C11, 0)</f>
        <v>0</v>
      </c>
      <c r="M12" s="19">
        <f>IF('Inputs and Outputs'!B92 &gt; 0, C11, 0)</f>
        <v>0</v>
      </c>
      <c r="N12" s="19">
        <f>IF('Inputs and Outputs'!B92 &gt; 0, C11, 0)</f>
        <v>0</v>
      </c>
      <c r="O12" s="19">
        <f>IF('Inputs and Outputs'!B92 &gt; 0, C11, 0)</f>
        <v>0</v>
      </c>
      <c r="P12" s="19">
        <f>IF('Inputs and Outputs'!B92 &gt; 0, C11, 0)</f>
        <v>0</v>
      </c>
      <c r="Q12" s="19">
        <f>IF('Inputs and Outputs'!B92 &gt; 0, C11, 0)</f>
        <v>0</v>
      </c>
      <c r="R12" s="19">
        <f>IF('Inputs and Outputs'!B92 &gt; 0, C11, 0)</f>
        <v>0</v>
      </c>
      <c r="S12" s="19">
        <f>IF('Inputs and Outputs'!B92 &gt; 0, C11, 0)</f>
        <v>0</v>
      </c>
      <c r="T12" s="19">
        <f>IF('Inputs and Outputs'!B92 &gt; 0, C11, 0)</f>
        <v>0</v>
      </c>
      <c r="U12" s="19">
        <f>IF('Inputs and Outputs'!B92 &gt; 0, C11, 0)</f>
        <v>0</v>
      </c>
      <c r="V12" s="19">
        <f>IF('Inputs and Outputs'!B92 &gt; 0, C11, 0)</f>
        <v>0</v>
      </c>
      <c r="W12" s="19">
        <f>IF('Inputs and Outputs'!B92 &gt; 0, C11, 0)</f>
        <v>0</v>
      </c>
      <c r="X12" s="19">
        <f>IF('Inputs and Outputs'!B92 &gt; 0, C11, 0)</f>
        <v>0</v>
      </c>
      <c r="Y12" s="19">
        <f>IF('Inputs and Outputs'!B92 &gt; 0, C11, 0)</f>
        <v>0</v>
      </c>
      <c r="Z12" s="19">
        <f>IF('Inputs and Outputs'!B92 &gt; 0, C11, 0)</f>
        <v>0</v>
      </c>
      <c r="AA12" s="19">
        <f>IF('Inputs and Outputs'!B92 &gt; 0, C11, 0)</f>
        <v>0</v>
      </c>
    </row>
    <row r="14" spans="1:27">
      <c r="A14" s="10" t="s">
        <v>221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spans="1:27">
      <c r="A15" s="19" t="s">
        <v>223</v>
      </c>
      <c r="B15" s="19"/>
      <c r="C15" s="19">
        <f t="array" ref="C15:AA15">IF(B2:Z2 &lt; 'Inputs and Outputs'!E109, MIN('Inputs and Outputs'!B109 * 'Inputs and Outputs'!C183:'Inputs and Outputs'!AA183, 'Inputs and Outputs'!C109 * (1 - 'Inputs and Outputs'!B5/100)^B2:Z2), 0)</f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0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19">
        <v>0</v>
      </c>
    </row>
    <row r="16" spans="1:27">
      <c r="A16" s="19" t="s">
        <v>226</v>
      </c>
      <c r="B16" s="19"/>
      <c r="C16" s="19">
        <f>IF('Inputs and Outputs'!D109="Yes", C15, 0)</f>
        <v>0</v>
      </c>
      <c r="D16" s="19">
        <f>IF('Inputs and Outputs'!D109="Yes", D15, 0)</f>
        <v>0</v>
      </c>
      <c r="E16" s="19">
        <f>IF('Inputs and Outputs'!D109="Yes", E15, 0)</f>
        <v>0</v>
      </c>
      <c r="F16" s="19">
        <f>IF('Inputs and Outputs'!D109="Yes", F15, 0)</f>
        <v>0</v>
      </c>
      <c r="G16" s="19">
        <f>IF('Inputs and Outputs'!D109="Yes", G15, 0)</f>
        <v>0</v>
      </c>
      <c r="H16" s="19">
        <f>IF('Inputs and Outputs'!D109="Yes", H15, 0)</f>
        <v>0</v>
      </c>
      <c r="I16" s="19">
        <f>IF('Inputs and Outputs'!D109="Yes", I15, 0)</f>
        <v>0</v>
      </c>
      <c r="J16" s="19">
        <f>IF('Inputs and Outputs'!D109="Yes", J15, 0)</f>
        <v>0</v>
      </c>
      <c r="K16" s="19">
        <f>IF('Inputs and Outputs'!D109="Yes", K15, 0)</f>
        <v>0</v>
      </c>
      <c r="L16" s="19">
        <f>IF('Inputs and Outputs'!D109="Yes", L15, 0)</f>
        <v>0</v>
      </c>
      <c r="M16" s="19">
        <f>IF('Inputs and Outputs'!D109="Yes", M15, 0)</f>
        <v>0</v>
      </c>
      <c r="N16" s="19">
        <f>IF('Inputs and Outputs'!D109="Yes", N15, 0)</f>
        <v>0</v>
      </c>
      <c r="O16" s="19">
        <f>IF('Inputs and Outputs'!D109="Yes", O15, 0)</f>
        <v>0</v>
      </c>
      <c r="P16" s="19">
        <f>IF('Inputs and Outputs'!D109="Yes", P15, 0)</f>
        <v>0</v>
      </c>
      <c r="Q16" s="19">
        <f>IF('Inputs and Outputs'!D109="Yes", Q15, 0)</f>
        <v>0</v>
      </c>
      <c r="R16" s="19">
        <f>IF('Inputs and Outputs'!D109="Yes", R15, 0)</f>
        <v>0</v>
      </c>
      <c r="S16" s="19">
        <f>IF('Inputs and Outputs'!D109="Yes", S15, 0)</f>
        <v>0</v>
      </c>
      <c r="T16" s="19">
        <f>IF('Inputs and Outputs'!D109="Yes", T15, 0)</f>
        <v>0</v>
      </c>
      <c r="U16" s="19">
        <f>IF('Inputs and Outputs'!D109="Yes", U15, 0)</f>
        <v>0</v>
      </c>
      <c r="V16" s="19">
        <f>IF('Inputs and Outputs'!D109="Yes", V15, 0)</f>
        <v>0</v>
      </c>
      <c r="W16" s="19">
        <f>IF('Inputs and Outputs'!D109="Yes", W15, 0)</f>
        <v>0</v>
      </c>
      <c r="X16" s="19">
        <f>IF('Inputs and Outputs'!D109="Yes", X15, 0)</f>
        <v>0</v>
      </c>
      <c r="Y16" s="19">
        <f>IF('Inputs and Outputs'!D109="Yes", Y15, 0)</f>
        <v>0</v>
      </c>
      <c r="Z16" s="19">
        <f>IF('Inputs and Outputs'!D109="Yes", Z15, 0)</f>
        <v>0</v>
      </c>
      <c r="AA16" s="19">
        <f>IF('Inputs and Outputs'!D109="Yes", AA15, 0)</f>
        <v>0</v>
      </c>
    </row>
    <row r="17" spans="1:27">
      <c r="A17" s="19" t="s">
        <v>227</v>
      </c>
      <c r="B17" s="19"/>
      <c r="C17" s="19">
        <f>IF('Inputs and Outputs'!D109="No", C15, 0)</f>
        <v>0</v>
      </c>
      <c r="D17" s="19">
        <f>IF('Inputs and Outputs'!D109="No", D15, 0)</f>
        <v>0</v>
      </c>
      <c r="E17" s="19">
        <f>IF('Inputs and Outputs'!D109="No", E15, 0)</f>
        <v>0</v>
      </c>
      <c r="F17" s="19">
        <f>IF('Inputs and Outputs'!D109="No", F15, 0)</f>
        <v>0</v>
      </c>
      <c r="G17" s="19">
        <f>IF('Inputs and Outputs'!D109="No", G15, 0)</f>
        <v>0</v>
      </c>
      <c r="H17" s="19">
        <f>IF('Inputs and Outputs'!D109="No", H15, 0)</f>
        <v>0</v>
      </c>
      <c r="I17" s="19">
        <f>IF('Inputs and Outputs'!D109="No", I15, 0)</f>
        <v>0</v>
      </c>
      <c r="J17" s="19">
        <f>IF('Inputs and Outputs'!D109="No", J15, 0)</f>
        <v>0</v>
      </c>
      <c r="K17" s="19">
        <f>IF('Inputs and Outputs'!D109="No", K15, 0)</f>
        <v>0</v>
      </c>
      <c r="L17" s="19">
        <f>IF('Inputs and Outputs'!D109="No", L15, 0)</f>
        <v>0</v>
      </c>
      <c r="M17" s="19">
        <f>IF('Inputs and Outputs'!D109="No", M15, 0)</f>
        <v>0</v>
      </c>
      <c r="N17" s="19">
        <f>IF('Inputs and Outputs'!D109="No", N15, 0)</f>
        <v>0</v>
      </c>
      <c r="O17" s="19">
        <f>IF('Inputs and Outputs'!D109="No", O15, 0)</f>
        <v>0</v>
      </c>
      <c r="P17" s="19">
        <f>IF('Inputs and Outputs'!D109="No", P15, 0)</f>
        <v>0</v>
      </c>
      <c r="Q17" s="19">
        <f>IF('Inputs and Outputs'!D109="No", Q15, 0)</f>
        <v>0</v>
      </c>
      <c r="R17" s="19">
        <f>IF('Inputs and Outputs'!D109="No", R15, 0)</f>
        <v>0</v>
      </c>
      <c r="S17" s="19">
        <f>IF('Inputs and Outputs'!D109="No", S15, 0)</f>
        <v>0</v>
      </c>
      <c r="T17" s="19">
        <f>IF('Inputs and Outputs'!D109="No", T15, 0)</f>
        <v>0</v>
      </c>
      <c r="U17" s="19">
        <f>IF('Inputs and Outputs'!D109="No", U15, 0)</f>
        <v>0</v>
      </c>
      <c r="V17" s="19">
        <f>IF('Inputs and Outputs'!D109="No", V15, 0)</f>
        <v>0</v>
      </c>
      <c r="W17" s="19">
        <f>IF('Inputs and Outputs'!D109="No", W15, 0)</f>
        <v>0</v>
      </c>
      <c r="X17" s="19">
        <f>IF('Inputs and Outputs'!D109="No", X15, 0)</f>
        <v>0</v>
      </c>
      <c r="Y17" s="19">
        <f>IF('Inputs and Outputs'!D109="No", Y15, 0)</f>
        <v>0</v>
      </c>
      <c r="Z17" s="19">
        <f>IF('Inputs and Outputs'!D109="No", Z15, 0)</f>
        <v>0</v>
      </c>
      <c r="AA17" s="19">
        <f>IF('Inputs and Outputs'!D109="No", AA15, 0)</f>
        <v>0</v>
      </c>
    </row>
    <row r="19" spans="1:27">
      <c r="A19" s="10" t="s">
        <v>258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spans="1:27">
      <c r="A20" s="17" t="s">
        <v>270</v>
      </c>
      <c r="C20" s="17">
        <f>(C11 - C12) + C12 * (1 - 'Inputs and Outputs'!B92/100)</f>
        <v>0</v>
      </c>
      <c r="D20" s="17">
        <f>(D11 - D12) + D12 * (1 - 'Inputs and Outputs'!B92/100)</f>
        <v>0</v>
      </c>
      <c r="E20" s="17">
        <f>(E11 - E12) + E12 * (1 - 'Inputs and Outputs'!B92/100)</f>
        <v>0</v>
      </c>
      <c r="F20" s="17">
        <f>(F11 - F12) + F12 * (1 - 'Inputs and Outputs'!B92/100)</f>
        <v>0</v>
      </c>
      <c r="G20" s="17">
        <f>(G11 - G12) + G12 * (1 - 'Inputs and Outputs'!B92/100)</f>
        <v>0</v>
      </c>
      <c r="H20" s="17">
        <f>(H11 - H12) + H12 * (1 - 'Inputs and Outputs'!B92/100)</f>
        <v>0</v>
      </c>
      <c r="I20" s="17">
        <f>(I11 - I12) + I12 * (1 - 'Inputs and Outputs'!B92/100)</f>
        <v>0</v>
      </c>
      <c r="J20" s="17">
        <f>(J11 - J12) + J12 * (1 - 'Inputs and Outputs'!B92/100)</f>
        <v>0</v>
      </c>
      <c r="K20" s="17">
        <f>(K11 - K12) + K12 * (1 - 'Inputs and Outputs'!B92/100)</f>
        <v>0</v>
      </c>
      <c r="L20" s="17">
        <f>(L11 - L12) + L12 * (1 - 'Inputs and Outputs'!B92/100)</f>
        <v>0</v>
      </c>
      <c r="M20" s="17">
        <f>(M11 - M12) + M12 * (1 - 'Inputs and Outputs'!B92/100)</f>
        <v>0</v>
      </c>
      <c r="N20" s="17">
        <f>(N11 - N12) + N12 * (1 - 'Inputs and Outputs'!B92/100)</f>
        <v>0</v>
      </c>
      <c r="O20" s="17">
        <f>(O11 - O12) + O12 * (1 - 'Inputs and Outputs'!B92/100)</f>
        <v>0</v>
      </c>
      <c r="P20" s="17">
        <f>(P11 - P12) + P12 * (1 - 'Inputs and Outputs'!B92/100)</f>
        <v>0</v>
      </c>
      <c r="Q20" s="17">
        <f>(Q11 - Q12) + Q12 * (1 - 'Inputs and Outputs'!B92/100)</f>
        <v>0</v>
      </c>
      <c r="R20" s="17">
        <f>(R11 - R12) + R12 * (1 - 'Inputs and Outputs'!B92/100)</f>
        <v>0</v>
      </c>
      <c r="S20" s="17">
        <f>(S11 - S12) + S12 * (1 - 'Inputs and Outputs'!B92/100)</f>
        <v>0</v>
      </c>
      <c r="T20" s="17">
        <f>(T11 - T12) + T12 * (1 - 'Inputs and Outputs'!B92/100)</f>
        <v>0</v>
      </c>
      <c r="U20" s="17">
        <f>(U11 - U12) + U12 * (1 - 'Inputs and Outputs'!B92/100)</f>
        <v>0</v>
      </c>
      <c r="V20" s="17">
        <f>(V11 - V12) + V12 * (1 - 'Inputs and Outputs'!B92/100)</f>
        <v>0</v>
      </c>
      <c r="W20" s="17">
        <f>(W11 - W12) + W12 * (1 - 'Inputs and Outputs'!B92/100)</f>
        <v>0</v>
      </c>
      <c r="X20" s="17">
        <f>(X11 - X12) + X12 * (1 - 'Inputs and Outputs'!B92/100)</f>
        <v>0</v>
      </c>
      <c r="Y20" s="17">
        <f>(Y11 - Y12) + Y12 * (1 - 'Inputs and Outputs'!B92/100)</f>
        <v>0</v>
      </c>
    </row>
    <row r="21" spans="1:27">
      <c r="A21" s="17" t="s">
        <v>261</v>
      </c>
      <c r="C21" s="17">
        <f>(C16 * (1 - 'Inputs and Outputs'!B92/100)) + C17</f>
        <v>0</v>
      </c>
      <c r="D21" s="17">
        <f>(D16 * (1 - 'Inputs and Outputs'!B92/100)) + D17</f>
        <v>0</v>
      </c>
      <c r="E21" s="17">
        <f>(E16 * (1 - 'Inputs and Outputs'!B92/100)) + E17</f>
        <v>0</v>
      </c>
      <c r="F21" s="17">
        <f>(F16 * (1 - 'Inputs and Outputs'!B92/100)) + F17</f>
        <v>0</v>
      </c>
      <c r="G21" s="17">
        <f>(G16 * (1 - 'Inputs and Outputs'!B92/100)) + G17</f>
        <v>0</v>
      </c>
      <c r="H21" s="17">
        <f>(H16 * (1 - 'Inputs and Outputs'!B92/100)) + H17</f>
        <v>0</v>
      </c>
      <c r="I21" s="17">
        <f>(I16 * (1 - 'Inputs and Outputs'!B92/100)) + I17</f>
        <v>0</v>
      </c>
      <c r="J21" s="17">
        <f>(J16 * (1 - 'Inputs and Outputs'!B92/100)) + J17</f>
        <v>0</v>
      </c>
      <c r="K21" s="17">
        <f>(K16 * (1 - 'Inputs and Outputs'!B92/100)) + K17</f>
        <v>0</v>
      </c>
      <c r="L21" s="17">
        <f>(L16 * (1 - 'Inputs and Outputs'!B92/100)) + L17</f>
        <v>0</v>
      </c>
      <c r="M21" s="17">
        <f>(M16 * (1 - 'Inputs and Outputs'!B92/100)) + M17</f>
        <v>0</v>
      </c>
      <c r="N21" s="17">
        <f>(N16 * (1 - 'Inputs and Outputs'!B92/100)) + N17</f>
        <v>0</v>
      </c>
      <c r="O21" s="17">
        <f>(O16 * (1 - 'Inputs and Outputs'!B92/100)) + O17</f>
        <v>0</v>
      </c>
      <c r="P21" s="17">
        <f>(P16 * (1 - 'Inputs and Outputs'!B92/100)) + P17</f>
        <v>0</v>
      </c>
      <c r="Q21" s="17">
        <f>(Q16 * (1 - 'Inputs and Outputs'!B92/100)) + Q17</f>
        <v>0</v>
      </c>
      <c r="R21" s="17">
        <f>(R16 * (1 - 'Inputs and Outputs'!B92/100)) + R17</f>
        <v>0</v>
      </c>
      <c r="S21" s="17">
        <f>(S16 * (1 - 'Inputs and Outputs'!B92/100)) + S17</f>
        <v>0</v>
      </c>
      <c r="T21" s="17">
        <f>(T16 * (1 - 'Inputs and Outputs'!B92/100)) + T17</f>
        <v>0</v>
      </c>
      <c r="U21" s="17">
        <f>(U16 * (1 - 'Inputs and Outputs'!B92/100)) + U17</f>
        <v>0</v>
      </c>
      <c r="V21" s="17">
        <f>(V16 * (1 - 'Inputs and Outputs'!B92/100)) + V17</f>
        <v>0</v>
      </c>
      <c r="W21" s="17">
        <f>(W16 * (1 - 'Inputs and Outputs'!B92/100)) + W17</f>
        <v>0</v>
      </c>
      <c r="X21" s="17">
        <f>(X16 * (1 - 'Inputs and Outputs'!B92/100)) + X17</f>
        <v>0</v>
      </c>
      <c r="Y21" s="17">
        <f>(Y16 * (1 - 'Inputs and Outputs'!B92/100)) + Y17</f>
        <v>0</v>
      </c>
    </row>
    <row r="22" spans="1:27">
      <c r="A22" s="19" t="s">
        <v>136</v>
      </c>
      <c r="B22" s="19"/>
      <c r="C22" s="19">
        <f>C20 + C21</f>
        <v>0</v>
      </c>
      <c r="D22" s="19">
        <f>D20 + D21</f>
        <v>0</v>
      </c>
      <c r="E22" s="19">
        <f>E20 + E21</f>
        <v>0</v>
      </c>
      <c r="F22" s="19">
        <f>F20 + F21</f>
        <v>0</v>
      </c>
      <c r="G22" s="19">
        <f>G20 + G21</f>
        <v>0</v>
      </c>
      <c r="H22" s="19">
        <f>H20 + H21</f>
        <v>0</v>
      </c>
      <c r="I22" s="19">
        <f>I20 + I21</f>
        <v>0</v>
      </c>
      <c r="J22" s="19">
        <f>J20 + J21</f>
        <v>0</v>
      </c>
      <c r="K22" s="19">
        <f>K20 + K21</f>
        <v>0</v>
      </c>
      <c r="L22" s="19">
        <f>L20 + L21</f>
        <v>0</v>
      </c>
      <c r="M22" s="19">
        <f>M20 + M21</f>
        <v>0</v>
      </c>
      <c r="N22" s="19">
        <f>N20 + N21</f>
        <v>0</v>
      </c>
      <c r="O22" s="19">
        <f>O20 + O21</f>
        <v>0</v>
      </c>
      <c r="P22" s="19">
        <f>P20 + P21</f>
        <v>0</v>
      </c>
      <c r="Q22" s="19">
        <f>Q20 + Q21</f>
        <v>0</v>
      </c>
      <c r="R22" s="19">
        <f>R20 + R21</f>
        <v>0</v>
      </c>
      <c r="S22" s="19">
        <f>S20 + S21</f>
        <v>0</v>
      </c>
      <c r="T22" s="19">
        <f>T20 + T21</f>
        <v>0</v>
      </c>
      <c r="U22" s="19">
        <f>U20 + U21</f>
        <v>0</v>
      </c>
      <c r="V22" s="19">
        <f>V20 + V21</f>
        <v>0</v>
      </c>
      <c r="W22" s="19">
        <f>W20 + W21</f>
        <v>0</v>
      </c>
      <c r="X22" s="19">
        <f>X20 + X21</f>
        <v>0</v>
      </c>
      <c r="Y22" s="19">
        <f>Y20 + Y21</f>
        <v>0</v>
      </c>
    </row>
    <row r="23" spans="1:27">
      <c r="A23" s="19" t="s">
        <v>265</v>
      </c>
      <c r="B23" s="19"/>
      <c r="C23" s="19">
        <f>C22 / (1 + 'Inputs and Outputs'!B89/100)^2</f>
        <v>0</v>
      </c>
      <c r="D23" s="19">
        <f>D22 / (1 + 'Inputs and Outputs'!B89/100)^3</f>
        <v>0</v>
      </c>
      <c r="E23" s="19">
        <f>E22 / (1 + 'Inputs and Outputs'!B89/100)^4</f>
        <v>0</v>
      </c>
      <c r="F23" s="19">
        <f>F22 / (1 + 'Inputs and Outputs'!B89/100)^5</f>
        <v>0</v>
      </c>
      <c r="G23" s="19">
        <f>G22 / (1 + 'Inputs and Outputs'!B89/100)^6</f>
        <v>0</v>
      </c>
      <c r="H23" s="19">
        <f>H22 / (1 + 'Inputs and Outputs'!B89/100)^7</f>
        <v>0</v>
      </c>
      <c r="I23" s="19">
        <f>I22 / (1 + 'Inputs and Outputs'!B89/100)^8</f>
        <v>0</v>
      </c>
      <c r="J23" s="19">
        <f>J22 / (1 + 'Inputs and Outputs'!B89/100)^9</f>
        <v>0</v>
      </c>
      <c r="K23" s="19">
        <f>K22 / (1 + 'Inputs and Outputs'!B89/100)^10</f>
        <v>0</v>
      </c>
      <c r="L23" s="19">
        <f>L22 / (1 + 'Inputs and Outputs'!B89/100)^11</f>
        <v>0</v>
      </c>
      <c r="M23" s="19">
        <f>M22 / (1 + 'Inputs and Outputs'!B89/100)^12</f>
        <v>0</v>
      </c>
      <c r="N23" s="19">
        <f>N22 / (1 + 'Inputs and Outputs'!B89/100)^13</f>
        <v>0</v>
      </c>
      <c r="O23" s="19">
        <f>O22 / (1 + 'Inputs and Outputs'!B89/100)^14</f>
        <v>0</v>
      </c>
      <c r="P23" s="19">
        <f>P22 / (1 + 'Inputs and Outputs'!B89/100)^15</f>
        <v>0</v>
      </c>
      <c r="Q23" s="19">
        <f>Q22 / (1 + 'Inputs and Outputs'!B89/100)^16</f>
        <v>0</v>
      </c>
      <c r="R23" s="19">
        <f>R22 / (1 + 'Inputs and Outputs'!B89/100)^17</f>
        <v>0</v>
      </c>
      <c r="S23" s="19">
        <f>S22 / (1 + 'Inputs and Outputs'!B89/100)^18</f>
        <v>0</v>
      </c>
      <c r="T23" s="19">
        <f>T22 / (1 + 'Inputs and Outputs'!B89/100)^19</f>
        <v>0</v>
      </c>
      <c r="U23" s="19">
        <f>U22 / (1 + 'Inputs and Outputs'!B89/100)^20</f>
        <v>0</v>
      </c>
      <c r="V23" s="19">
        <f>V22 / (1 + 'Inputs and Outputs'!B89/100)^21</f>
        <v>0</v>
      </c>
      <c r="W23" s="19">
        <f>W22 / (1 + 'Inputs and Outputs'!B89/100)^22</f>
        <v>0</v>
      </c>
      <c r="X23" s="19">
        <f>X22 / (1 + 'Inputs and Outputs'!B89/100)^23</f>
        <v>0</v>
      </c>
      <c r="Y23" s="19">
        <f>Y22 / (1 + 'Inputs and Outputs'!B89/100)^24</f>
        <v>0</v>
      </c>
    </row>
    <row r="24" spans="1:27">
      <c r="A24" s="8" t="s">
        <v>271</v>
      </c>
      <c r="B24" s="8">
        <f>SUM(B23:AA23)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 and Outputs</vt:lpstr>
      <vt:lpstr>Optimal Cash Flow</vt:lpstr>
      <vt:lpstr>BAU 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2023-12-21T03:45:49Z</dcterms:created>
  <dcterms:modified xsi:type="dcterms:W3CDTF">2023-12-21T03:45:49Z</dcterms:modified>
</cp:coreProperties>
</file>