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5" yWindow="-15" windowWidth="19260" windowHeight="4200" tabRatio="734" activeTab="1"/>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45621"/>
</workbook>
</file>

<file path=xl/calcChain.xml><?xml version="1.0" encoding="utf-8"?>
<calcChain xmlns="http://schemas.openxmlformats.org/spreadsheetml/2006/main">
  <c r="AP120" i="7" l="1"/>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N438" i="7" l="1"/>
  <c r="AO305" i="7"/>
  <c r="AO304" i="7"/>
  <c r="AN439" i="7"/>
  <c r="AM80" i="7"/>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66" i="7" s="1"/>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B599" i="7"/>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4" i="7"/>
  <c r="AP485" i="7" s="1"/>
  <c r="AP478" i="7"/>
  <c r="AP479" i="7" s="1"/>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16" i="7" s="1"/>
  <c r="AO408" i="7"/>
  <c r="AO420" i="7" s="1"/>
  <c r="AO428" i="7"/>
  <c r="AO440" i="7" s="1"/>
  <c r="AO432" i="7"/>
  <c r="AO444" i="7" s="1"/>
  <c r="AO452" i="7"/>
  <c r="AO464" i="7" s="1"/>
  <c r="AO456" i="7"/>
  <c r="AO468" i="7" s="1"/>
  <c r="AO460" i="7"/>
  <c r="AO472" i="7" s="1"/>
  <c r="AO425" i="7"/>
  <c r="AO429" i="7"/>
  <c r="AO441" i="7" s="1"/>
  <c r="AO433" i="7"/>
  <c r="AO445" i="7" s="1"/>
  <c r="AO453" i="7"/>
  <c r="AO465" i="7" s="1"/>
  <c r="AO457" i="7"/>
  <c r="AO469" i="7" s="1"/>
  <c r="AO395" i="7"/>
  <c r="AN71" i="7"/>
  <c r="E282" i="7" l="1"/>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437" i="7" s="1"/>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11" i="7" s="1"/>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54" i="7" l="1"/>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21" i="7" l="1"/>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<sst xmlns="http://schemas.openxmlformats.org/spreadsheetml/2006/main" count="617" uniqueCount="323">
  <si>
    <t>Fixed Cost by Capacity</t>
  </si>
  <si>
    <t>Variable Cost by Generation</t>
  </si>
  <si>
    <t>Property Tax</t>
  </si>
  <si>
    <t>Operating Year</t>
  </si>
  <si>
    <t>Investment Tax Credit</t>
  </si>
  <si>
    <t>Amount</t>
  </si>
  <si>
    <t>Federal</t>
  </si>
  <si>
    <t>State</t>
  </si>
  <si>
    <t>Production Tax Credit</t>
  </si>
  <si>
    <t>%</t>
  </si>
  <si>
    <t>Maximum</t>
  </si>
  <si>
    <t>Amount ($/kWh)</t>
  </si>
  <si>
    <t>Production (AC-kWh)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</si>
  <si>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</si>
  <si>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</si>
  <si>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</si>
  <si>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</si>
  <si>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</si>
  <si>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</si>
  <si>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</si>
  <si>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</si>
  <si>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</si>
  <si>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</si>
  <si>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</si>
  <si>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</si>
  <si>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</si>
  <si>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</si>
  <si>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</si>
  <si>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</si>
  <si>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</si>
  <si>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</si>
  <si>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</si>
  <si>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</si>
  <si>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</si>
  <si>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</si>
  <si>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</si>
  <si>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</si>
  <si>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</si>
  <si>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</si>
  <si>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</si>
  <si>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</si>
  <si>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</si>
  <si>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</si>
  <si>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</si>
  <si>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</si>
  <si>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</si>
  <si>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</si>
  <si>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</si>
  <si>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</si>
  <si>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</si>
  <si>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</si>
  <si>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</si>
  <si>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</si>
  <si>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</si>
  <si>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</si>
  <si>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</si>
  <si>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</si>
  <si>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</si>
  <si>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</si>
  <si>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</si>
  <si>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</si>
  <si>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</si>
  <si>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</si>
  <si>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</si>
  <si>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</si>
  <si>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</si>
  <si>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</si>
  <si>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</si>
  <si>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</si>
  <si>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</si>
  <si>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</si>
  <si>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</si>
  <si>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</si>
  <si>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</si>
  <si>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</si>
  <si>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</si>
  <si>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</si>
  <si>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</si>
  <si>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</si>
  <si>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</si>
  <si>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</si>
  <si>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</si>
  <si>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</si>
  <si>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</si>
  <si>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</si>
  <si>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</si>
  <si>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</si>
  <si>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</si>
  <si>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</si>
  <si>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</si>
  <si>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</si>
  <si>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</si>
  <si>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</si>
  <si>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</si>
  <si>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</si>
  <si>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</si>
  <si>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</si>
  <si>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</si>
  <si>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</si>
  <si>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</si>
  <si>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</si>
  <si>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</si>
  <si>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</si>
  <si>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</si>
  <si>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</si>
  <si>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</si>
  <si>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</si>
  <si>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</si>
  <si>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</si>
  <si>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</si>
  <si>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</si>
  <si>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</si>
  <si>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</si>
  <si>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</si>
  <si>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</si>
  <si>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</si>
  <si>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</si>
  <si>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</si>
  <si>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</si>
  <si>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</si>
  <si>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</si>
  <si>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</si>
  <si>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</si>
  <si>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</si>
  <si>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</si>
  <si>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</si>
  <si>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</si>
  <si>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</si>
  <si>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</si>
  <si>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</si>
  <si>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</si>
  <si>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</si>
  <si>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</si>
  <si>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</si>
  <si>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</si>
  <si>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</si>
  <si>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</si>
  <si>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</si>
  <si>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</si>
  <si>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</si>
  <si>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</si>
  <si>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</si>
  <si>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</si>
  <si>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</si>
  <si>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</si>
  <si>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</si>
  <si>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</si>
  <si>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</si>
  <si>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</si>
  <si>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</si>
  <si>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</si>
  <si>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</si>
  <si>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</si>
  <si>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</si>
  <si>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</si>
  <si>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</si>
  <si>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</si>
  <si>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</si>
  <si>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</si>
  <si>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</si>
  <si>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</si>
  <si>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</si>
  <si>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</si>
  <si>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</si>
  <si>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</si>
  <si>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</si>
  <si>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</si>
  <si>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</si>
  <si>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</si>
  <si>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</si>
  <si>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</si>
  <si>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</si>
  <si>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</si>
  <si>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</si>
  <si>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</si>
  <si>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</si>
  <si>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</si>
  <si>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</si>
  <si>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</si>
  <si>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</si>
  <si>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</si>
  <si>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</si>
  <si>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</si>
  <si>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</si>
  <si>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</si>
  <si>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</si>
  <si>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</si>
  <si>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</si>
  <si>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</si>
  <si>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</si>
  <si>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</si>
  <si>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</si>
  <si>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</si>
  <si>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</si>
  <si>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</si>
  <si>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</si>
  <si>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</si>
  <si>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</si>
  <si>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</si>
  <si>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</si>
  <si>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</si>
  <si>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</si>
  <si>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</si>
  <si>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</si>
  <si>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</si>
  <si>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</si>
  <si>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</si>
  <si>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</si>
  <si>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</si>
  <si>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</si>
  <si>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</si>
  <si>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</si>
  <si>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</si>
  <si>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</si>
  <si>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</si>
  <si>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</si>
  <si>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</si>
  <si>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</si>
  <si>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</si>
  <si>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</si>
  <si>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</si>
  <si>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</si>
  <si>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</si>
  <si>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</si>
  <si>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</si>
  <si>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</si>
  <si>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</si>
  <si>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</si>
  <si>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</si>
  <si>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</si>
  <si>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</si>
  <si>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</si>
  <si>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</si>
  <si>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</si>
  <si>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</si>
  <si>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</si>
  <si>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</si>
  <si>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</si>
  <si>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</si>
  <si>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Federal Taxable</t>
  </si>
  <si>
    <t>State Taxable</t>
  </si>
  <si>
    <t>Classes</t>
  </si>
  <si>
    <t>Federal Bonus</t>
  </si>
  <si>
    <t>State Bonus</t>
  </si>
  <si>
    <t>DEPRECIATION</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</si>
  <si>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</si>
  <si>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</si>
  <si>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</si>
  <si>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</si>
  <si>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</si>
  <si>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</si>
  <si>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</si>
  <si>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</si>
  <si>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</si>
  <si>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</si>
  <si>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</si>
  <si>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</si>
  <si>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</si>
  <si>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</si>
  <si>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</si>
  <si>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</si>
  <si>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</si>
  <si>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</si>
  <si>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</si>
  <si>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</si>
  <si>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</si>
  <si>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</si>
  <si>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</si>
  <si>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</si>
  <si>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</si>
  <si>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</si>
  <si>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Annual energy (AC-kWh)</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</si>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</sst>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1">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5" fillId="0" borderId="0" xfId="0" applyFont="1"/>
    <xf numFmtId="0" fontId="6" fillId="2" borderId="21" xfId="0" applyFont="1" applyFill="1" applyBorder="1"/>
    <xf numFmtId="0" fontId="5" fillId="2" borderId="22" xfId="0" applyFont="1" applyFill="1" applyBorder="1"/>
    <xf numFmtId="0" fontId="5" fillId="0" borderId="0" xfId="0" applyFont="1" applyBorder="1"/>
    <xf numFmtId="0" fontId="5" fillId="2" borderId="23" xfId="0" applyFont="1" applyFill="1" applyBorder="1"/>
    <xf numFmtId="0" fontId="5" fillId="0" borderId="0" xfId="0" applyFont="1" applyFill="1" applyBorder="1"/>
    <xf numFmtId="41" fontId="3" fillId="0" borderId="7" xfId="0" applyNumberFormat="1" applyFont="1" applyBorder="1"/>
    <xf numFmtId="0" fontId="5" fillId="0" borderId="9" xfId="0" applyFont="1" applyBorder="1" applyAlignment="1">
      <alignment horizontal="center"/>
    </xf>
    <xf numFmtId="0" fontId="5"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5" fillId="0" borderId="0" xfId="0" applyFont="1" applyFill="1"/>
    <xf numFmtId="0" fontId="3" fillId="0" borderId="9" xfId="0" applyFont="1" applyBorder="1" applyAlignment="1">
      <alignment horizontal="center"/>
    </xf>
    <xf numFmtId="0" fontId="5" fillId="0" borderId="3" xfId="0" applyFont="1" applyBorder="1" applyAlignment="1">
      <alignment horizontal="center" wrapText="1"/>
    </xf>
    <xf numFmtId="41" fontId="5" fillId="0" borderId="0" xfId="0" applyNumberFormat="1" applyFont="1" applyFill="1" applyBorder="1"/>
    <xf numFmtId="41" fontId="5" fillId="0" borderId="0" xfId="0" applyNumberFormat="1" applyFont="1"/>
    <xf numFmtId="0" fontId="4" fillId="0" borderId="0" xfId="0" applyFont="1"/>
    <xf numFmtId="164" fontId="6" fillId="2" borderId="2" xfId="0" applyNumberFormat="1" applyFont="1" applyFill="1" applyBorder="1" applyAlignment="1">
      <alignment horizontal="center"/>
    </xf>
    <xf numFmtId="164" fontId="5" fillId="0" borderId="0" xfId="0" applyNumberFormat="1" applyFont="1" applyBorder="1" applyAlignment="1">
      <alignment horizontal="center"/>
    </xf>
    <xf numFmtId="0" fontId="5" fillId="0" borderId="0" xfId="0" applyFont="1" applyAlignment="1">
      <alignment horizontal="left"/>
    </xf>
    <xf numFmtId="10" fontId="5" fillId="0" borderId="0" xfId="1" applyNumberFormat="1" applyFont="1"/>
    <xf numFmtId="0" fontId="6" fillId="0" borderId="0" xfId="0" applyFont="1"/>
    <xf numFmtId="168" fontId="5" fillId="0" borderId="0" xfId="0" applyNumberFormat="1" applyFont="1"/>
    <xf numFmtId="0" fontId="5" fillId="0" borderId="0" xfId="0" applyFont="1" applyAlignment="1">
      <alignment horizontal="left" indent="2"/>
    </xf>
    <xf numFmtId="41" fontId="5" fillId="0" borderId="0" xfId="0" applyNumberFormat="1" applyFont="1" applyBorder="1"/>
    <xf numFmtId="0" fontId="6" fillId="0" borderId="0" xfId="0" applyFont="1" applyFill="1" applyBorder="1"/>
    <xf numFmtId="0" fontId="5" fillId="0" borderId="0" xfId="0" applyFont="1" applyFill="1" applyBorder="1" applyAlignment="1">
      <alignment horizontal="left"/>
    </xf>
    <xf numFmtId="0" fontId="5" fillId="0" borderId="0" xfId="0" applyFont="1" applyAlignment="1">
      <alignment horizontal="left" indent="4"/>
    </xf>
    <xf numFmtId="0" fontId="5" fillId="0" borderId="0" xfId="0" applyFont="1" applyFill="1" applyBorder="1" applyAlignment="1">
      <alignment horizontal="left" indent="2"/>
    </xf>
    <xf numFmtId="0" fontId="5" fillId="0" borderId="0" xfId="0" applyFont="1" applyFill="1" applyBorder="1" applyAlignment="1">
      <alignment horizontal="left" indent="4"/>
    </xf>
    <xf numFmtId="0" fontId="5" fillId="0" borderId="4" xfId="0" applyFont="1" applyBorder="1" applyAlignment="1">
      <alignment horizontal="center" wrapText="1"/>
    </xf>
    <xf numFmtId="0" fontId="5" fillId="0" borderId="2" xfId="0" applyFont="1" applyBorder="1" applyAlignment="1">
      <alignment horizontal="center" wrapText="1"/>
    </xf>
    <xf numFmtId="0" fontId="5" fillId="0" borderId="0" xfId="0" applyFont="1" applyAlignment="1">
      <alignment horizontal="left" indent="6"/>
    </xf>
    <xf numFmtId="167" fontId="5" fillId="0" borderId="0" xfId="1" applyNumberFormat="1" applyFont="1" applyBorder="1"/>
    <xf numFmtId="0" fontId="5" fillId="0" borderId="0" xfId="0" applyFont="1" applyAlignment="1">
      <alignment horizontal="right"/>
    </xf>
    <xf numFmtId="167" fontId="5" fillId="0" borderId="0" xfId="1" applyNumberFormat="1" applyFont="1"/>
    <xf numFmtId="0" fontId="5" fillId="0" borderId="0" xfId="0" applyFont="1" applyFill="1" applyAlignment="1">
      <alignment horizontal="right"/>
    </xf>
    <xf numFmtId="41" fontId="6" fillId="0" borderId="10" xfId="0" applyNumberFormat="1" applyFont="1" applyFill="1" applyBorder="1"/>
    <xf numFmtId="41" fontId="5" fillId="0" borderId="11" xfId="0" applyNumberFormat="1" applyFont="1" applyFill="1" applyBorder="1"/>
    <xf numFmtId="0" fontId="5" fillId="0" borderId="3" xfId="0" applyFont="1" applyFill="1" applyBorder="1" applyAlignment="1">
      <alignment horizontal="center" wrapText="1"/>
    </xf>
    <xf numFmtId="0" fontId="5" fillId="0" borderId="0" xfId="0" applyFont="1" applyFill="1" applyAlignment="1">
      <alignment horizontal="left" indent="2"/>
    </xf>
    <xf numFmtId="0" fontId="5" fillId="0" borderId="0" xfId="0" applyFont="1" applyFill="1" applyAlignment="1">
      <alignment horizontal="left" indent="4"/>
    </xf>
    <xf numFmtId="0" fontId="5" fillId="0" borderId="0" xfId="0" applyFont="1" applyFill="1" applyAlignment="1">
      <alignment horizontal="left" indent="6"/>
    </xf>
    <xf numFmtId="0" fontId="6" fillId="0" borderId="21" xfId="0" applyFont="1" applyBorder="1"/>
    <xf numFmtId="0" fontId="5" fillId="0" borderId="23" xfId="0" applyFont="1" applyBorder="1"/>
    <xf numFmtId="0" fontId="5"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5" fillId="0" borderId="0" xfId="0" applyFont="1" applyBorder="1" applyAlignment="1">
      <alignment horizontal="left" indent="2"/>
    </xf>
    <xf numFmtId="0" fontId="5" fillId="0" borderId="21" xfId="0" applyFont="1" applyBorder="1"/>
    <xf numFmtId="0" fontId="5" fillId="0" borderId="0" xfId="0" applyFont="1" applyFill="1" applyBorder="1" applyAlignment="1">
      <alignment horizontal="center"/>
    </xf>
    <xf numFmtId="0" fontId="5" fillId="4" borderId="20" xfId="0" applyFont="1" applyFill="1" applyBorder="1"/>
    <xf numFmtId="0" fontId="3" fillId="5" borderId="20" xfId="0" applyFont="1" applyFill="1" applyBorder="1"/>
    <xf numFmtId="43" fontId="3" fillId="0" borderId="20" xfId="0" applyNumberFormat="1" applyFont="1" applyBorder="1"/>
    <xf numFmtId="0" fontId="5" fillId="0" borderId="20" xfId="0" applyFont="1" applyBorder="1"/>
    <xf numFmtId="0" fontId="5" fillId="0" borderId="20" xfId="0" applyFont="1" applyBorder="1" applyAlignment="1">
      <alignment horizontal="left" indent="1"/>
    </xf>
    <xf numFmtId="0" fontId="5" fillId="0" borderId="20" xfId="0" applyFont="1" applyBorder="1" applyAlignment="1">
      <alignment horizontal="left" indent="3"/>
    </xf>
    <xf numFmtId="0" fontId="5" fillId="0" borderId="21" xfId="0" applyFont="1" applyFill="1" applyBorder="1" applyAlignment="1">
      <alignment horizontal="left" indent="1"/>
    </xf>
    <xf numFmtId="0" fontId="5" fillId="0" borderId="21" xfId="0" applyFont="1" applyBorder="1" applyAlignment="1">
      <alignment horizontal="left" indent="1"/>
    </xf>
    <xf numFmtId="43" fontId="5" fillId="0" borderId="20" xfId="3" applyFont="1" applyBorder="1"/>
    <xf numFmtId="43" fontId="5" fillId="0" borderId="20" xfId="0" applyNumberFormat="1" applyFont="1" applyBorder="1"/>
    <xf numFmtId="43" fontId="5" fillId="0" borderId="20" xfId="0" applyNumberFormat="1" applyFont="1" applyFill="1" applyBorder="1"/>
    <xf numFmtId="0" fontId="5" fillId="0" borderId="21" xfId="0" applyFont="1" applyBorder="1" applyAlignment="1">
      <alignment horizontal="right"/>
    </xf>
    <xf numFmtId="9" fontId="3" fillId="0" borderId="21" xfId="0" applyNumberFormat="1" applyFont="1" applyFill="1" applyBorder="1"/>
    <xf numFmtId="9" fontId="5" fillId="0" borderId="22" xfId="1" applyFont="1" applyBorder="1"/>
    <xf numFmtId="43" fontId="5" fillId="4" borderId="22" xfId="3" applyFont="1" applyFill="1" applyBorder="1"/>
    <xf numFmtId="43" fontId="5" fillId="4" borderId="20" xfId="0" applyNumberFormat="1" applyFont="1" applyFill="1" applyBorder="1"/>
    <xf numFmtId="43" fontId="6" fillId="4" borderId="20" xfId="0" applyNumberFormat="1" applyFont="1" applyFill="1" applyBorder="1"/>
    <xf numFmtId="0" fontId="5" fillId="4" borderId="27" xfId="0" applyFont="1" applyFill="1" applyBorder="1"/>
    <xf numFmtId="0" fontId="5" fillId="5" borderId="0" xfId="0" applyFont="1" applyFill="1" applyBorder="1"/>
    <xf numFmtId="0" fontId="5" fillId="5" borderId="7" xfId="0" applyFont="1" applyFill="1" applyBorder="1"/>
    <xf numFmtId="0" fontId="5" fillId="5" borderId="1" xfId="0" applyFont="1" applyFill="1" applyBorder="1"/>
    <xf numFmtId="0" fontId="5" fillId="5" borderId="8" xfId="0" applyFont="1" applyFill="1" applyBorder="1"/>
    <xf numFmtId="11" fontId="3" fillId="0" borderId="20" xfId="0" applyNumberFormat="1" applyFont="1" applyBorder="1"/>
    <xf numFmtId="0" fontId="5" fillId="0" borderId="20" xfId="0" applyFont="1" applyBorder="1" applyAlignment="1">
      <alignment horizontal="left" indent="2"/>
    </xf>
    <xf numFmtId="0" fontId="5" fillId="0" borderId="20" xfId="0" applyFont="1" applyBorder="1" applyAlignment="1">
      <alignment horizontal="left" indent="4"/>
    </xf>
    <xf numFmtId="0" fontId="5" fillId="0" borderId="17" xfId="0" applyFont="1" applyBorder="1" applyAlignment="1">
      <alignment horizontal="left" indent="1"/>
    </xf>
    <xf numFmtId="0" fontId="5" fillId="0" borderId="26" xfId="0" applyFont="1" applyBorder="1"/>
    <xf numFmtId="0" fontId="5"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5" fillId="5" borderId="24" xfId="0" applyFont="1" applyFill="1" applyBorder="1"/>
    <xf numFmtId="0" fontId="5" fillId="5" borderId="26" xfId="0" applyFont="1" applyFill="1" applyBorder="1"/>
    <xf numFmtId="0" fontId="5" fillId="5" borderId="6" xfId="0" applyFont="1" applyFill="1" applyBorder="1"/>
    <xf numFmtId="0" fontId="5"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5"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5" fillId="0" borderId="27" xfId="0" applyFont="1" applyBorder="1" applyAlignment="1">
      <alignment horizontal="left" indent="1"/>
    </xf>
    <xf numFmtId="0" fontId="5" fillId="5" borderId="27" xfId="0" applyFont="1" applyFill="1" applyBorder="1"/>
    <xf numFmtId="0" fontId="5" fillId="0" borderId="0" xfId="0" applyFont="1" applyFill="1" applyBorder="1" applyAlignment="1">
      <alignment horizontal="left" wrapText="1"/>
    </xf>
    <xf numFmtId="0" fontId="5" fillId="0" borderId="0" xfId="0" applyFont="1" applyFill="1" applyBorder="1" applyAlignment="1"/>
    <xf numFmtId="0" fontId="5"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5" fillId="0" borderId="20" xfId="0" applyFont="1" applyFill="1" applyBorder="1" applyAlignment="1">
      <alignment horizontal="left" indent="4"/>
    </xf>
    <xf numFmtId="0" fontId="3" fillId="0" borderId="20" xfId="0" applyFont="1" applyFill="1" applyBorder="1"/>
    <xf numFmtId="0" fontId="5"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5" fillId="5" borderId="16" xfId="0" applyFont="1" applyFill="1" applyBorder="1"/>
    <xf numFmtId="0" fontId="5" fillId="0" borderId="9" xfId="0" applyFont="1" applyFill="1" applyBorder="1" applyAlignment="1">
      <alignment horizontal="center"/>
    </xf>
    <xf numFmtId="0" fontId="5"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5" fillId="0" borderId="20" xfId="0" applyFont="1" applyFill="1" applyBorder="1" applyAlignment="1">
      <alignment horizontal="center"/>
    </xf>
    <xf numFmtId="0" fontId="3" fillId="0" borderId="21" xfId="0" applyFont="1" applyFill="1" applyBorder="1" applyAlignment="1">
      <alignment horizontal="center"/>
    </xf>
    <xf numFmtId="0" fontId="7" fillId="0" borderId="0" xfId="0" applyFont="1" applyFill="1" applyBorder="1" applyAlignment="1">
      <alignment horizontal="center"/>
    </xf>
    <xf numFmtId="0" fontId="5" fillId="0" borderId="21" xfId="0" applyFont="1" applyFill="1" applyBorder="1"/>
    <xf numFmtId="0" fontId="3" fillId="0" borderId="23" xfId="0" applyFont="1" applyFill="1" applyBorder="1"/>
    <xf numFmtId="0" fontId="6" fillId="0" borderId="21" xfId="0" applyFont="1" applyFill="1" applyBorder="1"/>
    <xf numFmtId="0" fontId="6"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5" fillId="6" borderId="0" xfId="0" applyFont="1" applyFill="1" applyBorder="1" applyAlignment="1">
      <alignment horizontal="left"/>
    </xf>
    <xf numFmtId="0" fontId="3" fillId="6" borderId="0" xfId="0" applyFont="1" applyFill="1" applyBorder="1"/>
    <xf numFmtId="0" fontId="5" fillId="6" borderId="0" xfId="0" applyFont="1" applyFill="1" applyBorder="1" applyAlignment="1">
      <alignment horizontal="left" indent="2"/>
    </xf>
    <xf numFmtId="0" fontId="3" fillId="6" borderId="0" xfId="0" applyFont="1" applyFill="1" applyBorder="1" applyAlignment="1">
      <alignment horizontal="center"/>
    </xf>
    <xf numFmtId="0" fontId="8" fillId="0" borderId="0" xfId="0" applyFont="1" applyFill="1" applyBorder="1" applyAlignment="1"/>
    <xf numFmtId="43" fontId="5" fillId="0" borderId="0" xfId="0" applyNumberFormat="1" applyFont="1" applyFill="1" applyBorder="1" applyAlignment="1"/>
    <xf numFmtId="0" fontId="5" fillId="0" borderId="17" xfId="0" applyFont="1" applyFill="1" applyBorder="1" applyAlignment="1">
      <alignment horizontal="center"/>
    </xf>
    <xf numFmtId="0" fontId="5" fillId="0" borderId="17" xfId="0" applyFont="1" applyFill="1" applyBorder="1" applyAlignment="1">
      <alignment horizontal="left" indent="2"/>
    </xf>
    <xf numFmtId="0" fontId="5" fillId="0" borderId="27" xfId="0" applyFont="1" applyFill="1" applyBorder="1" applyAlignment="1">
      <alignment horizontal="left" indent="4"/>
    </xf>
    <xf numFmtId="0" fontId="6" fillId="0" borderId="6" xfId="0" applyFont="1" applyFill="1" applyBorder="1"/>
    <xf numFmtId="0" fontId="5" fillId="0" borderId="28" xfId="0" applyFont="1" applyFill="1" applyBorder="1" applyAlignment="1">
      <alignment horizontal="left" indent="4"/>
    </xf>
    <xf numFmtId="0" fontId="6" fillId="0" borderId="17" xfId="0" applyFont="1" applyFill="1" applyBorder="1"/>
    <xf numFmtId="0" fontId="5" fillId="0" borderId="17" xfId="0" applyFont="1" applyBorder="1" applyAlignment="1">
      <alignment horizontal="center" wrapText="1"/>
    </xf>
    <xf numFmtId="0" fontId="5" fillId="0" borderId="28" xfId="0" applyFont="1" applyFill="1" applyBorder="1" applyAlignment="1">
      <alignment horizontal="left" indent="2"/>
    </xf>
    <xf numFmtId="0" fontId="5" fillId="0" borderId="20" xfId="0" applyFont="1" applyBorder="1" applyAlignment="1">
      <alignment horizontal="center"/>
    </xf>
    <xf numFmtId="0" fontId="5" fillId="0" borderId="0" xfId="0" applyFont="1" applyFill="1" applyBorder="1" applyAlignment="1">
      <alignment horizontal="left" indent="5"/>
    </xf>
    <xf numFmtId="0" fontId="2" fillId="0" borderId="0" xfId="0" applyFont="1" applyFill="1" applyBorder="1"/>
    <xf numFmtId="0" fontId="6" fillId="2" borderId="20" xfId="0" applyFont="1" applyFill="1" applyBorder="1"/>
    <xf numFmtId="41" fontId="3" fillId="0" borderId="3" xfId="0" applyNumberFormat="1" applyFont="1" applyBorder="1"/>
    <xf numFmtId="0" fontId="5" fillId="0" borderId="6" xfId="0" applyFont="1" applyBorder="1" applyAlignment="1">
      <alignment horizontal="right"/>
    </xf>
    <xf numFmtId="10" fontId="5" fillId="0" borderId="0" xfId="0" applyNumberFormat="1" applyFont="1" applyFill="1" applyBorder="1"/>
    <xf numFmtId="10" fontId="5" fillId="0" borderId="0" xfId="0" applyNumberFormat="1" applyFont="1" applyFill="1" applyBorder="1" applyAlignment="1">
      <alignment horizontal="right"/>
    </xf>
    <xf numFmtId="10" fontId="5" fillId="0" borderId="0" xfId="0" applyNumberFormat="1" applyFont="1"/>
    <xf numFmtId="0" fontId="5" fillId="0" borderId="3" xfId="0" applyFont="1" applyFill="1" applyBorder="1" applyAlignment="1">
      <alignment horizontal="left"/>
    </xf>
    <xf numFmtId="0" fontId="5" fillId="0" borderId="3" xfId="0" applyFont="1" applyFill="1" applyBorder="1" applyAlignment="1">
      <alignment horizontal="left" indent="1"/>
    </xf>
    <xf numFmtId="0" fontId="5" fillId="0" borderId="3" xfId="0" applyFont="1" applyBorder="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Alignment="1">
      <alignment horizontal="left" indent="3"/>
    </xf>
    <xf numFmtId="0" fontId="5" fillId="0" borderId="0" xfId="0" applyFont="1" applyFill="1" applyBorder="1" applyAlignment="1">
      <alignment horizontal="left" indent="3"/>
    </xf>
    <xf numFmtId="0" fontId="5" fillId="0" borderId="0" xfId="0" applyFont="1" applyBorder="1" applyAlignment="1">
      <alignment horizontal="center"/>
    </xf>
    <xf numFmtId="0" fontId="5" fillId="0" borderId="0" xfId="0" applyNumberFormat="1" applyFont="1"/>
    <xf numFmtId="0" fontId="5" fillId="0" borderId="0" xfId="0" applyNumberFormat="1" applyFont="1" applyFill="1" applyBorder="1"/>
    <xf numFmtId="0" fontId="5" fillId="0" borderId="0" xfId="0" applyNumberFormat="1" applyFont="1" applyFill="1" applyBorder="1" applyAlignment="1">
      <alignment horizontal="right"/>
    </xf>
    <xf numFmtId="0" fontId="6" fillId="0" borderId="0" xfId="0" applyNumberFormat="1" applyFont="1" applyFill="1" applyBorder="1" applyAlignment="1">
      <alignment horizontal="center"/>
    </xf>
    <xf numFmtId="0" fontId="3" fillId="0" borderId="0" xfId="0" applyNumberFormat="1" applyFont="1" applyFill="1" applyBorder="1"/>
    <xf numFmtId="0" fontId="7" fillId="0" borderId="0" xfId="0" applyNumberFormat="1" applyFont="1" applyFill="1" applyBorder="1" applyAlignment="1">
      <alignment horizontal="center"/>
    </xf>
    <xf numFmtId="10" fontId="5" fillId="0" borderId="0" xfId="1" applyNumberFormat="1" applyFont="1" applyFill="1" applyBorder="1"/>
    <xf numFmtId="10" fontId="5" fillId="0" borderId="0" xfId="1" applyNumberFormat="1" applyFont="1" applyBorder="1"/>
    <xf numFmtId="0" fontId="5" fillId="7" borderId="29" xfId="0" applyFont="1" applyFill="1" applyBorder="1" applyAlignment="1">
      <alignment horizontal="left" indent="1"/>
    </xf>
    <xf numFmtId="0" fontId="5" fillId="7" borderId="31" xfId="0" applyFont="1" applyFill="1" applyBorder="1" applyAlignment="1">
      <alignment horizontal="left" indent="1"/>
    </xf>
    <xf numFmtId="41" fontId="3" fillId="3" borderId="2" xfId="2" applyNumberFormat="1" applyFont="1" applyFill="1" applyBorder="1"/>
    <xf numFmtId="0" fontId="13"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5" fillId="0" borderId="0" xfId="0" applyNumberFormat="1" applyFont="1"/>
    <xf numFmtId="4" fontId="3" fillId="0" borderId="0" xfId="3" applyNumberFormat="1" applyFont="1" applyFill="1" applyBorder="1"/>
    <xf numFmtId="4" fontId="5" fillId="2" borderId="22" xfId="3" applyNumberFormat="1" applyFont="1" applyFill="1" applyBorder="1"/>
    <xf numFmtId="4" fontId="3" fillId="0" borderId="20" xfId="3" applyNumberFormat="1" applyFont="1" applyFill="1" applyBorder="1"/>
    <xf numFmtId="4" fontId="5"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5"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5" fillId="0" borderId="20" xfId="0" applyNumberFormat="1" applyFont="1" applyBorder="1"/>
    <xf numFmtId="4" fontId="5" fillId="2" borderId="22" xfId="0" applyNumberFormat="1" applyFont="1" applyFill="1" applyBorder="1"/>
    <xf numFmtId="4" fontId="3" fillId="0" borderId="20" xfId="0" applyNumberFormat="1" applyFont="1" applyFill="1" applyBorder="1"/>
    <xf numFmtId="4" fontId="5" fillId="0" borderId="0" xfId="0" applyNumberFormat="1" applyFont="1" applyFill="1" applyBorder="1"/>
    <xf numFmtId="4" fontId="3" fillId="0" borderId="0" xfId="1" applyNumberFormat="1" applyFont="1" applyBorder="1"/>
    <xf numFmtId="4" fontId="5" fillId="0" borderId="0" xfId="0" applyNumberFormat="1" applyFont="1" applyBorder="1"/>
    <xf numFmtId="4" fontId="5" fillId="0" borderId="0" xfId="0" applyNumberFormat="1" applyFont="1"/>
    <xf numFmtId="4" fontId="3" fillId="0" borderId="20" xfId="1" applyNumberFormat="1" applyFont="1" applyBorder="1"/>
    <xf numFmtId="4" fontId="5"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5"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5"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5" fillId="0" borderId="0" xfId="0" applyNumberFormat="1" applyFont="1" applyFill="1" applyBorder="1"/>
    <xf numFmtId="3" fontId="5" fillId="0" borderId="1" xfId="0" applyNumberFormat="1" applyFont="1" applyFill="1" applyBorder="1"/>
    <xf numFmtId="3" fontId="5" fillId="0" borderId="16" xfId="0" applyNumberFormat="1" applyFont="1" applyFill="1" applyBorder="1"/>
    <xf numFmtId="3" fontId="5" fillId="0" borderId="24" xfId="0" applyNumberFormat="1" applyFont="1" applyFill="1" applyBorder="1"/>
    <xf numFmtId="3" fontId="5" fillId="0" borderId="6" xfId="0" applyNumberFormat="1" applyFont="1" applyFill="1" applyBorder="1"/>
    <xf numFmtId="3" fontId="5" fillId="0" borderId="17" xfId="0" applyNumberFormat="1" applyFont="1" applyFill="1" applyBorder="1"/>
    <xf numFmtId="3" fontId="5" fillId="0" borderId="25" xfId="0" applyNumberFormat="1" applyFont="1" applyFill="1" applyBorder="1"/>
    <xf numFmtId="3" fontId="5" fillId="0" borderId="26" xfId="0" applyNumberFormat="1" applyFont="1" applyFill="1" applyBorder="1"/>
    <xf numFmtId="3" fontId="5" fillId="0" borderId="27" xfId="0" applyNumberFormat="1" applyFont="1" applyFill="1" applyBorder="1"/>
    <xf numFmtId="3" fontId="5" fillId="0" borderId="7" xfId="0" applyNumberFormat="1" applyFont="1" applyFill="1" applyBorder="1"/>
    <xf numFmtId="1" fontId="5" fillId="0" borderId="25" xfId="1" applyNumberFormat="1" applyFont="1" applyFill="1" applyBorder="1"/>
    <xf numFmtId="1" fontId="5" fillId="0" borderId="0" xfId="1" applyNumberFormat="1" applyFont="1" applyFill="1" applyBorder="1"/>
    <xf numFmtId="1" fontId="5" fillId="0" borderId="23" xfId="1" applyNumberFormat="1" applyFont="1" applyFill="1" applyBorder="1"/>
    <xf numFmtId="171" fontId="5" fillId="0" borderId="25" xfId="1" applyNumberFormat="1" applyFont="1" applyFill="1" applyBorder="1"/>
    <xf numFmtId="171" fontId="5" fillId="0" borderId="0" xfId="1" applyNumberFormat="1" applyFont="1" applyFill="1" applyBorder="1"/>
    <xf numFmtId="3" fontId="5" fillId="0" borderId="9" xfId="0" applyNumberFormat="1" applyFont="1" applyFill="1" applyBorder="1"/>
    <xf numFmtId="3" fontId="5" fillId="0" borderId="21" xfId="0" applyNumberFormat="1" applyFont="1" applyFill="1" applyBorder="1"/>
    <xf numFmtId="171" fontId="5" fillId="0" borderId="23" xfId="1" applyNumberFormat="1" applyFont="1" applyFill="1" applyBorder="1"/>
    <xf numFmtId="3" fontId="5" fillId="0" borderId="23" xfId="0" applyNumberFormat="1" applyFont="1" applyFill="1" applyBorder="1"/>
    <xf numFmtId="3" fontId="5" fillId="0" borderId="22" xfId="0" applyNumberFormat="1" applyFont="1" applyFill="1" applyBorder="1"/>
    <xf numFmtId="0" fontId="9" fillId="0" borderId="23" xfId="0" applyFont="1" applyBorder="1" applyAlignment="1">
      <alignment horizontal="center" wrapText="1"/>
    </xf>
    <xf numFmtId="0" fontId="9"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5" fillId="0" borderId="0" xfId="0" applyNumberFormat="1" applyFont="1" applyFill="1"/>
    <xf numFmtId="3" fontId="5"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5" fillId="0" borderId="2" xfId="0" applyNumberFormat="1" applyFont="1" applyBorder="1"/>
    <xf numFmtId="3" fontId="5" fillId="0" borderId="0" xfId="0" applyNumberFormat="1" applyFont="1"/>
    <xf numFmtId="3" fontId="5" fillId="0" borderId="1" xfId="0" applyNumberFormat="1" applyFont="1" applyBorder="1"/>
    <xf numFmtId="3" fontId="5" fillId="0" borderId="19" xfId="0" applyNumberFormat="1" applyFont="1" applyBorder="1"/>
    <xf numFmtId="3" fontId="5"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5" fillId="0" borderId="1" xfId="0" applyNumberFormat="1" applyFont="1" applyBorder="1"/>
    <xf numFmtId="1" fontId="5" fillId="0" borderId="0" xfId="0" applyNumberFormat="1" applyFont="1"/>
    <xf numFmtId="2" fontId="5" fillId="0" borderId="12" xfId="0" applyNumberFormat="1" applyFont="1" applyBorder="1"/>
    <xf numFmtId="171" fontId="5" fillId="0" borderId="0" xfId="0" applyNumberFormat="1" applyFont="1"/>
    <xf numFmtId="3" fontId="5" fillId="0" borderId="12" xfId="0" applyNumberFormat="1" applyFont="1" applyBorder="1"/>
    <xf numFmtId="3" fontId="5" fillId="0" borderId="23" xfId="0" applyNumberFormat="1" applyFont="1" applyBorder="1"/>
    <xf numFmtId="0" fontId="5" fillId="0" borderId="0" xfId="0" applyNumberFormat="1" applyFont="1" applyBorder="1"/>
    <xf numFmtId="0" fontId="5" fillId="0" borderId="0" xfId="0" applyNumberFormat="1" applyFont="1" applyFill="1"/>
    <xf numFmtId="1" fontId="5" fillId="0" borderId="3" xfId="0" applyNumberFormat="1" applyFont="1" applyBorder="1"/>
    <xf numFmtId="1" fontId="5" fillId="0" borderId="20" xfId="0" applyNumberFormat="1" applyFont="1" applyBorder="1"/>
    <xf numFmtId="1" fontId="5" fillId="0" borderId="0" xfId="0" applyNumberFormat="1" applyFont="1" applyBorder="1"/>
    <xf numFmtId="0" fontId="5" fillId="0" borderId="3" xfId="0" applyNumberFormat="1" applyFont="1" applyBorder="1" applyAlignment="1">
      <alignment horizontal="center" wrapText="1"/>
    </xf>
    <xf numFmtId="3" fontId="3" fillId="0" borderId="0" xfId="0" applyNumberFormat="1" applyFont="1" applyFill="1" applyBorder="1"/>
    <xf numFmtId="0" fontId="5" fillId="0" borderId="6" xfId="0" applyFont="1" applyBorder="1"/>
    <xf numFmtId="37" fontId="5" fillId="0" borderId="0" xfId="0" applyNumberFormat="1" applyFont="1" applyFill="1"/>
    <xf numFmtId="37" fontId="5" fillId="0" borderId="1" xfId="0" applyNumberFormat="1" applyFont="1" applyFill="1" applyBorder="1"/>
    <xf numFmtId="37" fontId="5" fillId="0" borderId="0" xfId="0" applyNumberFormat="1" applyFont="1" applyBorder="1"/>
    <xf numFmtId="37" fontId="5" fillId="0" borderId="0" xfId="0" applyNumberFormat="1" applyFont="1" applyFill="1" applyBorder="1"/>
    <xf numFmtId="37" fontId="5" fillId="0" borderId="23" xfId="0" applyNumberFormat="1" applyFont="1" applyBorder="1"/>
    <xf numFmtId="37" fontId="5" fillId="0" borderId="2" xfId="0" applyNumberFormat="1" applyFont="1" applyBorder="1"/>
    <xf numFmtId="37" fontId="5" fillId="0" borderId="0" xfId="0" applyNumberFormat="1" applyFont="1"/>
    <xf numFmtId="37" fontId="5"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5" fillId="0" borderId="13" xfId="0" applyNumberFormat="1" applyFont="1" applyBorder="1"/>
    <xf numFmtId="170" fontId="5"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5" fillId="0" borderId="20" xfId="0" applyNumberFormat="1" applyFont="1" applyBorder="1"/>
    <xf numFmtId="3" fontId="5" fillId="0" borderId="13" xfId="3" applyNumberFormat="1" applyFont="1" applyBorder="1"/>
    <xf numFmtId="3" fontId="5" fillId="0" borderId="16" xfId="3" applyNumberFormat="1" applyFont="1" applyBorder="1"/>
    <xf numFmtId="3" fontId="5" fillId="0" borderId="25" xfId="3" applyNumberFormat="1" applyFont="1" applyBorder="1"/>
    <xf numFmtId="170" fontId="5" fillId="0" borderId="0" xfId="1" applyNumberFormat="1" applyFont="1"/>
    <xf numFmtId="172" fontId="5" fillId="0" borderId="0" xfId="0" applyNumberFormat="1" applyFont="1" applyBorder="1"/>
    <xf numFmtId="37" fontId="5" fillId="0" borderId="3" xfId="0" applyNumberFormat="1" applyFont="1" applyBorder="1"/>
    <xf numFmtId="37" fontId="5" fillId="0" borderId="9" xfId="0" applyNumberFormat="1" applyFont="1" applyBorder="1"/>
    <xf numFmtId="37" fontId="5" fillId="0" borderId="6" xfId="0" applyNumberFormat="1" applyFont="1" applyBorder="1"/>
    <xf numFmtId="3" fontId="5" fillId="0" borderId="13" xfId="0" applyNumberFormat="1" applyFont="1" applyBorder="1"/>
    <xf numFmtId="3" fontId="5" fillId="0" borderId="20" xfId="0" applyNumberFormat="1" applyFont="1" applyBorder="1"/>
    <xf numFmtId="37" fontId="5"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5" fillId="0" borderId="6" xfId="0" applyNumberFormat="1" applyFont="1" applyBorder="1"/>
    <xf numFmtId="43" fontId="5" fillId="0" borderId="6" xfId="0" applyNumberFormat="1" applyFont="1" applyBorder="1"/>
    <xf numFmtId="3" fontId="5" fillId="0" borderId="9" xfId="0" applyNumberFormat="1" applyFont="1" applyBorder="1"/>
    <xf numFmtId="3" fontId="5" fillId="0" borderId="0" xfId="3" applyNumberFormat="1" applyFont="1" applyBorder="1"/>
    <xf numFmtId="3" fontId="5" fillId="0" borderId="0" xfId="0" applyNumberFormat="1" applyFont="1" applyFill="1" applyBorder="1" applyAlignment="1">
      <alignment horizontal="center"/>
    </xf>
    <xf numFmtId="171" fontId="5" fillId="0" borderId="0" xfId="0" applyNumberFormat="1" applyFont="1" applyFill="1" applyBorder="1"/>
    <xf numFmtId="171" fontId="3" fillId="0" borderId="0" xfId="0" applyNumberFormat="1" applyFont="1" applyFill="1" applyBorder="1"/>
    <xf numFmtId="3" fontId="5"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3" fontId="5" fillId="0" borderId="0" xfId="0" quotePrefix="1" applyNumberFormat="1" applyFont="1" applyFill="1" applyBorder="1"/>
    <xf numFmtId="0" fontId="5" fillId="0" borderId="20" xfId="0" applyFont="1" applyBorder="1" applyAlignment="1">
      <alignment horizontal="left"/>
    </xf>
    <xf numFmtId="0" fontId="5"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5" fillId="0" borderId="20" xfId="0" applyNumberFormat="1" applyFont="1" applyBorder="1"/>
    <xf numFmtId="2" fontId="5" fillId="0" borderId="27" xfId="0" applyNumberFormat="1" applyFont="1" applyBorder="1"/>
    <xf numFmtId="1" fontId="5" fillId="0" borderId="27" xfId="0" applyNumberFormat="1" applyFont="1" applyBorder="1"/>
    <xf numFmtId="2" fontId="5" fillId="0" borderId="20" xfId="1" applyNumberFormat="1" applyFont="1" applyBorder="1"/>
    <xf numFmtId="2" fontId="5" fillId="0" borderId="27" xfId="1" applyNumberFormat="1" applyFont="1" applyBorder="1"/>
    <xf numFmtId="0" fontId="5" fillId="2" borderId="23" xfId="0" applyFont="1" applyFill="1" applyBorder="1" applyAlignment="1"/>
    <xf numFmtId="43" fontId="5" fillId="2" borderId="23" xfId="0" applyNumberFormat="1" applyFont="1" applyFill="1" applyBorder="1" applyAlignment="1"/>
    <xf numFmtId="0" fontId="5" fillId="0" borderId="0" xfId="0" applyNumberFormat="1" applyFont="1" applyFill="1" applyBorder="1" applyAlignment="1">
      <alignment horizontal="center"/>
    </xf>
    <xf numFmtId="0" fontId="5" fillId="0" borderId="25" xfId="0" applyFont="1" applyFill="1" applyBorder="1"/>
    <xf numFmtId="0" fontId="5" fillId="0" borderId="0" xfId="0" applyFont="1" applyFill="1" applyBorder="1" applyAlignment="1">
      <alignment horizontal="right"/>
    </xf>
    <xf numFmtId="0" fontId="5" fillId="0" borderId="6" xfId="0" applyFont="1" applyFill="1" applyBorder="1"/>
    <xf numFmtId="2" fontId="5"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5" fillId="8" borderId="20" xfId="0" applyNumberFormat="1" applyFont="1" applyFill="1" applyBorder="1"/>
    <xf numFmtId="3" fontId="5" fillId="0" borderId="0" xfId="0" applyNumberFormat="1" applyFont="1" applyFill="1" applyBorder="1" applyAlignment="1">
      <alignment horizontal="left"/>
    </xf>
    <xf numFmtId="0" fontId="3" fillId="0" borderId="0" xfId="0" applyFont="1" applyFill="1" applyBorder="1" applyAlignment="1">
      <alignment horizontal="right"/>
    </xf>
    <xf numFmtId="3" fontId="6" fillId="2" borderId="20" xfId="0" applyNumberFormat="1" applyFont="1" applyFill="1" applyBorder="1" applyAlignment="1">
      <alignment horizontal="left"/>
    </xf>
    <xf numFmtId="3" fontId="6" fillId="2" borderId="20" xfId="0" quotePrefix="1" applyNumberFormat="1" applyFont="1" applyFill="1" applyBorder="1" applyAlignment="1">
      <alignment horizontal="center"/>
    </xf>
    <xf numFmtId="3" fontId="5" fillId="0" borderId="20" xfId="0" applyNumberFormat="1" applyFont="1" applyFill="1" applyBorder="1" applyAlignment="1">
      <alignment horizontal="left"/>
    </xf>
    <xf numFmtId="3" fontId="5" fillId="0" borderId="20" xfId="0" applyNumberFormat="1" applyFont="1" applyFill="1" applyBorder="1"/>
    <xf numFmtId="173" fontId="5" fillId="0" borderId="0" xfId="0" applyNumberFormat="1" applyFont="1" applyBorder="1"/>
    <xf numFmtId="2" fontId="5" fillId="0" borderId="0" xfId="0" applyNumberFormat="1" applyFont="1" applyFill="1" applyBorder="1"/>
    <xf numFmtId="4" fontId="3" fillId="9" borderId="20" xfId="1" applyNumberFormat="1" applyFont="1" applyFill="1" applyBorder="1"/>
    <xf numFmtId="0" fontId="3" fillId="8" borderId="20" xfId="0" applyFont="1" applyFill="1" applyBorder="1"/>
    <xf numFmtId="0" fontId="5" fillId="9" borderId="20" xfId="0" applyFont="1" applyFill="1" applyBorder="1"/>
    <xf numFmtId="3" fontId="5" fillId="9" borderId="20" xfId="0" applyNumberFormat="1" applyFont="1" applyFill="1" applyBorder="1"/>
    <xf numFmtId="4" fontId="5" fillId="0" borderId="20" xfId="0" applyNumberFormat="1" applyFont="1" applyFill="1" applyBorder="1"/>
    <xf numFmtId="4" fontId="3" fillId="9" borderId="20" xfId="0" applyNumberFormat="1" applyFont="1" applyFill="1" applyBorder="1"/>
    <xf numFmtId="3" fontId="9" fillId="0" borderId="0" xfId="3" applyNumberFormat="1" applyFont="1"/>
    <xf numFmtId="174" fontId="5" fillId="9" borderId="20" xfId="0" applyNumberFormat="1" applyFont="1" applyFill="1" applyBorder="1"/>
    <xf numFmtId="3" fontId="5" fillId="0" borderId="25" xfId="0" applyNumberFormat="1" applyFont="1" applyBorder="1"/>
    <xf numFmtId="0" fontId="5" fillId="0" borderId="23" xfId="0" applyFont="1" applyBorder="1" applyAlignment="1">
      <alignment horizontal="left"/>
    </xf>
    <xf numFmtId="0" fontId="5" fillId="0" borderId="25" xfId="0" applyFont="1" applyBorder="1" applyAlignment="1">
      <alignment horizontal="left"/>
    </xf>
    <xf numFmtId="0" fontId="5" fillId="0" borderId="18" xfId="0" applyFont="1" applyBorder="1"/>
    <xf numFmtId="0" fontId="6" fillId="0" borderId="23" xfId="0" applyFont="1" applyBorder="1"/>
    <xf numFmtId="0" fontId="5" fillId="0" borderId="23" xfId="0" applyFont="1" applyBorder="1" applyAlignment="1">
      <alignment horizontal="left" indent="1"/>
    </xf>
    <xf numFmtId="4" fontId="5" fillId="0" borderId="3" xfId="0" applyNumberFormat="1" applyFont="1" applyBorder="1"/>
    <xf numFmtId="2" fontId="5" fillId="0" borderId="6" xfId="1" applyNumberFormat="1" applyFont="1" applyFill="1" applyBorder="1"/>
    <xf numFmtId="2" fontId="5" fillId="0" borderId="9" xfId="1" applyNumberFormat="1" applyFont="1" applyFill="1" applyBorder="1"/>
    <xf numFmtId="4" fontId="5" fillId="0" borderId="6" xfId="1" applyNumberFormat="1" applyFont="1" applyFill="1" applyBorder="1"/>
    <xf numFmtId="4" fontId="5" fillId="0" borderId="9" xfId="1" applyNumberFormat="1" applyFont="1" applyFill="1" applyBorder="1"/>
    <xf numFmtId="10" fontId="5" fillId="2" borderId="23" xfId="1" applyNumberFormat="1" applyFont="1" applyFill="1" applyBorder="1"/>
    <xf numFmtId="41" fontId="5" fillId="2" borderId="23" xfId="0" applyNumberFormat="1" applyFont="1" applyFill="1" applyBorder="1"/>
    <xf numFmtId="0" fontId="5" fillId="2" borderId="23" xfId="0" applyNumberFormat="1" applyFont="1" applyFill="1" applyBorder="1"/>
    <xf numFmtId="0" fo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rderId="25" xfId="0" applyNumberFormat="1" applyFont="1" applyFill="1" applyBorder="1"/>
    <xf numFmtId="171" fontId="5" fillId="0" borderId="20" xfId="0" applyNumberFormat="1" applyFont="1" applyFill="1" applyBorder="1"/>
    <xf numFmtId="0" fontId="5" fillId="0" borderId="22" xfId="0" applyFont="1" applyBorder="1" applyAlignment="1">
      <alignment horizontal="center" wrapText="1"/>
    </xf>
    <xf numFmtId="0" fontId="5" fillId="0" borderId="20" xfId="0" applyFont="1" applyBorder="1" applyAlignment="1">
      <alignment horizontal="center" wrapText="1"/>
    </xf>
    <xf numFmtId="41" fontId="3" fillId="0" borderId="20" xfId="0" applyNumberFormat="1" applyFont="1" applyFill="1" applyBorder="1" applyAlignment="1">
      <alignment horizontal="center" wrapText="1"/>
    </xf>
    <xf numFmtId="0" fontId="5" fillId="0" borderId="20" xfId="0" applyFont="1" applyFill="1" applyBorder="1" applyAlignment="1">
      <alignment horizontal="center" wrapText="1"/>
    </xf>
    <xf numFmtId="0" fontId="5" fillId="0" borderId="21" xfId="0" applyFont="1" applyBorder="1" applyAlignment="1">
      <alignment horizontal="center"/>
    </xf>
    <xf numFmtId="0" fontId="5" fillId="0" borderId="22" xfId="0" applyFont="1" applyBorder="1" applyAlignment="1">
      <alignment horizontal="center"/>
    </xf>
  </cellXfs>
  <cellStyles count="4">
    <cellStyle name="Comma" xfId="3" builtinId="3"/>
    <cellStyle name="Currency" xfId="2" builtinId="4"/>
    <cellStyle name="Normal" xfId="0" builtinId="0"/>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opLeftCell="A22" zoomScale="90" zoomScaleNormal="90" workbookViewId="0">
      <selection activeCell="H79" sqref="H79"/>
    </sheetView>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3"/>
      <c r="C1" s="196"/>
      <c r="D1" s="153"/>
      <c r="E1" s="153"/>
      <c r="F1" s="153"/>
      <c r="G1" s="153"/>
      <c r="H1" s="153"/>
      <c r="I1" s="153"/>
      <c r="J1" s="153"/>
      <c r="K1" s="153"/>
      <c r="L1" s="153"/>
      <c r="M1" s="153"/>
      <c r="N1" s="153"/>
    </row>
    <row r="2" spans="1:48" s="10" customFormat="1" ht="12.75" customHeight="1" x14ac:dyDescent="0.2">
      <c r="A2" s="7"/>
      <c r="B2" s="8" t="s">
        <v>156</v>
      </c>
      <c r="C2" s="197"/>
      <c r="D2" s="153"/>
      <c r="E2" s="154" t="s">
        <v>127</v>
      </c>
      <c r="F2" s="12"/>
      <c r="G2" s="153"/>
      <c r="H2" s="61"/>
      <c r="I2" s="12"/>
      <c r="J2" s="153"/>
      <c r="K2" s="153"/>
      <c r="L2" s="153"/>
      <c r="M2" s="153"/>
      <c r="N2" s="153"/>
    </row>
    <row r="3" spans="1:48" s="10" customFormat="1" ht="12.75" customHeight="1" x14ac:dyDescent="0.2">
      <c r="A3" s="7"/>
      <c r="B3" s="115" t="s">
        <v>270</v>
      </c>
      <c r="C3" s="198">
        <v>20000</v>
      </c>
      <c r="D3" s="153"/>
      <c r="E3" s="62" t="s">
        <v>249</v>
      </c>
      <c r="F3" s="12"/>
      <c r="G3" s="153"/>
      <c r="H3" s="331"/>
      <c r="I3" s="12"/>
      <c r="J3" s="153"/>
      <c r="K3" s="153"/>
      <c r="L3" s="153"/>
      <c r="M3" s="153"/>
      <c r="N3" s="153"/>
    </row>
    <row r="4" spans="1:48" s="10" customFormat="1" ht="12.75" customHeight="1" x14ac:dyDescent="0.2">
      <c r="A4" s="7"/>
      <c r="B4" s="65" t="s">
        <v>251</v>
      </c>
      <c r="C4" s="199" t="s">
        <v>303</v>
      </c>
      <c r="D4" s="153"/>
      <c r="E4" s="63" t="s">
        <v>250</v>
      </c>
      <c r="F4" s="12"/>
      <c r="G4" s="153"/>
      <c r="H4" s="331"/>
      <c r="I4" s="218"/>
      <c r="J4" s="153"/>
      <c r="K4" s="153"/>
      <c r="L4" s="153"/>
      <c r="M4" s="153"/>
      <c r="N4" s="153"/>
    </row>
    <row r="5" spans="1:48" s="10" customFormat="1" ht="12.75" customHeight="1" x14ac:dyDescent="0.2">
      <c r="A5" s="7"/>
      <c r="B5" s="20"/>
      <c r="C5" s="304"/>
      <c r="D5" s="153"/>
      <c r="E5" s="339" t="s">
        <v>252</v>
      </c>
      <c r="F5" s="12"/>
      <c r="G5" s="153"/>
      <c r="H5" s="331"/>
      <c r="I5" s="216"/>
      <c r="J5" s="153"/>
      <c r="K5" s="153"/>
      <c r="L5" s="153"/>
      <c r="M5" s="153"/>
      <c r="N5" s="153"/>
    </row>
    <row r="6" spans="1:48" s="10" customFormat="1" ht="12.75" customHeight="1" x14ac:dyDescent="0.2">
      <c r="A6" s="7"/>
      <c r="B6" s="20"/>
      <c r="C6" s="204"/>
      <c r="D6" s="153"/>
      <c r="E6" s="340" t="s">
        <v>301</v>
      </c>
      <c r="F6" s="12"/>
      <c r="G6" s="153"/>
      <c r="H6" s="324"/>
      <c r="I6" s="216"/>
      <c r="J6" s="153"/>
      <c r="K6" s="153"/>
      <c r="L6" s="153"/>
      <c r="M6" s="153"/>
      <c r="N6" s="153"/>
    </row>
    <row r="7" spans="1:48" s="10" customFormat="1" ht="12.75" customHeight="1" x14ac:dyDescent="0.2">
      <c r="A7" s="7"/>
      <c r="B7" s="8" t="s">
        <v>155</v>
      </c>
      <c r="C7" s="200"/>
      <c r="D7" s="153"/>
      <c r="H7" s="12"/>
      <c r="I7" s="218"/>
      <c r="J7" s="12"/>
      <c r="K7" s="153"/>
      <c r="L7" s="153"/>
      <c r="M7" s="153"/>
      <c r="N7" s="153"/>
    </row>
    <row r="8" spans="1:48" x14ac:dyDescent="0.2">
      <c r="B8" s="65" t="s">
        <v>220</v>
      </c>
      <c r="C8" s="298">
        <v>38530000</v>
      </c>
      <c r="D8" s="10"/>
      <c r="E8" s="35"/>
      <c r="F8" s="20"/>
      <c r="G8" s="153"/>
      <c r="H8" s="153"/>
      <c r="I8" s="153"/>
      <c r="J8" s="153"/>
      <c r="K8" s="20"/>
      <c r="L8" s="10"/>
      <c r="M8" s="35"/>
      <c r="N8" s="12"/>
      <c r="P8" s="12"/>
    </row>
    <row r="9" spans="1:48" x14ac:dyDescent="0.2">
      <c r="B9" s="12"/>
      <c r="C9" s="202"/>
      <c r="D9" s="10"/>
      <c r="E9" s="61"/>
      <c r="F9" s="61"/>
      <c r="G9" s="61"/>
      <c r="H9" s="61"/>
      <c r="I9" s="61"/>
      <c r="J9" s="61"/>
      <c r="M9" s="30"/>
      <c r="N9" s="168"/>
    </row>
    <row r="10" spans="1:48" x14ac:dyDescent="0.2">
      <c r="B10" s="8" t="s">
        <v>221</v>
      </c>
      <c r="C10" s="200"/>
      <c r="D10" s="10"/>
      <c r="E10" s="332" t="s">
        <v>286</v>
      </c>
      <c r="F10" s="333"/>
      <c r="G10" s="268"/>
      <c r="H10" s="218"/>
      <c r="I10" s="218"/>
      <c r="J10" s="218"/>
      <c r="K10" s="12"/>
      <c r="M10" s="174"/>
      <c r="N10" s="170"/>
      <c r="P10" s="12"/>
    </row>
    <row r="11" spans="1:48" x14ac:dyDescent="0.2">
      <c r="B11" s="160" t="s">
        <v>222</v>
      </c>
      <c r="C11" s="191">
        <v>0</v>
      </c>
      <c r="D11" s="10"/>
      <c r="E11" s="334" t="s">
        <v>290</v>
      </c>
      <c r="F11" s="343">
        <f>'Cash Flow'!C11</f>
        <v>0</v>
      </c>
      <c r="G11" s="268"/>
      <c r="H11" s="268"/>
      <c r="I11" s="307"/>
      <c r="J11" s="268"/>
      <c r="K11" s="157"/>
      <c r="M11" s="175"/>
      <c r="N11" s="169"/>
      <c r="O11" s="158"/>
      <c r="P11" s="159"/>
      <c r="Q11" s="157"/>
      <c r="R11" s="159"/>
      <c r="S11" s="159"/>
      <c r="T11" s="159"/>
      <c r="U11" s="159"/>
      <c r="V11" s="159"/>
      <c r="W11" s="159"/>
      <c r="X11" s="159"/>
      <c r="Y11" s="159"/>
      <c r="Z11" s="159"/>
      <c r="AA11" s="159"/>
      <c r="AB11" s="159"/>
      <c r="AC11" s="159"/>
      <c r="AD11" s="159"/>
      <c r="AE11" s="159"/>
      <c r="AF11" s="159"/>
      <c r="AG11" s="159"/>
      <c r="AH11" s="159"/>
      <c r="AI11" s="159"/>
      <c r="AJ11" s="159"/>
      <c r="AK11" s="159"/>
      <c r="AL11" s="159"/>
      <c r="AM11" s="159"/>
      <c r="AN11" s="159"/>
      <c r="AO11" s="159"/>
      <c r="AP11" s="159"/>
      <c r="AQ11" s="159"/>
      <c r="AR11" s="159"/>
      <c r="AS11" s="159"/>
      <c r="AT11" s="159"/>
      <c r="AU11" s="159"/>
      <c r="AV11" s="159"/>
    </row>
    <row r="12" spans="1:48" x14ac:dyDescent="0.2">
      <c r="B12" s="161" t="s">
        <v>256</v>
      </c>
      <c r="C12" s="192">
        <v>0</v>
      </c>
      <c r="D12" s="10"/>
      <c r="E12" s="334" t="s">
        <v>289</v>
      </c>
      <c r="F12" s="342">
        <f>ppa_escalation</f>
        <v>1</v>
      </c>
      <c r="G12" s="218"/>
      <c r="H12" s="218"/>
      <c r="I12" s="306"/>
      <c r="J12" s="218"/>
      <c r="K12" s="12"/>
      <c r="M12" s="174"/>
      <c r="N12" s="170"/>
      <c r="P12" s="12"/>
    </row>
    <row r="13" spans="1:48" x14ac:dyDescent="0.2">
      <c r="B13" s="160" t="s">
        <v>223</v>
      </c>
      <c r="C13" s="191">
        <v>15</v>
      </c>
      <c r="D13" s="10"/>
      <c r="E13" s="334" t="s">
        <v>313</v>
      </c>
      <c r="F13" s="342" t="e">
        <f>'Cash Flow'!B129</f>
        <v>#DIV/0!</v>
      </c>
      <c r="G13" s="218"/>
      <c r="H13" s="218"/>
      <c r="I13" s="306"/>
      <c r="J13" s="218"/>
      <c r="K13" s="12"/>
      <c r="M13" s="174"/>
      <c r="N13" s="170"/>
      <c r="P13" s="12"/>
    </row>
    <row r="14" spans="1:48" x14ac:dyDescent="0.2">
      <c r="B14" s="161" t="s">
        <v>256</v>
      </c>
      <c r="C14" s="192">
        <v>0</v>
      </c>
      <c r="D14" s="10"/>
      <c r="E14" s="334" t="s">
        <v>288</v>
      </c>
      <c r="F14" s="342" t="e">
        <f>'Cash Flow'!B125</f>
        <v>#DIV/0!</v>
      </c>
      <c r="G14" s="218"/>
      <c r="H14" s="218"/>
      <c r="I14" s="306"/>
      <c r="J14" s="218"/>
      <c r="K14" s="12"/>
      <c r="M14" s="174"/>
      <c r="N14" s="170"/>
      <c r="P14" s="12"/>
    </row>
    <row r="15" spans="1:48" x14ac:dyDescent="0.2">
      <c r="B15" s="162" t="s">
        <v>224</v>
      </c>
      <c r="C15" s="191">
        <v>0</v>
      </c>
      <c r="D15" s="12"/>
      <c r="E15" s="334" t="s">
        <v>291</v>
      </c>
      <c r="F15" s="335">
        <f>'Cash Flow'!B116</f>
        <v>-28083410.313583203</v>
      </c>
      <c r="G15" s="218"/>
      <c r="H15" s="218"/>
      <c r="I15" s="306"/>
      <c r="J15" s="218"/>
      <c r="K15" s="12"/>
      <c r="M15" s="174"/>
      <c r="N15" s="170"/>
      <c r="P15" s="12"/>
    </row>
    <row r="16" spans="1:48" x14ac:dyDescent="0.2">
      <c r="B16" s="161" t="s">
        <v>256</v>
      </c>
      <c r="C16" s="192">
        <v>0</v>
      </c>
      <c r="D16" s="12"/>
      <c r="E16" s="334" t="s">
        <v>292</v>
      </c>
      <c r="F16" s="338">
        <v>8</v>
      </c>
      <c r="G16" s="218"/>
      <c r="H16" s="218"/>
      <c r="I16" s="306"/>
      <c r="J16" s="218"/>
      <c r="K16" s="12"/>
      <c r="M16" s="174"/>
      <c r="N16" s="170"/>
      <c r="P16" s="12"/>
    </row>
    <row r="17" spans="2:16" x14ac:dyDescent="0.2">
      <c r="B17" s="162" t="s">
        <v>274</v>
      </c>
      <c r="C17" s="193">
        <v>0</v>
      </c>
      <c r="D17" s="12"/>
      <c r="E17" s="334" t="s">
        <v>287</v>
      </c>
      <c r="F17" s="335">
        <f>'Cash Flow'!B114</f>
        <v>0</v>
      </c>
      <c r="G17" s="308"/>
      <c r="H17" s="308"/>
      <c r="I17" s="309"/>
      <c r="J17" s="308"/>
      <c r="K17" s="12"/>
      <c r="M17" s="174"/>
      <c r="N17" s="170"/>
      <c r="P17" s="12"/>
    </row>
    <row r="18" spans="2:16" x14ac:dyDescent="0.2">
      <c r="B18" s="161" t="s">
        <v>256</v>
      </c>
      <c r="C18" s="194">
        <v>0</v>
      </c>
      <c r="D18" s="12"/>
      <c r="E18" s="334" t="s">
        <v>293</v>
      </c>
      <c r="F18" s="342">
        <f>'Cash Flow'!AA112</f>
        <v>0</v>
      </c>
      <c r="G18" s="218"/>
      <c r="H18" s="218"/>
      <c r="I18" s="306"/>
      <c r="J18" s="218"/>
      <c r="K18" s="12"/>
      <c r="M18" s="174"/>
      <c r="N18" s="170"/>
      <c r="P18" s="12"/>
    </row>
    <row r="19" spans="2:16" x14ac:dyDescent="0.2">
      <c r="B19" s="311" t="s">
        <v>272</v>
      </c>
      <c r="C19" s="327"/>
      <c r="D19" s="12"/>
      <c r="E19" s="334" t="s">
        <v>294</v>
      </c>
      <c r="F19" s="335">
        <f>-'Cash Flow'!B72</f>
        <v>39347678.214573517</v>
      </c>
      <c r="G19" s="218"/>
      <c r="H19" s="218"/>
      <c r="I19" s="306"/>
      <c r="J19" s="218"/>
      <c r="K19" s="12"/>
      <c r="M19" s="174"/>
      <c r="N19" s="170"/>
      <c r="P19" s="12"/>
    </row>
    <row r="20" spans="2:16" x14ac:dyDescent="0.2">
      <c r="B20" s="312" t="s">
        <v>256</v>
      </c>
      <c r="C20" s="328"/>
      <c r="D20" s="12"/>
      <c r="E20" s="334" t="s">
        <v>295</v>
      </c>
      <c r="F20" s="335">
        <f>'Cash Flow'!B543</f>
        <v>-9072571.5807692464</v>
      </c>
      <c r="G20" s="218"/>
      <c r="H20" s="218"/>
      <c r="I20" s="306"/>
      <c r="J20" s="218"/>
      <c r="K20" s="12"/>
      <c r="M20" s="174"/>
      <c r="N20" s="170"/>
      <c r="P20" s="12"/>
    </row>
    <row r="21" spans="2:16" x14ac:dyDescent="0.2">
      <c r="B21" s="311" t="s">
        <v>273</v>
      </c>
      <c r="C21" s="329"/>
      <c r="D21" s="12"/>
      <c r="E21" s="334" t="s">
        <v>296</v>
      </c>
      <c r="F21" s="335">
        <f>'Cash Flow'!B79</f>
        <v>48420249.795342766</v>
      </c>
      <c r="G21" s="218"/>
      <c r="H21" s="218"/>
      <c r="I21" s="306"/>
      <c r="J21" s="218"/>
      <c r="K21" s="12"/>
      <c r="M21" s="174"/>
      <c r="N21" s="170"/>
      <c r="P21" s="12"/>
    </row>
    <row r="22" spans="2:16" x14ac:dyDescent="0.2">
      <c r="B22" s="312" t="s">
        <v>256</v>
      </c>
      <c r="C22" s="329"/>
      <c r="D22" s="20"/>
      <c r="E22" s="334" t="s">
        <v>315</v>
      </c>
      <c r="F22" s="364">
        <f>F20/F19*100</f>
        <v>-23.0574508902255</v>
      </c>
      <c r="G22" s="218"/>
      <c r="H22" s="218"/>
      <c r="I22" s="306"/>
      <c r="J22" s="218"/>
      <c r="K22" s="12"/>
      <c r="M22" s="174"/>
      <c r="N22" s="170"/>
      <c r="P22" s="12"/>
    </row>
    <row r="23" spans="2:16" x14ac:dyDescent="0.2">
      <c r="B23" s="164"/>
      <c r="C23" s="203"/>
      <c r="D23" s="10"/>
      <c r="G23" s="218"/>
      <c r="H23" s="218"/>
      <c r="I23" s="306"/>
      <c r="J23" s="218"/>
      <c r="K23" s="12"/>
      <c r="M23" s="174"/>
      <c r="N23" s="169"/>
      <c r="P23" s="12"/>
    </row>
    <row r="24" spans="2:16" x14ac:dyDescent="0.2">
      <c r="B24" s="8" t="s">
        <v>157</v>
      </c>
      <c r="C24" s="200"/>
      <c r="D24" s="10"/>
      <c r="E24" s="330"/>
      <c r="F24" s="306"/>
      <c r="G24" s="218"/>
      <c r="H24" s="218"/>
      <c r="I24" s="306"/>
      <c r="J24" s="218"/>
      <c r="K24" s="12"/>
      <c r="M24" s="174"/>
      <c r="N24" s="171"/>
      <c r="P24" s="12"/>
    </row>
    <row r="25" spans="2:16" x14ac:dyDescent="0.2">
      <c r="B25" s="53" t="s">
        <v>158</v>
      </c>
      <c r="C25" s="207"/>
      <c r="D25" s="10"/>
      <c r="E25" s="330"/>
      <c r="F25" s="306"/>
      <c r="G25" s="218"/>
      <c r="H25" s="218"/>
      <c r="I25" s="306"/>
      <c r="J25" s="218"/>
      <c r="K25" s="12"/>
      <c r="M25" s="174"/>
      <c r="N25" s="172"/>
      <c r="O25" s="21"/>
      <c r="P25" s="10"/>
    </row>
    <row r="26" spans="2:16" ht="13.5" thickBot="1" x14ac:dyDescent="0.25">
      <c r="B26" s="107" t="s">
        <v>158</v>
      </c>
      <c r="C26" s="208" t="s">
        <v>159</v>
      </c>
      <c r="D26" s="10"/>
      <c r="E26" s="330"/>
      <c r="F26" s="306"/>
      <c r="G26" s="218"/>
      <c r="H26" s="218"/>
      <c r="I26" s="306"/>
      <c r="J26" s="218"/>
      <c r="K26" s="12"/>
      <c r="M26" s="174"/>
      <c r="N26" s="172"/>
      <c r="O26" s="10"/>
      <c r="P26" s="10"/>
    </row>
    <row r="27" spans="2:16" x14ac:dyDescent="0.2">
      <c r="B27" s="176" t="s">
        <v>160</v>
      </c>
      <c r="C27" s="209">
        <v>11</v>
      </c>
      <c r="D27" s="10"/>
      <c r="E27" s="330"/>
      <c r="F27" s="306"/>
      <c r="G27" s="218"/>
      <c r="H27" s="218"/>
      <c r="I27" s="306"/>
      <c r="J27" s="218"/>
      <c r="K27" s="12"/>
      <c r="M27" s="174"/>
      <c r="N27" s="172"/>
    </row>
    <row r="28" spans="2:16" ht="13.5" thickBot="1" x14ac:dyDescent="0.25">
      <c r="B28" s="177" t="s">
        <v>161</v>
      </c>
      <c r="C28" s="255">
        <v>20</v>
      </c>
      <c r="D28" s="12"/>
      <c r="E28" s="330"/>
      <c r="F28" s="306"/>
      <c r="G28" s="218"/>
      <c r="H28" s="218"/>
      <c r="I28" s="306"/>
      <c r="J28" s="218"/>
      <c r="K28" s="12"/>
      <c r="M28" s="174"/>
      <c r="N28" s="172"/>
    </row>
    <row r="29" spans="2:16" x14ac:dyDescent="0.2">
      <c r="B29" s="87" t="s">
        <v>167</v>
      </c>
      <c r="C29" s="210">
        <v>1</v>
      </c>
      <c r="D29" s="10"/>
      <c r="E29" s="330"/>
      <c r="F29" s="306"/>
      <c r="G29" s="218"/>
      <c r="H29" s="218"/>
      <c r="I29" s="306"/>
      <c r="J29" s="218"/>
      <c r="K29" s="10"/>
      <c r="M29" s="174"/>
      <c r="N29" s="172"/>
    </row>
    <row r="30" spans="2:16" x14ac:dyDescent="0.2">
      <c r="B30" s="53" t="s">
        <v>162</v>
      </c>
      <c r="C30" s="211"/>
      <c r="D30" s="10"/>
      <c r="E30" s="330"/>
      <c r="F30" s="306"/>
      <c r="G30" s="218"/>
      <c r="H30" s="218"/>
      <c r="I30" s="306"/>
      <c r="J30" s="218"/>
      <c r="K30" s="12"/>
      <c r="M30" s="174"/>
      <c r="N30" s="172"/>
    </row>
    <row r="31" spans="2:16" x14ac:dyDescent="0.2">
      <c r="B31" s="66" t="s">
        <v>168</v>
      </c>
      <c r="C31" s="300">
        <v>25</v>
      </c>
      <c r="D31" s="10"/>
      <c r="E31" s="330"/>
      <c r="F31" s="306"/>
      <c r="G31" s="218"/>
      <c r="H31" s="218"/>
      <c r="I31" s="306"/>
      <c r="J31" s="218"/>
      <c r="K31" s="12"/>
      <c r="M31" s="174"/>
      <c r="N31" s="172"/>
    </row>
    <row r="32" spans="2:16" x14ac:dyDescent="0.2">
      <c r="B32" s="66" t="s">
        <v>169</v>
      </c>
      <c r="C32" s="206">
        <v>2.5</v>
      </c>
      <c r="D32" s="10"/>
      <c r="E32" s="330"/>
      <c r="F32" s="306"/>
      <c r="G32" s="218"/>
      <c r="H32" s="218"/>
      <c r="I32" s="306"/>
      <c r="J32" s="218"/>
      <c r="K32" s="105"/>
      <c r="M32" s="174"/>
      <c r="N32" s="172"/>
    </row>
    <row r="33" spans="2:16" x14ac:dyDescent="0.2">
      <c r="B33" s="66" t="s">
        <v>171</v>
      </c>
      <c r="C33" s="212">
        <v>8.1999999999999993</v>
      </c>
      <c r="D33" s="10"/>
      <c r="E33" s="330"/>
      <c r="F33" s="306"/>
      <c r="G33" s="310"/>
      <c r="H33" s="218"/>
      <c r="I33" s="306"/>
      <c r="J33" s="218"/>
      <c r="K33" s="56"/>
      <c r="M33" s="174"/>
      <c r="N33" s="172"/>
    </row>
    <row r="34" spans="2:16" x14ac:dyDescent="0.2">
      <c r="B34" s="66" t="s">
        <v>170</v>
      </c>
      <c r="C34" s="213">
        <f>((inflation_rate/100+1)*(real_discount_rate/100+1)-1)*100</f>
        <v>10.904999999999987</v>
      </c>
      <c r="D34" s="10"/>
      <c r="E34" s="330"/>
      <c r="F34" s="306"/>
      <c r="G34" s="218"/>
      <c r="H34" s="218"/>
      <c r="I34" s="306"/>
      <c r="J34" s="218"/>
      <c r="K34" s="56"/>
      <c r="M34" s="174"/>
      <c r="N34" s="172"/>
    </row>
    <row r="35" spans="2:16" x14ac:dyDescent="0.2">
      <c r="B35" s="53" t="s">
        <v>163</v>
      </c>
      <c r="C35" s="211"/>
      <c r="D35" s="10"/>
      <c r="E35" s="330"/>
      <c r="F35" s="306"/>
      <c r="G35" s="218"/>
      <c r="H35" s="218"/>
      <c r="I35" s="306"/>
      <c r="J35" s="218"/>
      <c r="K35" s="12"/>
      <c r="M35" s="174"/>
      <c r="N35" s="172"/>
    </row>
    <row r="36" spans="2:16" x14ac:dyDescent="0.2">
      <c r="B36" s="66" t="s">
        <v>164</v>
      </c>
      <c r="C36" s="206">
        <v>35</v>
      </c>
      <c r="D36" s="10"/>
      <c r="E36" s="330"/>
      <c r="F36" s="306"/>
      <c r="G36" s="218"/>
      <c r="H36" s="218"/>
      <c r="I36" s="306"/>
      <c r="J36" s="218"/>
      <c r="K36" s="105"/>
      <c r="M36" s="174"/>
      <c r="N36" s="172"/>
    </row>
    <row r="37" spans="2:16" x14ac:dyDescent="0.2">
      <c r="B37" s="66" t="s">
        <v>165</v>
      </c>
      <c r="C37" s="206">
        <v>7</v>
      </c>
      <c r="D37" s="10"/>
      <c r="E37" s="330"/>
      <c r="F37" s="306"/>
      <c r="G37" s="218"/>
      <c r="H37" s="218"/>
      <c r="I37" s="306"/>
      <c r="J37" s="218"/>
      <c r="K37" s="56"/>
      <c r="M37" s="174"/>
      <c r="N37" s="172"/>
    </row>
    <row r="38" spans="2:16" x14ac:dyDescent="0.2">
      <c r="B38" s="66" t="s">
        <v>219</v>
      </c>
      <c r="C38" s="213">
        <v>5</v>
      </c>
      <c r="D38" s="10"/>
      <c r="E38" s="330"/>
      <c r="F38" s="306"/>
      <c r="G38" s="218"/>
      <c r="H38" s="218"/>
      <c r="I38" s="306"/>
      <c r="J38" s="218"/>
      <c r="K38" s="56"/>
      <c r="M38" s="174"/>
      <c r="N38" s="172"/>
      <c r="O38" s="10"/>
      <c r="P38" s="10"/>
    </row>
    <row r="39" spans="2:16" x14ac:dyDescent="0.2">
      <c r="B39" s="66" t="s">
        <v>166</v>
      </c>
      <c r="C39" s="214">
        <v>0.5</v>
      </c>
      <c r="D39" s="10"/>
      <c r="E39" s="330"/>
      <c r="F39" s="306"/>
      <c r="G39" s="218"/>
      <c r="H39" s="218"/>
      <c r="I39" s="306"/>
      <c r="J39" s="218"/>
      <c r="K39" s="12"/>
      <c r="M39" s="174"/>
      <c r="N39" s="172"/>
      <c r="P39" s="10"/>
    </row>
    <row r="40" spans="2:16" x14ac:dyDescent="0.2">
      <c r="B40" s="68" t="s">
        <v>2</v>
      </c>
      <c r="C40" s="207"/>
      <c r="E40" s="305"/>
      <c r="F40" s="306"/>
      <c r="G40" s="218"/>
      <c r="H40" s="218"/>
      <c r="I40" s="306"/>
      <c r="J40" s="218"/>
      <c r="K40" s="105"/>
      <c r="M40" s="174"/>
      <c r="N40" s="172"/>
      <c r="P40" s="10"/>
    </row>
    <row r="41" spans="2:16" x14ac:dyDescent="0.2">
      <c r="B41" s="67" t="s">
        <v>172</v>
      </c>
      <c r="C41" s="215">
        <v>100</v>
      </c>
      <c r="E41" s="305"/>
      <c r="F41" s="306"/>
      <c r="G41" s="218"/>
      <c r="H41" s="218"/>
      <c r="I41" s="306"/>
      <c r="J41" s="218"/>
      <c r="K41" s="56"/>
      <c r="M41" s="174"/>
      <c r="N41" s="172"/>
      <c r="P41" s="10"/>
    </row>
    <row r="42" spans="2:16" x14ac:dyDescent="0.2">
      <c r="B42" s="67" t="s">
        <v>174</v>
      </c>
      <c r="C42" s="299">
        <f>total_installed_cost*prop_tax_cost_assessed_percent/100</f>
        <v>38530000</v>
      </c>
      <c r="E42" s="305"/>
      <c r="F42" s="306"/>
      <c r="G42" s="218"/>
      <c r="H42" s="218"/>
      <c r="I42" s="306"/>
      <c r="J42" s="218"/>
      <c r="K42" s="12"/>
      <c r="M42" s="174"/>
      <c r="N42" s="172"/>
      <c r="P42" s="12"/>
    </row>
    <row r="43" spans="2:16" x14ac:dyDescent="0.2">
      <c r="B43" s="67" t="s">
        <v>173</v>
      </c>
      <c r="C43" s="214">
        <v>0</v>
      </c>
      <c r="E43" s="305"/>
      <c r="F43" s="306"/>
      <c r="G43" s="218"/>
      <c r="H43" s="218"/>
      <c r="I43" s="306"/>
      <c r="J43" s="218"/>
      <c r="K43" s="20"/>
      <c r="M43" s="174"/>
      <c r="N43" s="172"/>
      <c r="P43" s="10"/>
    </row>
    <row r="44" spans="2:16" x14ac:dyDescent="0.2">
      <c r="B44" s="67" t="s">
        <v>175</v>
      </c>
      <c r="C44" s="214">
        <v>0</v>
      </c>
      <c r="E44" s="305"/>
      <c r="F44" s="306"/>
      <c r="G44" s="218"/>
      <c r="H44" s="218"/>
      <c r="I44" s="306"/>
      <c r="J44" s="218"/>
      <c r="K44" s="12"/>
      <c r="M44" s="174"/>
      <c r="N44" s="172"/>
      <c r="P44" s="10"/>
    </row>
    <row r="45" spans="2:16" x14ac:dyDescent="0.2">
      <c r="B45" s="53" t="s">
        <v>68</v>
      </c>
      <c r="C45" s="207"/>
      <c r="E45" s="305"/>
      <c r="F45" s="306"/>
      <c r="G45" s="218"/>
      <c r="H45" s="218"/>
      <c r="I45" s="306"/>
      <c r="J45" s="218"/>
      <c r="K45" s="12"/>
      <c r="M45" s="174"/>
      <c r="N45" s="172"/>
      <c r="P45" s="10"/>
    </row>
    <row r="46" spans="2:16" x14ac:dyDescent="0.2">
      <c r="B46" s="65" t="s">
        <v>254</v>
      </c>
      <c r="C46" s="206">
        <v>0</v>
      </c>
      <c r="E46" s="305"/>
      <c r="F46" s="306"/>
      <c r="G46" s="218"/>
      <c r="H46" s="218"/>
      <c r="I46" s="306"/>
      <c r="J46" s="218"/>
      <c r="K46" s="10"/>
      <c r="M46" s="174"/>
      <c r="N46" s="172"/>
      <c r="P46" s="10"/>
    </row>
    <row r="47" spans="2:16" x14ac:dyDescent="0.2">
      <c r="B47" s="65" t="s">
        <v>253</v>
      </c>
      <c r="C47" s="299">
        <f>total_installed_cost*salvage_percentage/100</f>
        <v>0</v>
      </c>
      <c r="E47" s="305"/>
      <c r="F47" s="306"/>
      <c r="G47" s="218"/>
      <c r="H47" s="218"/>
      <c r="I47" s="306"/>
      <c r="J47" s="218"/>
      <c r="K47" s="12"/>
      <c r="M47" s="174"/>
      <c r="N47" s="172"/>
      <c r="P47" s="10"/>
    </row>
    <row r="48" spans="2:16" x14ac:dyDescent="0.2">
      <c r="B48" s="10"/>
      <c r="C48" s="216"/>
      <c r="G48" s="10"/>
      <c r="H48" s="10"/>
      <c r="I48" s="35"/>
      <c r="J48" s="12"/>
      <c r="K48" s="12"/>
      <c r="M48" s="174"/>
      <c r="N48" s="172"/>
      <c r="P48" s="10"/>
    </row>
    <row r="49" spans="2:16" x14ac:dyDescent="0.2">
      <c r="B49" s="8" t="s">
        <v>180</v>
      </c>
      <c r="C49" s="200"/>
      <c r="E49" s="12"/>
      <c r="G49" s="10"/>
      <c r="H49" s="10"/>
      <c r="I49" s="35"/>
      <c r="J49" s="12"/>
      <c r="K49" s="12"/>
      <c r="M49" s="174"/>
      <c r="N49" s="172"/>
      <c r="P49" s="10"/>
    </row>
    <row r="50" spans="2:16" x14ac:dyDescent="0.2">
      <c r="B50" s="65" t="s">
        <v>181</v>
      </c>
      <c r="C50" s="201">
        <v>1.3</v>
      </c>
      <c r="E50" s="12"/>
      <c r="G50" s="10"/>
      <c r="H50" s="10"/>
      <c r="I50" s="35"/>
      <c r="J50" s="12"/>
      <c r="K50" s="12"/>
      <c r="M50" s="174"/>
      <c r="N50" s="172"/>
      <c r="P50" s="10"/>
    </row>
    <row r="51" spans="2:16" x14ac:dyDescent="0.2">
      <c r="B51" s="65" t="s">
        <v>182</v>
      </c>
      <c r="C51" s="201">
        <v>18</v>
      </c>
      <c r="D51" s="156"/>
      <c r="E51" s="216"/>
      <c r="G51" s="10"/>
      <c r="H51" s="10"/>
      <c r="I51" s="35"/>
      <c r="J51" s="12"/>
      <c r="K51" s="12"/>
      <c r="M51" s="174"/>
      <c r="N51" s="172"/>
      <c r="P51" s="10"/>
    </row>
    <row r="52" spans="2:16" x14ac:dyDescent="0.2">
      <c r="B52" s="65" t="s">
        <v>183</v>
      </c>
      <c r="C52" s="214">
        <v>7</v>
      </c>
      <c r="D52" s="156"/>
      <c r="E52" s="216"/>
      <c r="G52" s="10"/>
      <c r="H52" s="10"/>
      <c r="I52" s="35"/>
      <c r="J52" s="12"/>
      <c r="K52" s="12"/>
      <c r="M52" s="174"/>
      <c r="N52" s="172"/>
      <c r="P52" s="10"/>
    </row>
    <row r="53" spans="2:16" x14ac:dyDescent="0.2">
      <c r="B53" s="65" t="s">
        <v>184</v>
      </c>
      <c r="C53" s="300">
        <v>450000</v>
      </c>
      <c r="D53" s="156"/>
      <c r="E53" s="216"/>
      <c r="G53" s="10"/>
      <c r="H53" s="10"/>
      <c r="I53" s="35"/>
      <c r="J53" s="12"/>
      <c r="K53" s="12"/>
      <c r="M53" s="174"/>
      <c r="N53" s="172"/>
      <c r="P53" s="10"/>
    </row>
    <row r="54" spans="2:16" x14ac:dyDescent="0.2">
      <c r="B54" s="65" t="s">
        <v>185</v>
      </c>
      <c r="C54" s="214">
        <v>2.75</v>
      </c>
      <c r="D54" s="156"/>
      <c r="E54" s="268"/>
      <c r="G54" s="10"/>
      <c r="H54" s="10"/>
      <c r="I54" s="35"/>
      <c r="J54" s="12"/>
      <c r="K54" s="12"/>
      <c r="M54" s="174"/>
      <c r="N54" s="172"/>
      <c r="P54" s="10"/>
    </row>
    <row r="55" spans="2:16" x14ac:dyDescent="0.2">
      <c r="B55" s="10"/>
      <c r="C55" s="187"/>
      <c r="G55" s="10"/>
      <c r="H55" s="10"/>
      <c r="I55" s="35"/>
      <c r="J55" s="12"/>
      <c r="K55" s="12"/>
      <c r="M55" s="174"/>
      <c r="N55" s="172"/>
      <c r="P55" s="10"/>
    </row>
    <row r="56" spans="2:16" x14ac:dyDescent="0.2">
      <c r="B56" s="8" t="s">
        <v>186</v>
      </c>
      <c r="C56" s="188"/>
      <c r="G56" s="10"/>
      <c r="H56" s="10"/>
      <c r="I56" s="35"/>
      <c r="J56" s="12"/>
      <c r="K56" s="12"/>
      <c r="M56" s="174"/>
      <c r="N56" s="172"/>
      <c r="P56" s="10"/>
    </row>
    <row r="57" spans="2:16" x14ac:dyDescent="0.2">
      <c r="B57" s="65" t="s">
        <v>187</v>
      </c>
      <c r="C57" s="189">
        <v>0</v>
      </c>
      <c r="G57" s="10"/>
      <c r="H57" s="10"/>
      <c r="I57" s="35"/>
      <c r="J57" s="12"/>
      <c r="K57" s="12"/>
      <c r="M57" s="174"/>
      <c r="N57" s="172"/>
      <c r="P57" s="10"/>
    </row>
    <row r="58" spans="2:16" x14ac:dyDescent="0.2">
      <c r="B58" s="10"/>
      <c r="C58" s="187"/>
      <c r="G58" s="10"/>
      <c r="H58" s="10"/>
      <c r="I58" s="35"/>
      <c r="J58" s="12"/>
      <c r="K58" s="12"/>
      <c r="M58" s="174"/>
      <c r="N58" s="172"/>
      <c r="P58" s="10"/>
    </row>
    <row r="59" spans="2:16" x14ac:dyDescent="0.2">
      <c r="B59" s="8" t="s">
        <v>199</v>
      </c>
      <c r="C59" s="188"/>
      <c r="H59" s="10"/>
      <c r="J59" s="12"/>
      <c r="K59" s="12"/>
      <c r="M59" s="174"/>
      <c r="N59" s="172"/>
      <c r="P59" s="10"/>
    </row>
    <row r="60" spans="2:16" x14ac:dyDescent="0.2">
      <c r="B60" s="65" t="s">
        <v>255</v>
      </c>
      <c r="C60" s="189">
        <v>770600</v>
      </c>
      <c r="H60" s="10"/>
      <c r="J60" s="12"/>
      <c r="K60" s="12"/>
      <c r="M60" s="174"/>
      <c r="N60" s="172"/>
      <c r="P60" s="10"/>
    </row>
    <row r="61" spans="2:16" x14ac:dyDescent="0.2">
      <c r="C61" s="190"/>
      <c r="H61" s="10"/>
      <c r="J61" s="12"/>
      <c r="K61" s="12"/>
      <c r="M61" s="174"/>
      <c r="N61" s="172"/>
      <c r="P61" s="10"/>
    </row>
    <row r="62" spans="2:16" x14ac:dyDescent="0.2">
      <c r="B62" s="8" t="s">
        <v>199</v>
      </c>
      <c r="C62" s="11"/>
      <c r="D62" s="11"/>
      <c r="E62" s="11"/>
      <c r="F62" s="11"/>
      <c r="G62" s="11"/>
      <c r="H62" s="11"/>
      <c r="I62" s="9"/>
      <c r="J62" s="12"/>
      <c r="K62" s="12"/>
      <c r="M62" s="174"/>
      <c r="N62" s="172"/>
      <c r="P62" s="10"/>
    </row>
    <row r="63" spans="2:16" ht="25.5" x14ac:dyDescent="0.2">
      <c r="B63" s="65"/>
      <c r="C63" s="367" t="s">
        <v>193</v>
      </c>
      <c r="D63" s="366" t="s">
        <v>194</v>
      </c>
      <c r="E63" s="366" t="s">
        <v>195</v>
      </c>
      <c r="F63" s="366" t="s">
        <v>196</v>
      </c>
      <c r="G63" s="366" t="s">
        <v>40</v>
      </c>
      <c r="H63" s="366" t="s">
        <v>41</v>
      </c>
      <c r="I63" s="368" t="s">
        <v>197</v>
      </c>
      <c r="J63" s="12"/>
      <c r="K63" s="12"/>
      <c r="M63" s="174"/>
      <c r="N63" s="172"/>
      <c r="P63" s="10"/>
    </row>
    <row r="64" spans="2:16" x14ac:dyDescent="0.2">
      <c r="B64" s="65" t="s">
        <v>188</v>
      </c>
      <c r="C64" s="313">
        <v>100</v>
      </c>
      <c r="D64" s="315">
        <v>1</v>
      </c>
      <c r="E64" s="265">
        <v>6</v>
      </c>
      <c r="F64" s="318">
        <v>4</v>
      </c>
      <c r="G64" s="70">
        <f>C64/100*total_installed_cost</f>
        <v>38530000</v>
      </c>
      <c r="H64" s="71">
        <f>G64*F64/100*E64/12*0.5</f>
        <v>385300</v>
      </c>
      <c r="I64" s="72">
        <f>H64+D64/100*G64</f>
        <v>770600</v>
      </c>
      <c r="J64" s="12"/>
      <c r="K64" s="12"/>
      <c r="M64" s="174"/>
      <c r="N64" s="172"/>
      <c r="P64" s="10"/>
    </row>
    <row r="65" spans="2:16" x14ac:dyDescent="0.2">
      <c r="B65" s="65" t="s">
        <v>189</v>
      </c>
      <c r="C65" s="313">
        <v>0</v>
      </c>
      <c r="D65" s="315">
        <v>0</v>
      </c>
      <c r="E65" s="265">
        <v>0</v>
      </c>
      <c r="F65" s="318">
        <v>0</v>
      </c>
      <c r="G65" s="70">
        <f>C65/100*total_installed_cost</f>
        <v>0</v>
      </c>
      <c r="H65" s="71">
        <f t="shared" ref="H65:H68" si="0">G65*F65/100*E65/12*0.5</f>
        <v>0</v>
      </c>
      <c r="I65" s="72">
        <f t="shared" ref="I65:I68" si="1">H65+D65/100*G65</f>
        <v>0</v>
      </c>
      <c r="J65" s="12"/>
      <c r="K65" s="12"/>
      <c r="M65" s="174"/>
      <c r="N65" s="172"/>
      <c r="P65" s="10"/>
    </row>
    <row r="66" spans="2:16" x14ac:dyDescent="0.2">
      <c r="B66" s="65" t="s">
        <v>190</v>
      </c>
      <c r="C66" s="313">
        <v>0</v>
      </c>
      <c r="D66" s="315">
        <v>0</v>
      </c>
      <c r="E66" s="265">
        <v>0</v>
      </c>
      <c r="F66" s="318">
        <v>0</v>
      </c>
      <c r="G66" s="70">
        <f>C66/100*total_installed_cost</f>
        <v>0</v>
      </c>
      <c r="H66" s="71">
        <f t="shared" si="0"/>
        <v>0</v>
      </c>
      <c r="I66" s="72">
        <f t="shared" si="1"/>
        <v>0</v>
      </c>
      <c r="J66" s="12"/>
      <c r="K66" s="12"/>
      <c r="M66" s="174"/>
      <c r="N66" s="172"/>
      <c r="P66" s="10"/>
    </row>
    <row r="67" spans="2:16" x14ac:dyDescent="0.2">
      <c r="B67" s="65" t="s">
        <v>191</v>
      </c>
      <c r="C67" s="313">
        <v>0</v>
      </c>
      <c r="D67" s="315">
        <v>0</v>
      </c>
      <c r="E67" s="265">
        <v>0</v>
      </c>
      <c r="F67" s="318">
        <v>0</v>
      </c>
      <c r="G67" s="70">
        <f>C67/100*total_installed_cost</f>
        <v>0</v>
      </c>
      <c r="H67" s="71">
        <f t="shared" si="0"/>
        <v>0</v>
      </c>
      <c r="I67" s="72">
        <f t="shared" si="1"/>
        <v>0</v>
      </c>
      <c r="J67" s="12"/>
      <c r="K67" s="12"/>
      <c r="M67" s="174"/>
      <c r="N67" s="172"/>
      <c r="P67" s="10"/>
    </row>
    <row r="68" spans="2:16" x14ac:dyDescent="0.2">
      <c r="B68" s="65" t="s">
        <v>192</v>
      </c>
      <c r="C68" s="314">
        <v>0</v>
      </c>
      <c r="D68" s="316">
        <v>0</v>
      </c>
      <c r="E68" s="317">
        <v>0</v>
      </c>
      <c r="F68" s="319">
        <v>0</v>
      </c>
      <c r="G68" s="70">
        <f>C68/100*total_installed_cost</f>
        <v>0</v>
      </c>
      <c r="H68" s="71">
        <f t="shared" si="0"/>
        <v>0</v>
      </c>
      <c r="I68" s="72">
        <f t="shared" si="1"/>
        <v>0</v>
      </c>
      <c r="J68" s="12"/>
      <c r="K68" s="12"/>
      <c r="M68" s="174"/>
      <c r="N68" s="172"/>
      <c r="P68" s="10"/>
    </row>
    <row r="69" spans="2:16" x14ac:dyDescent="0.2">
      <c r="B69" s="73" t="s">
        <v>198</v>
      </c>
      <c r="C69" s="74"/>
      <c r="D69" s="54"/>
      <c r="E69" s="54"/>
      <c r="F69" s="75"/>
      <c r="G69" s="76">
        <f>SUM(G64:G68)</f>
        <v>38530000</v>
      </c>
      <c r="H69" s="77">
        <f>SUM(H64:H68)</f>
        <v>385300</v>
      </c>
      <c r="I69" s="78">
        <f>SUM(I64:I68)</f>
        <v>770600</v>
      </c>
      <c r="J69" s="12"/>
      <c r="K69" s="12"/>
      <c r="M69" s="174"/>
      <c r="N69" s="172"/>
      <c r="P69" s="10"/>
    </row>
    <row r="70" spans="2:16" x14ac:dyDescent="0.2">
      <c r="C70" s="190"/>
      <c r="H70" s="10"/>
      <c r="J70" s="12"/>
      <c r="K70" s="12"/>
      <c r="M70" s="174"/>
      <c r="N70" s="172"/>
      <c r="P70" s="10"/>
    </row>
    <row r="71" spans="2:16" x14ac:dyDescent="0.2">
      <c r="B71" s="8" t="s">
        <v>200</v>
      </c>
      <c r="C71" s="11"/>
      <c r="D71" s="11"/>
      <c r="E71" s="11"/>
      <c r="F71" s="9"/>
      <c r="G71" s="10"/>
      <c r="H71" s="10"/>
      <c r="I71" s="12"/>
      <c r="J71" s="12"/>
      <c r="K71" s="12"/>
      <c r="M71" s="174"/>
      <c r="N71" s="172"/>
      <c r="P71" s="10"/>
    </row>
    <row r="72" spans="2:16" x14ac:dyDescent="0.2">
      <c r="B72" s="65" t="s">
        <v>201</v>
      </c>
      <c r="C72" s="217">
        <v>1.75</v>
      </c>
      <c r="D72" s="80"/>
      <c r="E72" s="80"/>
      <c r="F72" s="81"/>
      <c r="G72" s="10"/>
      <c r="H72" s="10"/>
      <c r="I72" s="12"/>
      <c r="J72" s="12"/>
      <c r="K72" s="12"/>
      <c r="M72" s="174"/>
      <c r="N72" s="172"/>
      <c r="P72" s="10"/>
    </row>
    <row r="73" spans="2:16" x14ac:dyDescent="0.2">
      <c r="B73" s="65" t="s">
        <v>210</v>
      </c>
      <c r="C73" s="155">
        <v>6</v>
      </c>
      <c r="D73" s="80"/>
      <c r="E73" s="80"/>
      <c r="F73" s="81"/>
      <c r="G73" s="10"/>
      <c r="H73" s="10"/>
      <c r="I73" s="12"/>
      <c r="J73" s="12"/>
      <c r="K73" s="12"/>
      <c r="M73" s="174"/>
      <c r="N73" s="172"/>
      <c r="P73" s="10"/>
    </row>
    <row r="74" spans="2:16" x14ac:dyDescent="0.2">
      <c r="B74" s="65" t="s">
        <v>202</v>
      </c>
      <c r="C74" s="155">
        <v>6</v>
      </c>
      <c r="D74" s="80"/>
      <c r="E74" s="80"/>
      <c r="F74" s="81"/>
      <c r="G74" s="10"/>
      <c r="H74" s="10"/>
      <c r="I74" s="12"/>
      <c r="J74" s="12"/>
      <c r="K74" s="12"/>
      <c r="M74" s="174"/>
      <c r="N74" s="172"/>
      <c r="P74" s="10"/>
    </row>
    <row r="75" spans="2:16" x14ac:dyDescent="0.2">
      <c r="B75" s="15" t="s">
        <v>203</v>
      </c>
      <c r="C75" s="15"/>
      <c r="D75" s="80"/>
      <c r="E75" s="80"/>
      <c r="F75" s="81"/>
      <c r="G75" s="10"/>
      <c r="H75" s="10"/>
      <c r="I75" s="12"/>
      <c r="J75" s="12"/>
      <c r="K75" s="12"/>
      <c r="M75" s="174"/>
      <c r="N75" s="172"/>
      <c r="P75" s="10"/>
    </row>
    <row r="76" spans="2:16" ht="25.5" x14ac:dyDescent="0.2">
      <c r="B76" s="108"/>
      <c r="C76" s="365" t="s">
        <v>269</v>
      </c>
      <c r="D76" s="366" t="s">
        <v>207</v>
      </c>
      <c r="E76" s="366" t="s">
        <v>208</v>
      </c>
      <c r="F76" s="81"/>
      <c r="G76" s="10"/>
      <c r="H76" s="10"/>
      <c r="I76" s="12"/>
      <c r="J76" s="12"/>
      <c r="K76" s="12"/>
      <c r="M76" s="174"/>
      <c r="N76" s="172"/>
      <c r="P76" s="10"/>
    </row>
    <row r="77" spans="2:16" x14ac:dyDescent="0.2">
      <c r="B77" s="87" t="s">
        <v>204</v>
      </c>
      <c r="C77" s="64">
        <v>0.25</v>
      </c>
      <c r="D77" s="77">
        <f>C77*system_capacity</f>
        <v>5000</v>
      </c>
      <c r="E77" s="13">
        <v>12</v>
      </c>
      <c r="F77" s="81"/>
      <c r="G77" s="10"/>
      <c r="H77" s="10"/>
      <c r="I77" s="12"/>
      <c r="J77" s="12"/>
      <c r="K77" s="12"/>
      <c r="M77" s="174"/>
      <c r="N77" s="172"/>
      <c r="P77" s="10"/>
    </row>
    <row r="78" spans="2:16" x14ac:dyDescent="0.2">
      <c r="B78" s="66" t="s">
        <v>206</v>
      </c>
      <c r="C78" s="64">
        <v>0</v>
      </c>
      <c r="D78" s="62">
        <f>C78*system_capacity</f>
        <v>0</v>
      </c>
      <c r="E78" s="13">
        <v>15</v>
      </c>
      <c r="F78" s="81"/>
      <c r="G78" s="10"/>
      <c r="H78" s="10"/>
      <c r="I78" s="12"/>
      <c r="J78" s="12"/>
      <c r="K78" s="12"/>
      <c r="M78" s="174"/>
      <c r="N78" s="172"/>
      <c r="P78" s="10"/>
    </row>
    <row r="79" spans="2:16" x14ac:dyDescent="0.2">
      <c r="B79" s="107" t="s">
        <v>205</v>
      </c>
      <c r="C79" s="64">
        <v>0</v>
      </c>
      <c r="D79" s="79">
        <f>C79*system_capacity</f>
        <v>0</v>
      </c>
      <c r="E79" s="13">
        <v>3</v>
      </c>
      <c r="F79" s="81"/>
      <c r="G79" s="10"/>
      <c r="H79" s="10"/>
      <c r="I79" s="12"/>
      <c r="J79" s="12"/>
      <c r="K79" s="12"/>
      <c r="M79" s="174"/>
      <c r="N79" s="172"/>
      <c r="P79" s="10"/>
    </row>
    <row r="80" spans="2:16" x14ac:dyDescent="0.2">
      <c r="B80" s="69" t="s">
        <v>209</v>
      </c>
      <c r="C80" s="54"/>
      <c r="D80" s="54"/>
      <c r="E80" s="54"/>
      <c r="F80" s="55"/>
      <c r="G80" s="10"/>
      <c r="H80" s="10"/>
      <c r="I80" s="12"/>
      <c r="J80" s="12"/>
      <c r="K80" s="12"/>
      <c r="M80" s="174"/>
      <c r="N80" s="172"/>
      <c r="P80" s="10"/>
    </row>
    <row r="81" spans="2:17" x14ac:dyDescent="0.2">
      <c r="B81" s="85" t="s">
        <v>6</v>
      </c>
      <c r="C81" s="106" t="s">
        <v>61</v>
      </c>
      <c r="D81" s="80"/>
      <c r="E81" s="80"/>
      <c r="F81" s="81"/>
      <c r="G81" s="10"/>
      <c r="H81" s="10"/>
      <c r="I81" s="12"/>
      <c r="J81" s="12"/>
      <c r="K81" s="12"/>
      <c r="M81" s="174"/>
      <c r="N81" s="172"/>
      <c r="P81" s="10"/>
    </row>
    <row r="82" spans="2:17" x14ac:dyDescent="0.2">
      <c r="B82" s="85" t="s">
        <v>7</v>
      </c>
      <c r="C82" s="106" t="s">
        <v>61</v>
      </c>
      <c r="D82" s="82"/>
      <c r="E82" s="82"/>
      <c r="F82" s="83"/>
      <c r="G82" s="10"/>
      <c r="H82" s="10"/>
      <c r="I82" s="12"/>
      <c r="J82" s="12"/>
      <c r="K82" s="12"/>
      <c r="M82" s="174"/>
      <c r="N82" s="172"/>
      <c r="P82" s="10"/>
    </row>
    <row r="83" spans="2:17" x14ac:dyDescent="0.2">
      <c r="G83" s="10"/>
      <c r="H83" s="10"/>
      <c r="I83" s="12"/>
      <c r="J83" s="12"/>
      <c r="K83" s="12"/>
      <c r="M83" s="174"/>
      <c r="N83" s="172"/>
      <c r="P83" s="10"/>
    </row>
    <row r="84" spans="2:17" x14ac:dyDescent="0.2">
      <c r="B84" s="8" t="s">
        <v>211</v>
      </c>
      <c r="C84" s="11"/>
      <c r="D84" s="11"/>
      <c r="E84" s="11"/>
      <c r="F84" s="9"/>
      <c r="G84" s="10"/>
      <c r="H84" s="10"/>
      <c r="I84" s="12"/>
      <c r="J84" s="12"/>
      <c r="K84" s="12"/>
      <c r="M84" s="174"/>
      <c r="N84" s="172"/>
      <c r="P84" s="10"/>
    </row>
    <row r="85" spans="2:17" x14ac:dyDescent="0.2">
      <c r="B85" s="60"/>
      <c r="C85" s="54"/>
      <c r="D85" s="55"/>
      <c r="E85" s="369" t="s">
        <v>22</v>
      </c>
      <c r="F85" s="370"/>
      <c r="G85" s="10"/>
      <c r="H85" s="10"/>
      <c r="I85" s="10"/>
      <c r="J85" s="10"/>
      <c r="K85" s="10"/>
      <c r="M85" s="174"/>
      <c r="N85" s="172"/>
    </row>
    <row r="86" spans="2:17" x14ac:dyDescent="0.2">
      <c r="B86" s="53" t="s">
        <v>4</v>
      </c>
      <c r="C86" s="54"/>
      <c r="D86" s="88"/>
      <c r="E86" s="89" t="s">
        <v>6</v>
      </c>
      <c r="F86" s="89" t="s">
        <v>7</v>
      </c>
      <c r="G86" s="10"/>
      <c r="H86" s="10"/>
      <c r="I86" s="10"/>
      <c r="J86" s="10"/>
      <c r="K86" s="10"/>
      <c r="M86" s="174"/>
      <c r="N86" s="172"/>
    </row>
    <row r="87" spans="2:17" x14ac:dyDescent="0.2">
      <c r="B87" s="87" t="s">
        <v>213</v>
      </c>
      <c r="C87" s="14" t="s">
        <v>320</v>
      </c>
      <c r="D87" s="104"/>
      <c r="E87" s="92"/>
      <c r="F87" s="93"/>
      <c r="G87" s="10"/>
      <c r="H87" s="10"/>
      <c r="I87" s="12"/>
      <c r="J87" s="12"/>
      <c r="K87" s="12"/>
      <c r="M87" s="174"/>
      <c r="N87" s="172"/>
    </row>
    <row r="88" spans="2:17" x14ac:dyDescent="0.2">
      <c r="B88" s="86" t="s">
        <v>214</v>
      </c>
      <c r="C88" s="240">
        <v>0</v>
      </c>
      <c r="D88" s="57"/>
      <c r="E88" s="102" t="s">
        <v>24</v>
      </c>
      <c r="F88" s="91" t="s">
        <v>24</v>
      </c>
      <c r="G88" s="10"/>
      <c r="H88" s="10"/>
      <c r="I88" s="12"/>
      <c r="J88" s="12"/>
      <c r="K88" s="12"/>
      <c r="M88" s="174"/>
      <c r="N88" s="172"/>
    </row>
    <row r="89" spans="2:17" x14ac:dyDescent="0.2">
      <c r="B89" s="86" t="s">
        <v>215</v>
      </c>
      <c r="C89" s="240">
        <v>0</v>
      </c>
      <c r="D89" s="90"/>
      <c r="E89" s="103" t="s">
        <v>25</v>
      </c>
      <c r="F89" s="94" t="s">
        <v>25</v>
      </c>
      <c r="G89" s="10"/>
      <c r="I89" s="12"/>
      <c r="J89" s="12"/>
      <c r="K89" s="12"/>
      <c r="M89" s="174"/>
      <c r="N89" s="172"/>
    </row>
    <row r="90" spans="2:17" x14ac:dyDescent="0.2">
      <c r="B90" s="85" t="s">
        <v>218</v>
      </c>
      <c r="C90" s="16" t="s">
        <v>9</v>
      </c>
      <c r="D90" s="22" t="s">
        <v>238</v>
      </c>
      <c r="E90" s="95"/>
      <c r="F90" s="96"/>
      <c r="G90" s="10"/>
      <c r="H90" s="10"/>
      <c r="I90" s="12"/>
      <c r="J90" s="12"/>
      <c r="K90" s="12"/>
      <c r="M90" s="174"/>
      <c r="N90" s="172"/>
    </row>
    <row r="91" spans="2:17" x14ac:dyDescent="0.2">
      <c r="B91" s="86" t="s">
        <v>216</v>
      </c>
      <c r="C91" s="185">
        <v>30</v>
      </c>
      <c r="D91" s="84">
        <v>9.9999999999999998E+37</v>
      </c>
      <c r="E91" s="91" t="s">
        <v>24</v>
      </c>
      <c r="F91" s="91" t="s">
        <v>24</v>
      </c>
      <c r="G91" s="10"/>
      <c r="I91" s="12"/>
      <c r="J91" s="12"/>
      <c r="K91" s="12"/>
      <c r="M91" s="174"/>
      <c r="N91" s="172"/>
    </row>
    <row r="92" spans="2:17" x14ac:dyDescent="0.2">
      <c r="B92" s="86" t="s">
        <v>217</v>
      </c>
      <c r="C92" s="184">
        <v>0</v>
      </c>
      <c r="D92" s="84">
        <v>9.9999999999999998E+37</v>
      </c>
      <c r="E92" s="94" t="s">
        <v>25</v>
      </c>
      <c r="F92" s="94" t="s">
        <v>25</v>
      </c>
      <c r="G92" s="10"/>
      <c r="I92" s="12"/>
      <c r="J92" s="12"/>
      <c r="K92" s="12"/>
      <c r="M92" s="174"/>
      <c r="N92" s="172"/>
    </row>
    <row r="93" spans="2:17" x14ac:dyDescent="0.2">
      <c r="B93" s="134" t="s">
        <v>8</v>
      </c>
      <c r="C93" s="17" t="s">
        <v>11</v>
      </c>
      <c r="D93" s="97" t="s">
        <v>321</v>
      </c>
      <c r="E93" s="98"/>
      <c r="F93" s="99"/>
      <c r="G93" s="10"/>
      <c r="I93" s="12"/>
      <c r="J93" s="12"/>
      <c r="K93" s="12"/>
      <c r="M93" s="174"/>
      <c r="N93" s="172"/>
      <c r="Q93" s="10"/>
    </row>
    <row r="94" spans="2:17" x14ac:dyDescent="0.2">
      <c r="B94" s="85" t="s">
        <v>6</v>
      </c>
      <c r="C94" s="198">
        <v>0</v>
      </c>
      <c r="D94" s="241">
        <v>10</v>
      </c>
      <c r="E94" s="100"/>
      <c r="F94" s="81"/>
      <c r="G94" s="10"/>
      <c r="I94" s="12"/>
      <c r="J94" s="12"/>
      <c r="K94" s="12"/>
      <c r="M94" s="174"/>
      <c r="N94" s="172"/>
      <c r="Q94" s="10"/>
    </row>
    <row r="95" spans="2:17" x14ac:dyDescent="0.2">
      <c r="B95" s="85" t="s">
        <v>7</v>
      </c>
      <c r="C95" s="198">
        <v>0</v>
      </c>
      <c r="D95" s="241">
        <v>10</v>
      </c>
      <c r="E95" s="101"/>
      <c r="F95" s="83"/>
      <c r="G95" s="10"/>
      <c r="I95" s="12"/>
      <c r="J95" s="12"/>
      <c r="K95" s="12"/>
      <c r="M95" s="174"/>
      <c r="N95" s="172"/>
      <c r="Q95" s="10"/>
    </row>
    <row r="96" spans="2:17" x14ac:dyDescent="0.2">
      <c r="B96" s="59"/>
      <c r="C96" s="18"/>
      <c r="D96" s="19"/>
      <c r="E96" s="12"/>
      <c r="F96" s="12"/>
      <c r="G96" s="10"/>
      <c r="H96" s="10"/>
      <c r="I96" s="12"/>
      <c r="J96" s="12"/>
      <c r="K96" s="12"/>
      <c r="M96" s="174"/>
      <c r="N96" s="172"/>
      <c r="Q96" s="10"/>
    </row>
    <row r="97" spans="2:17" x14ac:dyDescent="0.2">
      <c r="B97" s="8" t="s">
        <v>212</v>
      </c>
      <c r="C97" s="11"/>
      <c r="D97" s="11"/>
      <c r="E97" s="11"/>
      <c r="F97" s="11"/>
      <c r="G97" s="11"/>
      <c r="H97" s="9"/>
      <c r="I97" s="61"/>
      <c r="K97" s="12"/>
      <c r="M97" s="174"/>
      <c r="N97" s="169"/>
      <c r="Q97" s="10"/>
    </row>
    <row r="98" spans="2:17" x14ac:dyDescent="0.2">
      <c r="B98" s="133" t="s">
        <v>21</v>
      </c>
      <c r="C98" s="131"/>
      <c r="D98" s="54"/>
      <c r="E98" s="132"/>
      <c r="F98" s="132"/>
      <c r="G98" s="132"/>
      <c r="H98" s="93"/>
      <c r="I98" s="12"/>
      <c r="K98" s="12"/>
      <c r="M98" s="174"/>
      <c r="N98" s="169"/>
    </row>
    <row r="99" spans="2:17" x14ac:dyDescent="0.2">
      <c r="B99" s="144" t="s">
        <v>213</v>
      </c>
      <c r="C99" s="124" t="s">
        <v>320</v>
      </c>
      <c r="D99" s="125"/>
      <c r="E99" s="102" t="s">
        <v>239</v>
      </c>
      <c r="F99" s="91" t="s">
        <v>240</v>
      </c>
      <c r="G99" s="91" t="s">
        <v>245</v>
      </c>
      <c r="H99" s="91" t="s">
        <v>246</v>
      </c>
      <c r="I99" s="10"/>
      <c r="K99" s="130"/>
      <c r="M99" s="174"/>
      <c r="N99" s="173"/>
    </row>
    <row r="100" spans="2:17" x14ac:dyDescent="0.2">
      <c r="B100" s="114" t="s">
        <v>214</v>
      </c>
      <c r="C100" s="242">
        <v>0</v>
      </c>
      <c r="D100" s="123"/>
      <c r="E100" s="122">
        <v>1</v>
      </c>
      <c r="F100" s="16">
        <v>1</v>
      </c>
      <c r="G100" s="117" t="s">
        <v>25</v>
      </c>
      <c r="H100" s="117" t="s">
        <v>25</v>
      </c>
      <c r="I100" s="10"/>
      <c r="K100" s="12"/>
      <c r="M100" s="174"/>
      <c r="N100" s="169"/>
    </row>
    <row r="101" spans="2:17" x14ac:dyDescent="0.2">
      <c r="B101" s="114" t="s">
        <v>215</v>
      </c>
      <c r="C101" s="242">
        <v>0</v>
      </c>
      <c r="D101" s="123"/>
      <c r="E101" s="122">
        <v>1</v>
      </c>
      <c r="F101" s="16">
        <v>1</v>
      </c>
      <c r="G101" s="117" t="s">
        <v>25</v>
      </c>
      <c r="H101" s="117" t="s">
        <v>25</v>
      </c>
      <c r="I101" s="10"/>
      <c r="K101" s="12"/>
      <c r="M101" s="174"/>
      <c r="N101" s="169"/>
    </row>
    <row r="102" spans="2:17" x14ac:dyDescent="0.2">
      <c r="B102" s="114" t="s">
        <v>225</v>
      </c>
      <c r="C102" s="242">
        <v>0</v>
      </c>
      <c r="D102" s="123"/>
      <c r="E102" s="122">
        <v>1</v>
      </c>
      <c r="F102" s="16">
        <v>1</v>
      </c>
      <c r="G102" s="117" t="s">
        <v>25</v>
      </c>
      <c r="H102" s="117" t="s">
        <v>25</v>
      </c>
      <c r="I102" s="10"/>
      <c r="K102" s="12"/>
      <c r="M102" s="174"/>
      <c r="N102" s="169"/>
    </row>
    <row r="103" spans="2:17" x14ac:dyDescent="0.2">
      <c r="B103" s="145" t="s">
        <v>226</v>
      </c>
      <c r="C103" s="243">
        <v>0</v>
      </c>
      <c r="D103" s="123"/>
      <c r="E103" s="126">
        <v>1</v>
      </c>
      <c r="F103" s="127">
        <v>1</v>
      </c>
      <c r="G103" s="94" t="s">
        <v>25</v>
      </c>
      <c r="H103" s="94" t="s">
        <v>25</v>
      </c>
      <c r="I103" s="10"/>
      <c r="K103" s="12"/>
      <c r="M103" s="174"/>
      <c r="N103" s="169"/>
    </row>
    <row r="104" spans="2:17" x14ac:dyDescent="0.2">
      <c r="B104" s="116" t="s">
        <v>218</v>
      </c>
      <c r="C104" s="128" t="s">
        <v>9</v>
      </c>
      <c r="D104" s="117" t="s">
        <v>238</v>
      </c>
      <c r="E104" s="129"/>
      <c r="F104" s="135"/>
      <c r="G104" s="135"/>
      <c r="H104" s="136"/>
      <c r="I104" s="167"/>
      <c r="K104" s="20"/>
      <c r="M104" s="174"/>
      <c r="N104" s="172"/>
    </row>
    <row r="105" spans="2:17" x14ac:dyDescent="0.2">
      <c r="B105" s="114" t="s">
        <v>216</v>
      </c>
      <c r="C105" s="185">
        <v>0</v>
      </c>
      <c r="D105" s="118">
        <v>9.9999999999999998E+37</v>
      </c>
      <c r="E105" s="16">
        <v>1</v>
      </c>
      <c r="F105" s="16">
        <v>1</v>
      </c>
      <c r="G105" s="117" t="s">
        <v>25</v>
      </c>
      <c r="H105" s="117" t="s">
        <v>25</v>
      </c>
      <c r="I105" s="10"/>
      <c r="K105" s="12"/>
      <c r="L105" s="12"/>
      <c r="M105" s="20"/>
      <c r="N105" s="12"/>
    </row>
    <row r="106" spans="2:17" x14ac:dyDescent="0.2">
      <c r="B106" s="114" t="s">
        <v>217</v>
      </c>
      <c r="C106" s="185">
        <v>0</v>
      </c>
      <c r="D106" s="118">
        <v>9.9999999999999998E+37</v>
      </c>
      <c r="E106" s="16">
        <v>1</v>
      </c>
      <c r="F106" s="16">
        <v>1</v>
      </c>
      <c r="G106" s="117" t="s">
        <v>25</v>
      </c>
      <c r="H106" s="117" t="s">
        <v>25</v>
      </c>
      <c r="I106" s="10"/>
      <c r="K106" s="12"/>
      <c r="L106" s="12"/>
      <c r="M106" s="20"/>
      <c r="N106" s="12"/>
    </row>
    <row r="107" spans="2:17" x14ac:dyDescent="0.2">
      <c r="B107" s="114" t="s">
        <v>227</v>
      </c>
      <c r="C107" s="185">
        <v>0</v>
      </c>
      <c r="D107" s="118">
        <v>9.9999999999999998E+37</v>
      </c>
      <c r="E107" s="16">
        <v>1</v>
      </c>
      <c r="F107" s="16">
        <v>1</v>
      </c>
      <c r="G107" s="117" t="s">
        <v>25</v>
      </c>
      <c r="H107" s="117" t="s">
        <v>25</v>
      </c>
      <c r="I107" s="10"/>
      <c r="K107" s="12"/>
      <c r="L107" s="12"/>
      <c r="M107" s="20"/>
      <c r="N107" s="12"/>
    </row>
    <row r="108" spans="2:17" ht="13.5" thickBot="1" x14ac:dyDescent="0.25">
      <c r="B108" s="147" t="s">
        <v>228</v>
      </c>
      <c r="C108" s="246">
        <v>0</v>
      </c>
      <c r="D108" s="119">
        <v>9.9999999999999998E+37</v>
      </c>
      <c r="E108" s="120">
        <v>1</v>
      </c>
      <c r="F108" s="120">
        <v>1</v>
      </c>
      <c r="G108" s="121" t="s">
        <v>25</v>
      </c>
      <c r="H108" s="121" t="s">
        <v>25</v>
      </c>
      <c r="I108" s="10"/>
      <c r="K108" s="12"/>
      <c r="L108" s="12"/>
      <c r="M108" s="20"/>
      <c r="N108" s="12"/>
    </row>
    <row r="109" spans="2:17" x14ac:dyDescent="0.2">
      <c r="B109" s="146" t="s">
        <v>54</v>
      </c>
      <c r="C109" s="143" t="s">
        <v>233</v>
      </c>
      <c r="D109" s="91" t="s">
        <v>238</v>
      </c>
      <c r="E109" s="20"/>
      <c r="F109" s="20"/>
      <c r="G109" s="20"/>
      <c r="H109" s="20"/>
      <c r="I109" s="10"/>
      <c r="K109" s="112"/>
      <c r="L109" s="112"/>
      <c r="M109" s="20"/>
      <c r="N109" s="112"/>
      <c r="O109" s="21"/>
    </row>
    <row r="110" spans="2:17" x14ac:dyDescent="0.2">
      <c r="B110" s="116" t="s">
        <v>229</v>
      </c>
      <c r="C110" s="201">
        <v>0</v>
      </c>
      <c r="D110" s="118">
        <v>9.9999999999999998E+37</v>
      </c>
      <c r="E110" s="16" t="s">
        <v>24</v>
      </c>
      <c r="F110" s="16" t="s">
        <v>24</v>
      </c>
      <c r="G110" s="117" t="s">
        <v>25</v>
      </c>
      <c r="H110" s="129" t="s">
        <v>25</v>
      </c>
      <c r="I110" s="269"/>
      <c r="K110" s="12"/>
      <c r="L110" s="12"/>
      <c r="M110" s="20"/>
      <c r="N110" s="12"/>
    </row>
    <row r="111" spans="2:17" x14ac:dyDescent="0.2">
      <c r="B111" s="116" t="s">
        <v>230</v>
      </c>
      <c r="C111" s="201">
        <v>0</v>
      </c>
      <c r="D111" s="118">
        <v>9.9999999999999998E+37</v>
      </c>
      <c r="E111" s="16" t="s">
        <v>24</v>
      </c>
      <c r="F111" s="16" t="s">
        <v>24</v>
      </c>
      <c r="G111" s="117" t="s">
        <v>25</v>
      </c>
      <c r="H111" s="117" t="s">
        <v>25</v>
      </c>
      <c r="K111" s="12"/>
      <c r="L111" s="12"/>
      <c r="M111" s="20"/>
      <c r="N111" s="12"/>
    </row>
    <row r="112" spans="2:17" x14ac:dyDescent="0.2">
      <c r="B112" s="116" t="s">
        <v>231</v>
      </c>
      <c r="C112" s="201">
        <v>0</v>
      </c>
      <c r="D112" s="118">
        <v>9.9999999999999998E+37</v>
      </c>
      <c r="E112" s="16" t="s">
        <v>24</v>
      </c>
      <c r="F112" s="16" t="s">
        <v>24</v>
      </c>
      <c r="G112" s="117" t="s">
        <v>25</v>
      </c>
      <c r="H112" s="117" t="s">
        <v>25</v>
      </c>
      <c r="K112" s="12"/>
      <c r="L112" s="12"/>
      <c r="M112" s="20"/>
      <c r="N112" s="12"/>
    </row>
    <row r="113" spans="2:17" ht="13.5" thickBot="1" x14ac:dyDescent="0.25">
      <c r="B113" s="150" t="s">
        <v>232</v>
      </c>
      <c r="C113" s="247">
        <v>0</v>
      </c>
      <c r="D113" s="119">
        <v>9.9999999999999998E+37</v>
      </c>
      <c r="E113" s="120" t="s">
        <v>24</v>
      </c>
      <c r="F113" s="120" t="s">
        <v>24</v>
      </c>
      <c r="G113" s="121" t="s">
        <v>25</v>
      </c>
      <c r="H113" s="121" t="s">
        <v>25</v>
      </c>
      <c r="K113" s="12"/>
      <c r="L113" s="12"/>
      <c r="M113" s="20"/>
      <c r="N113" s="12"/>
    </row>
    <row r="114" spans="2:17" ht="25.5" x14ac:dyDescent="0.2">
      <c r="B114" s="148" t="s">
        <v>51</v>
      </c>
      <c r="C114" s="143" t="s">
        <v>11</v>
      </c>
      <c r="D114" s="91" t="s">
        <v>321</v>
      </c>
      <c r="E114" s="91" t="s">
        <v>319</v>
      </c>
      <c r="F114" s="91" t="s">
        <v>239</v>
      </c>
      <c r="G114" s="91" t="s">
        <v>240</v>
      </c>
      <c r="H114" s="149" t="s">
        <v>23</v>
      </c>
      <c r="I114" s="20"/>
      <c r="J114" s="20"/>
      <c r="K114" s="20"/>
      <c r="L114" s="112"/>
      <c r="M114" s="20"/>
      <c r="N114" s="20"/>
      <c r="O114" s="21"/>
      <c r="P114" s="21"/>
      <c r="Q114" s="21"/>
    </row>
    <row r="115" spans="2:17" x14ac:dyDescent="0.2">
      <c r="B115" s="116" t="s">
        <v>234</v>
      </c>
      <c r="C115" s="201">
        <v>0</v>
      </c>
      <c r="D115" s="248">
        <v>0</v>
      </c>
      <c r="E115" s="185">
        <v>0</v>
      </c>
      <c r="F115" s="117" t="s">
        <v>24</v>
      </c>
      <c r="G115" s="117" t="s">
        <v>24</v>
      </c>
      <c r="H115" s="183" t="s">
        <v>25</v>
      </c>
      <c r="I115" s="20"/>
      <c r="J115" s="20"/>
      <c r="K115" s="20"/>
      <c r="L115" s="12"/>
      <c r="M115" s="20"/>
      <c r="N115" s="20"/>
      <c r="O115" s="21"/>
      <c r="P115" s="21"/>
      <c r="Q115" s="21"/>
    </row>
    <row r="116" spans="2:17" x14ac:dyDescent="0.2">
      <c r="B116" s="116" t="s">
        <v>235</v>
      </c>
      <c r="C116" s="201">
        <v>0</v>
      </c>
      <c r="D116" s="248">
        <v>0</v>
      </c>
      <c r="E116" s="185">
        <v>0</v>
      </c>
      <c r="F116" s="117" t="s">
        <v>24</v>
      </c>
      <c r="G116" s="117" t="s">
        <v>24</v>
      </c>
      <c r="H116" s="183" t="s">
        <v>25</v>
      </c>
      <c r="I116" s="20"/>
      <c r="J116" s="20"/>
      <c r="K116" s="20"/>
      <c r="L116" s="12"/>
      <c r="M116" s="20"/>
      <c r="N116" s="20"/>
      <c r="O116" s="21"/>
      <c r="P116" s="21"/>
      <c r="Q116" s="21"/>
    </row>
    <row r="117" spans="2:17" x14ac:dyDescent="0.2">
      <c r="B117" s="116" t="s">
        <v>236</v>
      </c>
      <c r="C117" s="201">
        <v>0</v>
      </c>
      <c r="D117" s="248">
        <v>0</v>
      </c>
      <c r="E117" s="185">
        <v>0</v>
      </c>
      <c r="F117" s="117" t="s">
        <v>24</v>
      </c>
      <c r="G117" s="117" t="s">
        <v>24</v>
      </c>
      <c r="H117" s="183" t="s">
        <v>25</v>
      </c>
      <c r="I117" s="20"/>
      <c r="J117" s="20"/>
      <c r="K117" s="20"/>
      <c r="L117" s="20"/>
      <c r="M117" s="20"/>
      <c r="N117" s="20"/>
      <c r="O117" s="21"/>
      <c r="P117" s="21"/>
      <c r="Q117" s="21"/>
    </row>
    <row r="118" spans="2:17" x14ac:dyDescent="0.2">
      <c r="B118" s="116" t="s">
        <v>237</v>
      </c>
      <c r="C118" s="201">
        <v>0</v>
      </c>
      <c r="D118" s="248">
        <v>0</v>
      </c>
      <c r="E118" s="185">
        <v>0</v>
      </c>
      <c r="F118" s="117" t="s">
        <v>24</v>
      </c>
      <c r="G118" s="117" t="s">
        <v>24</v>
      </c>
      <c r="H118" s="183" t="s">
        <v>25</v>
      </c>
      <c r="I118" s="12"/>
      <c r="J118" s="12"/>
      <c r="K118" s="12"/>
      <c r="L118" s="20"/>
      <c r="M118" s="12"/>
      <c r="N118" s="12"/>
      <c r="O118" s="21"/>
      <c r="P118" s="21"/>
      <c r="Q118" s="21"/>
    </row>
    <row r="119" spans="2:17" x14ac:dyDescent="0.2">
      <c r="B119" s="38"/>
      <c r="C119" s="113"/>
      <c r="D119" s="56"/>
      <c r="E119" s="58"/>
      <c r="F119" s="112"/>
      <c r="G119" s="112"/>
      <c r="H119" s="112"/>
      <c r="I119" s="12"/>
      <c r="J119" s="12"/>
      <c r="K119" s="12"/>
      <c r="L119" s="20"/>
      <c r="M119" s="12"/>
      <c r="N119" s="12"/>
      <c r="O119" s="21"/>
      <c r="P119" s="21"/>
      <c r="Q119" s="21"/>
    </row>
    <row r="120" spans="2:17" x14ac:dyDescent="0.2">
      <c r="B120" s="137" t="s">
        <v>149</v>
      </c>
      <c r="C120" s="138"/>
      <c r="I120" s="12"/>
      <c r="J120" s="12"/>
      <c r="K120" s="12"/>
      <c r="L120" s="20"/>
      <c r="M120" s="12"/>
      <c r="N120" s="12"/>
      <c r="O120" s="21"/>
      <c r="P120" s="21"/>
      <c r="Q120" s="21"/>
    </row>
    <row r="121" spans="2:17" x14ac:dyDescent="0.2">
      <c r="B121" s="139" t="s">
        <v>6</v>
      </c>
      <c r="C121" s="140" t="s">
        <v>150</v>
      </c>
      <c r="I121" s="12"/>
      <c r="J121" s="12"/>
      <c r="K121" s="12"/>
      <c r="L121" s="20"/>
      <c r="M121" s="12"/>
      <c r="N121" s="12"/>
      <c r="O121" s="21"/>
      <c r="P121" s="21"/>
      <c r="Q121" s="21"/>
    </row>
    <row r="122" spans="2:17" x14ac:dyDescent="0.2">
      <c r="B122" s="139" t="s">
        <v>7</v>
      </c>
      <c r="C122" s="140" t="s">
        <v>150</v>
      </c>
      <c r="I122" s="12"/>
      <c r="J122" s="12"/>
      <c r="K122" s="12"/>
      <c r="L122" s="20"/>
      <c r="M122" s="12"/>
      <c r="N122" s="12"/>
      <c r="O122" s="21"/>
      <c r="P122" s="21"/>
      <c r="Q122" s="21"/>
    </row>
    <row r="123" spans="2:17" x14ac:dyDescent="0.2">
      <c r="B123" s="38"/>
      <c r="C123" s="112"/>
      <c r="I123" s="12"/>
      <c r="J123" s="12"/>
      <c r="K123" s="12"/>
      <c r="L123" s="20"/>
      <c r="M123" s="12"/>
      <c r="N123" s="12"/>
      <c r="O123" s="21"/>
      <c r="P123" s="21"/>
      <c r="Q123" s="21"/>
    </row>
    <row r="124" spans="2:17" x14ac:dyDescent="0.2">
      <c r="B124" s="8" t="s">
        <v>244</v>
      </c>
      <c r="C124" s="11"/>
      <c r="D124" s="11"/>
      <c r="E124" s="11"/>
      <c r="F124" s="11"/>
      <c r="G124" s="9"/>
      <c r="H124" s="322"/>
      <c r="I124" s="12"/>
      <c r="J124" s="12"/>
      <c r="K124" s="12"/>
      <c r="L124" s="12"/>
      <c r="M124" s="12"/>
      <c r="N124" s="12"/>
      <c r="O124" s="21"/>
      <c r="P124" s="21"/>
      <c r="Q124" s="21"/>
    </row>
    <row r="125" spans="2:17" ht="12.75" customHeight="1" x14ac:dyDescent="0.2">
      <c r="B125" s="65" t="s">
        <v>241</v>
      </c>
      <c r="C125" s="151" t="s">
        <v>322</v>
      </c>
      <c r="D125" s="128" t="s">
        <v>242</v>
      </c>
      <c r="E125" s="128" t="s">
        <v>243</v>
      </c>
      <c r="F125" s="128" t="s">
        <v>247</v>
      </c>
      <c r="G125" s="128" t="s">
        <v>248</v>
      </c>
      <c r="H125" s="322"/>
      <c r="I125" s="141"/>
      <c r="J125" s="110"/>
      <c r="K125" s="110"/>
      <c r="L125" s="110"/>
      <c r="M125" s="12"/>
      <c r="N125" s="21"/>
    </row>
    <row r="126" spans="2:17" x14ac:dyDescent="0.2">
      <c r="B126" s="116" t="s">
        <v>61</v>
      </c>
      <c r="C126" s="185">
        <v>90</v>
      </c>
      <c r="D126" s="117" t="s">
        <v>24</v>
      </c>
      <c r="E126" s="117" t="s">
        <v>24</v>
      </c>
      <c r="F126" s="117" t="s">
        <v>24</v>
      </c>
      <c r="G126" s="117" t="s">
        <v>24</v>
      </c>
      <c r="H126" s="172"/>
      <c r="I126" s="110"/>
      <c r="J126" s="110"/>
      <c r="K126" s="110"/>
      <c r="L126" s="110"/>
      <c r="M126" s="12"/>
    </row>
    <row r="127" spans="2:17" ht="12.75" customHeight="1" x14ac:dyDescent="0.2">
      <c r="B127" s="116" t="s">
        <v>62</v>
      </c>
      <c r="C127" s="185">
        <v>1.5</v>
      </c>
      <c r="D127" s="117" t="s">
        <v>24</v>
      </c>
      <c r="E127" s="117" t="s">
        <v>24</v>
      </c>
      <c r="F127" s="117" t="s">
        <v>25</v>
      </c>
      <c r="G127" s="117" t="s">
        <v>25</v>
      </c>
      <c r="H127" s="172"/>
      <c r="I127" s="110"/>
      <c r="J127" s="110"/>
      <c r="K127" s="110"/>
      <c r="L127" s="110"/>
      <c r="M127" s="12"/>
    </row>
    <row r="128" spans="2:17" x14ac:dyDescent="0.2">
      <c r="B128" s="116" t="s">
        <v>63</v>
      </c>
      <c r="C128" s="185">
        <v>0</v>
      </c>
      <c r="D128" s="117" t="s">
        <v>25</v>
      </c>
      <c r="E128" s="117" t="s">
        <v>25</v>
      </c>
      <c r="F128" s="117" t="s">
        <v>25</v>
      </c>
      <c r="G128" s="117" t="s">
        <v>25</v>
      </c>
      <c r="H128" s="172"/>
      <c r="I128" s="110"/>
      <c r="J128" s="110"/>
      <c r="K128" s="110"/>
      <c r="L128" s="110"/>
      <c r="M128" s="12"/>
    </row>
    <row r="129" spans="2:43" x14ac:dyDescent="0.2">
      <c r="B129" s="116" t="s">
        <v>64</v>
      </c>
      <c r="C129" s="185">
        <v>2.5</v>
      </c>
      <c r="D129" s="117" t="s">
        <v>25</v>
      </c>
      <c r="E129" s="117" t="s">
        <v>25</v>
      </c>
      <c r="F129" s="117" t="s">
        <v>25</v>
      </c>
      <c r="G129" s="117" t="s">
        <v>25</v>
      </c>
      <c r="H129" s="172"/>
      <c r="I129" s="110"/>
      <c r="J129" s="110"/>
      <c r="K129" s="110"/>
      <c r="L129" s="110"/>
      <c r="M129" s="12"/>
    </row>
    <row r="130" spans="2:43" x14ac:dyDescent="0.2">
      <c r="B130" s="116" t="s">
        <v>65</v>
      </c>
      <c r="C130" s="185">
        <v>3</v>
      </c>
      <c r="D130" s="117" t="s">
        <v>25</v>
      </c>
      <c r="E130" s="117" t="s">
        <v>25</v>
      </c>
      <c r="F130" s="117" t="s">
        <v>25</v>
      </c>
      <c r="G130" s="117" t="s">
        <v>25</v>
      </c>
      <c r="H130" s="172"/>
      <c r="I130" s="110"/>
      <c r="J130" s="110"/>
      <c r="K130" s="110"/>
      <c r="L130" s="110"/>
      <c r="M130" s="12"/>
    </row>
    <row r="131" spans="2:43" x14ac:dyDescent="0.2">
      <c r="B131" s="116" t="s">
        <v>66</v>
      </c>
      <c r="C131" s="185">
        <v>0</v>
      </c>
      <c r="D131" s="94" t="s">
        <v>25</v>
      </c>
      <c r="E131" s="94" t="s">
        <v>25</v>
      </c>
      <c r="F131" s="94" t="s">
        <v>25</v>
      </c>
      <c r="G131" s="94" t="s">
        <v>25</v>
      </c>
      <c r="H131" s="172"/>
      <c r="I131" s="110"/>
      <c r="J131" s="110"/>
      <c r="K131" s="110"/>
      <c r="L131" s="110"/>
      <c r="M131" s="12"/>
    </row>
    <row r="132" spans="2:43" ht="12" customHeight="1" x14ac:dyDescent="0.2">
      <c r="B132" s="116" t="s">
        <v>277</v>
      </c>
      <c r="C132" s="254">
        <f>100-C133</f>
        <v>3</v>
      </c>
      <c r="D132" s="326">
        <v>0</v>
      </c>
      <c r="E132" s="326">
        <v>0</v>
      </c>
      <c r="F132" s="323"/>
      <c r="G132" s="323"/>
      <c r="H132" s="172"/>
      <c r="I132" s="110"/>
      <c r="J132" s="110"/>
      <c r="K132" s="110"/>
      <c r="L132" s="110"/>
      <c r="M132" s="12"/>
    </row>
    <row r="133" spans="2:43" x14ac:dyDescent="0.2">
      <c r="B133" s="116" t="s">
        <v>18</v>
      </c>
      <c r="C133" s="254">
        <f>SUM(C126:C131)</f>
        <v>97</v>
      </c>
      <c r="D133" s="325"/>
      <c r="E133" s="12"/>
      <c r="F133" s="12"/>
      <c r="G133" s="324"/>
      <c r="H133" s="172"/>
      <c r="I133" s="110"/>
      <c r="J133" s="110"/>
      <c r="K133" s="110"/>
      <c r="L133" s="110"/>
      <c r="M133" s="12"/>
    </row>
    <row r="134" spans="2:43" x14ac:dyDescent="0.2">
      <c r="D134" s="110"/>
      <c r="E134" s="142"/>
      <c r="F134" s="110"/>
      <c r="G134" s="110"/>
      <c r="H134" s="110"/>
      <c r="I134" s="110"/>
      <c r="J134" s="110"/>
      <c r="K134" s="110"/>
      <c r="L134" s="110"/>
      <c r="M134" s="12"/>
    </row>
    <row r="135" spans="2:43" x14ac:dyDescent="0.2">
      <c r="B135" s="8" t="s">
        <v>276</v>
      </c>
      <c r="C135" s="11"/>
      <c r="D135" s="320"/>
      <c r="E135" s="321"/>
      <c r="F135" s="320"/>
      <c r="G135" s="320"/>
      <c r="H135" s="320"/>
      <c r="I135" s="320"/>
      <c r="J135" s="320"/>
      <c r="K135" s="320"/>
      <c r="L135" s="320"/>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296" t="s">
        <v>275</v>
      </c>
      <c r="C136" s="341"/>
      <c r="D136" s="341"/>
      <c r="E136" s="341"/>
      <c r="F136" s="341"/>
      <c r="G136" s="341"/>
      <c r="H136" s="341"/>
      <c r="I136" s="341"/>
      <c r="J136" s="341"/>
      <c r="K136" s="341"/>
      <c r="L136" s="341"/>
      <c r="M136" s="341"/>
      <c r="N136" s="341"/>
      <c r="O136" s="341"/>
      <c r="P136" s="341"/>
      <c r="Q136" s="341"/>
      <c r="R136" s="341"/>
      <c r="S136" s="341"/>
      <c r="T136" s="341"/>
      <c r="U136" s="341"/>
      <c r="V136" s="341"/>
      <c r="W136" s="341"/>
      <c r="X136" s="341"/>
      <c r="Y136" s="341"/>
      <c r="Z136" s="341"/>
      <c r="AA136" s="341"/>
      <c r="AB136" s="341"/>
      <c r="AC136" s="341"/>
      <c r="AD136" s="341"/>
      <c r="AE136" s="341"/>
      <c r="AF136" s="341"/>
      <c r="AG136" s="341"/>
      <c r="AH136" s="341"/>
      <c r="AI136" s="341"/>
      <c r="AJ136" s="341"/>
      <c r="AK136" s="341"/>
      <c r="AL136" s="341"/>
      <c r="AM136" s="341"/>
      <c r="AN136" s="341"/>
      <c r="AO136" s="341"/>
      <c r="AP136" s="341"/>
      <c r="AQ136" s="341"/>
    </row>
    <row r="137" spans="2:43" x14ac:dyDescent="0.2">
      <c r="B137" s="296" t="s">
        <v>302</v>
      </c>
      <c r="C137" s="345"/>
      <c r="D137" s="345"/>
      <c r="E137" s="345"/>
      <c r="F137" s="345"/>
      <c r="G137" s="345"/>
      <c r="H137" s="345"/>
      <c r="I137" s="345"/>
      <c r="J137" s="345"/>
      <c r="K137" s="345"/>
      <c r="L137" s="345"/>
      <c r="M137" s="345"/>
      <c r="N137" s="345"/>
      <c r="O137" s="345"/>
      <c r="P137" s="345"/>
      <c r="Q137" s="345"/>
      <c r="R137" s="345"/>
      <c r="S137" s="345"/>
      <c r="T137" s="345"/>
      <c r="U137" s="345"/>
      <c r="V137" s="345"/>
      <c r="W137" s="345"/>
      <c r="X137" s="345"/>
      <c r="Y137" s="345"/>
      <c r="Z137" s="345"/>
      <c r="AA137" s="345"/>
      <c r="AB137" s="345"/>
      <c r="AC137" s="345"/>
      <c r="AD137" s="345"/>
      <c r="AE137" s="345"/>
      <c r="AF137" s="345"/>
      <c r="AG137" s="345"/>
      <c r="AH137" s="345"/>
      <c r="AI137" s="345"/>
      <c r="AJ137" s="345"/>
      <c r="AK137" s="345"/>
      <c r="AL137" s="345"/>
      <c r="AM137" s="345"/>
      <c r="AN137" s="345"/>
      <c r="AO137" s="345"/>
      <c r="AP137" s="345"/>
      <c r="AQ137" s="345"/>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09"/>
      <c r="J140" s="12"/>
      <c r="K140" s="12"/>
      <c r="L140" s="12"/>
      <c r="M140" s="12"/>
    </row>
    <row r="141" spans="2:43" x14ac:dyDescent="0.2">
      <c r="I141" s="109"/>
      <c r="J141" s="12"/>
      <c r="K141" s="12"/>
      <c r="L141" s="12"/>
      <c r="M141" s="12"/>
    </row>
    <row r="142" spans="2:43" x14ac:dyDescent="0.2">
      <c r="I142" s="109"/>
      <c r="J142" s="12"/>
      <c r="K142" s="12"/>
      <c r="L142" s="12"/>
      <c r="M142" s="12"/>
    </row>
    <row r="143" spans="2:43" x14ac:dyDescent="0.2">
      <c r="I143" s="109"/>
      <c r="J143" s="12"/>
      <c r="K143" s="12"/>
      <c r="L143" s="12"/>
      <c r="M143" s="12"/>
    </row>
    <row r="144" spans="2:43" x14ac:dyDescent="0.2">
      <c r="I144" s="111"/>
      <c r="J144" s="12"/>
      <c r="K144" s="12"/>
      <c r="L144" s="12"/>
      <c r="M144" s="12"/>
    </row>
    <row r="145" spans="4:13" x14ac:dyDescent="0.2">
      <c r="I145" s="109"/>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tabSelected="1" zoomScale="90" zoomScaleNormal="90" workbookViewId="0">
      <pane xSplit="1" ySplit="2" topLeftCell="B480" activePane="bottomRight" state="frozen"/>
      <selection pane="topRight" activeCell="B1" sqref="B1"/>
      <selection pane="bottomLeft" activeCell="A3" sqref="A3"/>
      <selection pane="bottomRight" activeCell="D560" sqref="D560"/>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x14ac:dyDescent="0.35">
      <c r="A1" s="26" t="s">
        <v>316</v>
      </c>
    </row>
    <row r="2" spans="1:42" x14ac:dyDescent="0.2">
      <c r="A2" s="11" t="s">
        <v>3</v>
      </c>
      <c r="B2" s="27">
        <v>0</v>
      </c>
      <c r="C2" s="27">
        <f t="shared" ref="C2:AP2" si="0">IF(B2="","",IF(B2+1&lt;=analysis_period,B2+1,""))</f>
        <v>1</v>
      </c>
      <c r="D2" s="27">
        <f t="shared" si="0"/>
        <v>2</v>
      </c>
      <c r="E2" s="27">
        <f t="shared" si="0"/>
        <v>3</v>
      </c>
      <c r="F2" s="27">
        <f t="shared" si="0"/>
        <v>4</v>
      </c>
      <c r="G2" s="27">
        <f t="shared" si="0"/>
        <v>5</v>
      </c>
      <c r="H2" s="27">
        <f t="shared" si="0"/>
        <v>6</v>
      </c>
      <c r="I2" s="27">
        <f t="shared" si="0"/>
        <v>7</v>
      </c>
      <c r="J2" s="27">
        <f t="shared" si="0"/>
        <v>8</v>
      </c>
      <c r="K2" s="27">
        <f t="shared" si="0"/>
        <v>9</v>
      </c>
      <c r="L2" s="27">
        <f t="shared" si="0"/>
        <v>10</v>
      </c>
      <c r="M2" s="27">
        <f t="shared" si="0"/>
        <v>11</v>
      </c>
      <c r="N2" s="27">
        <f t="shared" si="0"/>
        <v>12</v>
      </c>
      <c r="O2" s="27">
        <f t="shared" si="0"/>
        <v>13</v>
      </c>
      <c r="P2" s="27">
        <f t="shared" si="0"/>
        <v>14</v>
      </c>
      <c r="Q2" s="27">
        <f t="shared" si="0"/>
        <v>15</v>
      </c>
      <c r="R2" s="27">
        <f t="shared" si="0"/>
        <v>16</v>
      </c>
      <c r="S2" s="27">
        <f t="shared" si="0"/>
        <v>17</v>
      </c>
      <c r="T2" s="27">
        <f t="shared" si="0"/>
        <v>18</v>
      </c>
      <c r="U2" s="27">
        <f t="shared" si="0"/>
        <v>19</v>
      </c>
      <c r="V2" s="27">
        <f t="shared" si="0"/>
        <v>20</v>
      </c>
      <c r="W2" s="27">
        <f t="shared" si="0"/>
        <v>21</v>
      </c>
      <c r="X2" s="27">
        <f t="shared" si="0"/>
        <v>22</v>
      </c>
      <c r="Y2" s="27">
        <f t="shared" si="0"/>
        <v>23</v>
      </c>
      <c r="Z2" s="27">
        <f t="shared" si="0"/>
        <v>24</v>
      </c>
      <c r="AA2" s="27">
        <f t="shared" si="0"/>
        <v>25</v>
      </c>
      <c r="AB2" s="27" t="str">
        <f t="shared" si="0"/>
        <v/>
      </c>
      <c r="AC2" s="27" t="str">
        <f t="shared" si="0"/>
        <v/>
      </c>
      <c r="AD2" s="27" t="str">
        <f t="shared" si="0"/>
        <v/>
      </c>
      <c r="AE2" s="27" t="str">
        <f t="shared" si="0"/>
        <v/>
      </c>
      <c r="AF2" s="27" t="str">
        <f t="shared" si="0"/>
        <v/>
      </c>
      <c r="AG2" s="27" t="str">
        <f t="shared" si="0"/>
        <v/>
      </c>
      <c r="AH2" s="27" t="str">
        <f t="shared" si="0"/>
        <v/>
      </c>
      <c r="AI2" s="27" t="str">
        <f t="shared" si="0"/>
        <v/>
      </c>
      <c r="AJ2" s="27" t="str">
        <f t="shared" si="0"/>
        <v/>
      </c>
      <c r="AK2" s="27" t="str">
        <f t="shared" si="0"/>
        <v/>
      </c>
      <c r="AL2" s="27" t="str">
        <f t="shared" si="0"/>
        <v/>
      </c>
      <c r="AM2" s="27" t="str">
        <f t="shared" si="0"/>
        <v/>
      </c>
      <c r="AN2" s="27" t="str">
        <f t="shared" si="0"/>
        <v/>
      </c>
      <c r="AO2" s="27" t="str">
        <f t="shared" si="0"/>
        <v/>
      </c>
      <c r="AP2" s="27" t="str">
        <f t="shared" si="0"/>
        <v/>
      </c>
    </row>
    <row r="3" spans="1:42" x14ac:dyDescent="0.2">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row>
    <row r="4" spans="1:42" s="21" customFormat="1" x14ac:dyDescent="0.2">
      <c r="A4" s="154" t="s">
        <v>12</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9" t="s">
        <v>271</v>
      </c>
      <c r="B5" s="344"/>
      <c r="C5" s="250">
        <f t="array" ref="C5:AP5">Inputs!D136:AQ136</f>
        <v>0</v>
      </c>
      <c r="D5" s="250">
        <v>0</v>
      </c>
      <c r="E5" s="250">
        <v>0</v>
      </c>
      <c r="F5" s="250">
        <v>0</v>
      </c>
      <c r="G5" s="250">
        <v>0</v>
      </c>
      <c r="H5" s="250">
        <v>0</v>
      </c>
      <c r="I5" s="250">
        <v>0</v>
      </c>
      <c r="J5" s="250">
        <v>0</v>
      </c>
      <c r="K5" s="250">
        <v>0</v>
      </c>
      <c r="L5" s="250">
        <v>0</v>
      </c>
      <c r="M5" s="250">
        <v>0</v>
      </c>
      <c r="N5" s="250">
        <v>0</v>
      </c>
      <c r="O5" s="250">
        <v>0</v>
      </c>
      <c r="P5" s="250">
        <v>0</v>
      </c>
      <c r="Q5" s="250">
        <v>0</v>
      </c>
      <c r="R5" s="250">
        <v>0</v>
      </c>
      <c r="S5" s="250">
        <v>0</v>
      </c>
      <c r="T5" s="250">
        <v>0</v>
      </c>
      <c r="U5" s="250">
        <v>0</v>
      </c>
      <c r="V5" s="250">
        <v>0</v>
      </c>
      <c r="W5" s="250">
        <v>0</v>
      </c>
      <c r="X5" s="250">
        <v>0</v>
      </c>
      <c r="Y5" s="250">
        <v>0</v>
      </c>
      <c r="Z5" s="250">
        <v>0</v>
      </c>
      <c r="AA5" s="250">
        <v>0</v>
      </c>
      <c r="AB5" s="250">
        <v>0</v>
      </c>
      <c r="AC5" s="250">
        <v>0</v>
      </c>
      <c r="AD5" s="250">
        <v>0</v>
      </c>
      <c r="AE5" s="250">
        <v>0</v>
      </c>
      <c r="AF5" s="250">
        <v>0</v>
      </c>
      <c r="AG5" s="250">
        <v>0</v>
      </c>
      <c r="AH5" s="250">
        <v>0</v>
      </c>
      <c r="AI5" s="250">
        <v>0</v>
      </c>
      <c r="AJ5" s="250">
        <v>0</v>
      </c>
      <c r="AK5" s="250">
        <v>0</v>
      </c>
      <c r="AL5" s="250">
        <v>0</v>
      </c>
      <c r="AM5" s="250">
        <v>0</v>
      </c>
      <c r="AN5" s="250">
        <v>0</v>
      </c>
      <c r="AO5" s="250">
        <v>0</v>
      </c>
      <c r="AP5" s="250">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4" t="s">
        <v>125</v>
      </c>
      <c r="B7" s="11"/>
      <c r="C7" s="357"/>
      <c r="D7" s="357"/>
      <c r="E7" s="357"/>
      <c r="F7" s="357"/>
      <c r="G7" s="357"/>
      <c r="H7" s="357"/>
      <c r="I7" s="357"/>
      <c r="J7" s="358"/>
      <c r="K7" s="358"/>
      <c r="L7" s="358"/>
      <c r="M7" s="358"/>
      <c r="N7" s="358"/>
      <c r="O7" s="358"/>
      <c r="P7" s="358"/>
      <c r="Q7" s="358"/>
      <c r="R7" s="358"/>
      <c r="S7" s="358"/>
      <c r="T7" s="358"/>
      <c r="U7" s="358"/>
      <c r="V7" s="358"/>
      <c r="W7" s="358"/>
      <c r="X7" s="358"/>
      <c r="Y7" s="358"/>
      <c r="Z7" s="358"/>
      <c r="AA7" s="358"/>
      <c r="AB7" s="358"/>
      <c r="AC7" s="358"/>
      <c r="AD7" s="358"/>
      <c r="AE7" s="358"/>
      <c r="AF7" s="358"/>
      <c r="AG7" s="358"/>
      <c r="AH7" s="358"/>
      <c r="AI7" s="358"/>
      <c r="AJ7" s="358"/>
      <c r="AK7" s="358"/>
      <c r="AL7" s="358"/>
      <c r="AM7" s="358"/>
      <c r="AN7" s="358"/>
      <c r="AO7" s="358"/>
      <c r="AP7" s="358"/>
    </row>
    <row r="8" spans="1:42" x14ac:dyDescent="0.2">
      <c r="A8" s="31" t="s">
        <v>28</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29</v>
      </c>
      <c r="C9" s="25"/>
      <c r="D9" s="32"/>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3" t="s">
        <v>13</v>
      </c>
      <c r="C10" s="250">
        <f>C5</f>
        <v>0</v>
      </c>
      <c r="D10" s="250">
        <f t="shared" ref="D10:AP10" si="1">D5</f>
        <v>0</v>
      </c>
      <c r="E10" s="250">
        <f t="shared" si="1"/>
        <v>0</v>
      </c>
      <c r="F10" s="250">
        <f t="shared" si="1"/>
        <v>0</v>
      </c>
      <c r="G10" s="250">
        <f t="shared" si="1"/>
        <v>0</v>
      </c>
      <c r="H10" s="250">
        <f t="shared" si="1"/>
        <v>0</v>
      </c>
      <c r="I10" s="250">
        <f t="shared" si="1"/>
        <v>0</v>
      </c>
      <c r="J10" s="250">
        <f t="shared" si="1"/>
        <v>0</v>
      </c>
      <c r="K10" s="250">
        <f t="shared" si="1"/>
        <v>0</v>
      </c>
      <c r="L10" s="250">
        <f t="shared" si="1"/>
        <v>0</v>
      </c>
      <c r="M10" s="250">
        <f t="shared" si="1"/>
        <v>0</v>
      </c>
      <c r="N10" s="250">
        <f t="shared" si="1"/>
        <v>0</v>
      </c>
      <c r="O10" s="250">
        <f t="shared" si="1"/>
        <v>0</v>
      </c>
      <c r="P10" s="250">
        <f t="shared" si="1"/>
        <v>0</v>
      </c>
      <c r="Q10" s="250">
        <f t="shared" si="1"/>
        <v>0</v>
      </c>
      <c r="R10" s="250">
        <f t="shared" si="1"/>
        <v>0</v>
      </c>
      <c r="S10" s="250">
        <f t="shared" si="1"/>
        <v>0</v>
      </c>
      <c r="T10" s="250">
        <f t="shared" si="1"/>
        <v>0</v>
      </c>
      <c r="U10" s="250">
        <f t="shared" si="1"/>
        <v>0</v>
      </c>
      <c r="V10" s="250">
        <f t="shared" si="1"/>
        <v>0</v>
      </c>
      <c r="W10" s="250">
        <f t="shared" si="1"/>
        <v>0</v>
      </c>
      <c r="X10" s="250">
        <f t="shared" si="1"/>
        <v>0</v>
      </c>
      <c r="Y10" s="250">
        <f t="shared" si="1"/>
        <v>0</v>
      </c>
      <c r="Z10" s="250">
        <f t="shared" si="1"/>
        <v>0</v>
      </c>
      <c r="AA10" s="250">
        <f t="shared" si="1"/>
        <v>0</v>
      </c>
      <c r="AB10" s="250">
        <f t="shared" si="1"/>
        <v>0</v>
      </c>
      <c r="AC10" s="250">
        <f t="shared" si="1"/>
        <v>0</v>
      </c>
      <c r="AD10" s="250">
        <f t="shared" si="1"/>
        <v>0</v>
      </c>
      <c r="AE10" s="250">
        <f t="shared" si="1"/>
        <v>0</v>
      </c>
      <c r="AF10" s="250">
        <f t="shared" si="1"/>
        <v>0</v>
      </c>
      <c r="AG10" s="250">
        <f t="shared" si="1"/>
        <v>0</v>
      </c>
      <c r="AH10" s="250">
        <f t="shared" si="1"/>
        <v>0</v>
      </c>
      <c r="AI10" s="250">
        <f t="shared" si="1"/>
        <v>0</v>
      </c>
      <c r="AJ10" s="250">
        <f t="shared" si="1"/>
        <v>0</v>
      </c>
      <c r="AK10" s="250">
        <f t="shared" si="1"/>
        <v>0</v>
      </c>
      <c r="AL10" s="250">
        <f t="shared" si="1"/>
        <v>0</v>
      </c>
      <c r="AM10" s="250">
        <f t="shared" si="1"/>
        <v>0</v>
      </c>
      <c r="AN10" s="250">
        <f t="shared" si="1"/>
        <v>0</v>
      </c>
      <c r="AO10" s="250">
        <f t="shared" si="1"/>
        <v>0</v>
      </c>
      <c r="AP10" s="250">
        <f t="shared" si="1"/>
        <v>0</v>
      </c>
    </row>
    <row r="11" spans="1:42" x14ac:dyDescent="0.2">
      <c r="A11" s="33" t="s">
        <v>14</v>
      </c>
      <c r="C11" s="256">
        <f t="array" ref="C11:AP11">Inputs!D137:AQ137</f>
        <v>0</v>
      </c>
      <c r="D11" s="256">
        <v>0</v>
      </c>
      <c r="E11" s="256">
        <v>0</v>
      </c>
      <c r="F11" s="256">
        <v>0</v>
      </c>
      <c r="G11" s="256">
        <v>0</v>
      </c>
      <c r="H11" s="256">
        <v>0</v>
      </c>
      <c r="I11" s="256">
        <v>0</v>
      </c>
      <c r="J11" s="256">
        <v>0</v>
      </c>
      <c r="K11" s="256">
        <v>0</v>
      </c>
      <c r="L11" s="256">
        <v>0</v>
      </c>
      <c r="M11" s="256">
        <v>0</v>
      </c>
      <c r="N11" s="256">
        <v>0</v>
      </c>
      <c r="O11" s="256">
        <v>0</v>
      </c>
      <c r="P11" s="256">
        <v>0</v>
      </c>
      <c r="Q11" s="256">
        <v>0</v>
      </c>
      <c r="R11" s="256">
        <v>0</v>
      </c>
      <c r="S11" s="256">
        <v>0</v>
      </c>
      <c r="T11" s="256">
        <v>0</v>
      </c>
      <c r="U11" s="256">
        <v>0</v>
      </c>
      <c r="V11" s="256">
        <v>0</v>
      </c>
      <c r="W11" s="256">
        <v>0</v>
      </c>
      <c r="X11" s="256">
        <v>0</v>
      </c>
      <c r="Y11" s="256">
        <v>0</v>
      </c>
      <c r="Z11" s="256">
        <v>0</v>
      </c>
      <c r="AA11" s="256">
        <v>0</v>
      </c>
      <c r="AB11" s="256">
        <v>0</v>
      </c>
      <c r="AC11" s="256">
        <v>0</v>
      </c>
      <c r="AD11" s="256">
        <v>0</v>
      </c>
      <c r="AE11" s="256">
        <v>0</v>
      </c>
      <c r="AF11" s="256">
        <v>0</v>
      </c>
      <c r="AG11" s="256">
        <v>0</v>
      </c>
      <c r="AH11" s="256">
        <v>0</v>
      </c>
      <c r="AI11" s="256">
        <v>0</v>
      </c>
      <c r="AJ11" s="256">
        <v>0</v>
      </c>
      <c r="AK11" s="256">
        <v>0</v>
      </c>
      <c r="AL11" s="256">
        <v>0</v>
      </c>
      <c r="AM11" s="256">
        <v>0</v>
      </c>
      <c r="AN11" s="256">
        <v>0</v>
      </c>
      <c r="AO11" s="256">
        <v>0</v>
      </c>
      <c r="AP11" s="256">
        <v>0</v>
      </c>
    </row>
    <row r="12" spans="1:42" x14ac:dyDescent="0.2">
      <c r="A12" s="33" t="s">
        <v>27</v>
      </c>
      <c r="C12" s="250">
        <f>IF(C2&lt;=analysis_period,C10*C11/100,0)</f>
        <v>0</v>
      </c>
      <c r="D12" s="250">
        <f t="shared" ref="D12:AP12" si="2">IF(D2&lt;=analysis_period,D10*D11/100,0)</f>
        <v>0</v>
      </c>
      <c r="E12" s="250">
        <f t="shared" si="2"/>
        <v>0</v>
      </c>
      <c r="F12" s="250">
        <f t="shared" si="2"/>
        <v>0</v>
      </c>
      <c r="G12" s="250">
        <f t="shared" si="2"/>
        <v>0</v>
      </c>
      <c r="H12" s="250">
        <f t="shared" si="2"/>
        <v>0</v>
      </c>
      <c r="I12" s="250">
        <f t="shared" si="2"/>
        <v>0</v>
      </c>
      <c r="J12" s="250">
        <f t="shared" si="2"/>
        <v>0</v>
      </c>
      <c r="K12" s="250">
        <f t="shared" si="2"/>
        <v>0</v>
      </c>
      <c r="L12" s="250">
        <f t="shared" si="2"/>
        <v>0</v>
      </c>
      <c r="M12" s="250">
        <f t="shared" si="2"/>
        <v>0</v>
      </c>
      <c r="N12" s="250">
        <f t="shared" si="2"/>
        <v>0</v>
      </c>
      <c r="O12" s="250">
        <f t="shared" si="2"/>
        <v>0</v>
      </c>
      <c r="P12" s="250">
        <f t="shared" si="2"/>
        <v>0</v>
      </c>
      <c r="Q12" s="250">
        <f t="shared" si="2"/>
        <v>0</v>
      </c>
      <c r="R12" s="250">
        <f t="shared" si="2"/>
        <v>0</v>
      </c>
      <c r="S12" s="250">
        <f t="shared" si="2"/>
        <v>0</v>
      </c>
      <c r="T12" s="250">
        <f t="shared" si="2"/>
        <v>0</v>
      </c>
      <c r="U12" s="250">
        <f t="shared" si="2"/>
        <v>0</v>
      </c>
      <c r="V12" s="250">
        <f t="shared" si="2"/>
        <v>0</v>
      </c>
      <c r="W12" s="250">
        <f t="shared" si="2"/>
        <v>0</v>
      </c>
      <c r="X12" s="250">
        <f t="shared" si="2"/>
        <v>0</v>
      </c>
      <c r="Y12" s="250">
        <f t="shared" si="2"/>
        <v>0</v>
      </c>
      <c r="Z12" s="250">
        <f t="shared" si="2"/>
        <v>0</v>
      </c>
      <c r="AA12" s="250">
        <f t="shared" si="2"/>
        <v>0</v>
      </c>
      <c r="AB12" s="250">
        <f t="shared" si="2"/>
        <v>0</v>
      </c>
      <c r="AC12" s="250">
        <f t="shared" si="2"/>
        <v>0</v>
      </c>
      <c r="AD12" s="250">
        <f t="shared" si="2"/>
        <v>0</v>
      </c>
      <c r="AE12" s="250">
        <f t="shared" si="2"/>
        <v>0</v>
      </c>
      <c r="AF12" s="250">
        <f t="shared" si="2"/>
        <v>0</v>
      </c>
      <c r="AG12" s="250">
        <f t="shared" si="2"/>
        <v>0</v>
      </c>
      <c r="AH12" s="250">
        <f t="shared" si="2"/>
        <v>0</v>
      </c>
      <c r="AI12" s="250">
        <f t="shared" si="2"/>
        <v>0</v>
      </c>
      <c r="AJ12" s="250">
        <f t="shared" si="2"/>
        <v>0</v>
      </c>
      <c r="AK12" s="250">
        <f t="shared" si="2"/>
        <v>0</v>
      </c>
      <c r="AL12" s="250">
        <f t="shared" si="2"/>
        <v>0</v>
      </c>
      <c r="AM12" s="250">
        <f t="shared" si="2"/>
        <v>0</v>
      </c>
      <c r="AN12" s="250">
        <f t="shared" si="2"/>
        <v>0</v>
      </c>
      <c r="AO12" s="250">
        <f t="shared" si="2"/>
        <v>0</v>
      </c>
      <c r="AP12" s="250">
        <f t="shared" si="2"/>
        <v>0</v>
      </c>
    </row>
    <row r="13" spans="1:42" x14ac:dyDescent="0.2">
      <c r="A13" s="7" t="s">
        <v>30</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3" t="str">
        <f>Inputs!B110</f>
        <v>Federal ($/W)</v>
      </c>
      <c r="C14" s="195">
        <f t="shared" ref="C14:AP14" si="3">IF(pbi_fed_for_ds="Yes",C514,0)</f>
        <v>0</v>
      </c>
      <c r="D14" s="195">
        <f t="shared" si="3"/>
        <v>0</v>
      </c>
      <c r="E14" s="195">
        <f t="shared" si="3"/>
        <v>0</v>
      </c>
      <c r="F14" s="195">
        <f t="shared" si="3"/>
        <v>0</v>
      </c>
      <c r="G14" s="195">
        <f t="shared" si="3"/>
        <v>0</v>
      </c>
      <c r="H14" s="195">
        <f t="shared" si="3"/>
        <v>0</v>
      </c>
      <c r="I14" s="195">
        <f t="shared" si="3"/>
        <v>0</v>
      </c>
      <c r="J14" s="195">
        <f t="shared" si="3"/>
        <v>0</v>
      </c>
      <c r="K14" s="195">
        <f t="shared" si="3"/>
        <v>0</v>
      </c>
      <c r="L14" s="195">
        <f t="shared" si="3"/>
        <v>0</v>
      </c>
      <c r="M14" s="195">
        <f t="shared" si="3"/>
        <v>0</v>
      </c>
      <c r="N14" s="195">
        <f t="shared" si="3"/>
        <v>0</v>
      </c>
      <c r="O14" s="195">
        <f t="shared" si="3"/>
        <v>0</v>
      </c>
      <c r="P14" s="195">
        <f t="shared" si="3"/>
        <v>0</v>
      </c>
      <c r="Q14" s="195">
        <f t="shared" si="3"/>
        <v>0</v>
      </c>
      <c r="R14" s="195">
        <f t="shared" si="3"/>
        <v>0</v>
      </c>
      <c r="S14" s="195">
        <f t="shared" si="3"/>
        <v>0</v>
      </c>
      <c r="T14" s="195">
        <f t="shared" si="3"/>
        <v>0</v>
      </c>
      <c r="U14" s="195">
        <f t="shared" si="3"/>
        <v>0</v>
      </c>
      <c r="V14" s="195">
        <f t="shared" si="3"/>
        <v>0</v>
      </c>
      <c r="W14" s="195">
        <f t="shared" si="3"/>
        <v>0</v>
      </c>
      <c r="X14" s="195">
        <f t="shared" si="3"/>
        <v>0</v>
      </c>
      <c r="Y14" s="195">
        <f t="shared" si="3"/>
        <v>0</v>
      </c>
      <c r="Z14" s="195">
        <f t="shared" si="3"/>
        <v>0</v>
      </c>
      <c r="AA14" s="195">
        <f t="shared" si="3"/>
        <v>0</v>
      </c>
      <c r="AB14" s="195">
        <f t="shared" si="3"/>
        <v>0</v>
      </c>
      <c r="AC14" s="195">
        <f t="shared" si="3"/>
        <v>0</v>
      </c>
      <c r="AD14" s="195">
        <f t="shared" si="3"/>
        <v>0</v>
      </c>
      <c r="AE14" s="195">
        <f t="shared" si="3"/>
        <v>0</v>
      </c>
      <c r="AF14" s="195">
        <f t="shared" si="3"/>
        <v>0</v>
      </c>
      <c r="AG14" s="195">
        <f t="shared" si="3"/>
        <v>0</v>
      </c>
      <c r="AH14" s="195">
        <f t="shared" si="3"/>
        <v>0</v>
      </c>
      <c r="AI14" s="195">
        <f t="shared" si="3"/>
        <v>0</v>
      </c>
      <c r="AJ14" s="195">
        <f t="shared" si="3"/>
        <v>0</v>
      </c>
      <c r="AK14" s="195">
        <f t="shared" si="3"/>
        <v>0</v>
      </c>
      <c r="AL14" s="195">
        <f t="shared" si="3"/>
        <v>0</v>
      </c>
      <c r="AM14" s="195">
        <f t="shared" si="3"/>
        <v>0</v>
      </c>
      <c r="AN14" s="195">
        <f t="shared" si="3"/>
        <v>0</v>
      </c>
      <c r="AO14" s="195">
        <f t="shared" si="3"/>
        <v>0</v>
      </c>
      <c r="AP14" s="195">
        <f t="shared" si="3"/>
        <v>0</v>
      </c>
    </row>
    <row r="15" spans="1:42" x14ac:dyDescent="0.2">
      <c r="A15" s="33" t="str">
        <f>Inputs!B111</f>
        <v>State ($/W)</v>
      </c>
      <c r="C15" s="195">
        <f t="shared" ref="C15:AP15" si="4">IF(pbi_sta_for_ds="Yes",C518,0)</f>
        <v>0</v>
      </c>
      <c r="D15" s="195">
        <f t="shared" si="4"/>
        <v>0</v>
      </c>
      <c r="E15" s="195">
        <f t="shared" si="4"/>
        <v>0</v>
      </c>
      <c r="F15" s="195">
        <f t="shared" si="4"/>
        <v>0</v>
      </c>
      <c r="G15" s="195">
        <f t="shared" si="4"/>
        <v>0</v>
      </c>
      <c r="H15" s="195">
        <f t="shared" si="4"/>
        <v>0</v>
      </c>
      <c r="I15" s="195">
        <f t="shared" si="4"/>
        <v>0</v>
      </c>
      <c r="J15" s="195">
        <f t="shared" si="4"/>
        <v>0</v>
      </c>
      <c r="K15" s="195">
        <f t="shared" si="4"/>
        <v>0</v>
      </c>
      <c r="L15" s="195">
        <f t="shared" si="4"/>
        <v>0</v>
      </c>
      <c r="M15" s="195">
        <f t="shared" si="4"/>
        <v>0</v>
      </c>
      <c r="N15" s="195">
        <f t="shared" si="4"/>
        <v>0</v>
      </c>
      <c r="O15" s="195">
        <f t="shared" si="4"/>
        <v>0</v>
      </c>
      <c r="P15" s="195">
        <f t="shared" si="4"/>
        <v>0</v>
      </c>
      <c r="Q15" s="195">
        <f t="shared" si="4"/>
        <v>0</v>
      </c>
      <c r="R15" s="195">
        <f t="shared" si="4"/>
        <v>0</v>
      </c>
      <c r="S15" s="195">
        <f t="shared" si="4"/>
        <v>0</v>
      </c>
      <c r="T15" s="195">
        <f t="shared" si="4"/>
        <v>0</v>
      </c>
      <c r="U15" s="195">
        <f t="shared" si="4"/>
        <v>0</v>
      </c>
      <c r="V15" s="195">
        <f t="shared" si="4"/>
        <v>0</v>
      </c>
      <c r="W15" s="195">
        <f t="shared" si="4"/>
        <v>0</v>
      </c>
      <c r="X15" s="195">
        <f t="shared" si="4"/>
        <v>0</v>
      </c>
      <c r="Y15" s="195">
        <f t="shared" si="4"/>
        <v>0</v>
      </c>
      <c r="Z15" s="195">
        <f t="shared" si="4"/>
        <v>0</v>
      </c>
      <c r="AA15" s="195">
        <f t="shared" si="4"/>
        <v>0</v>
      </c>
      <c r="AB15" s="195">
        <f t="shared" si="4"/>
        <v>0</v>
      </c>
      <c r="AC15" s="195">
        <f t="shared" si="4"/>
        <v>0</v>
      </c>
      <c r="AD15" s="195">
        <f t="shared" si="4"/>
        <v>0</v>
      </c>
      <c r="AE15" s="195">
        <f t="shared" si="4"/>
        <v>0</v>
      </c>
      <c r="AF15" s="195">
        <f t="shared" si="4"/>
        <v>0</v>
      </c>
      <c r="AG15" s="195">
        <f t="shared" si="4"/>
        <v>0</v>
      </c>
      <c r="AH15" s="195">
        <f t="shared" si="4"/>
        <v>0</v>
      </c>
      <c r="AI15" s="195">
        <f t="shared" si="4"/>
        <v>0</v>
      </c>
      <c r="AJ15" s="195">
        <f t="shared" si="4"/>
        <v>0</v>
      </c>
      <c r="AK15" s="195">
        <f t="shared" si="4"/>
        <v>0</v>
      </c>
      <c r="AL15" s="195">
        <f t="shared" si="4"/>
        <v>0</v>
      </c>
      <c r="AM15" s="195">
        <f t="shared" si="4"/>
        <v>0</v>
      </c>
      <c r="AN15" s="195">
        <f t="shared" si="4"/>
        <v>0</v>
      </c>
      <c r="AO15" s="195">
        <f t="shared" si="4"/>
        <v>0</v>
      </c>
      <c r="AP15" s="195">
        <f t="shared" si="4"/>
        <v>0</v>
      </c>
    </row>
    <row r="16" spans="1:42" x14ac:dyDescent="0.2">
      <c r="A16" s="33" t="str">
        <f>Inputs!B112</f>
        <v>Utility ($/W)</v>
      </c>
      <c r="C16" s="195">
        <f t="shared" ref="C16:AP16" si="5">IF(pbi_uti_for_ds="Yes",C522,0)</f>
        <v>0</v>
      </c>
      <c r="D16" s="195">
        <f t="shared" si="5"/>
        <v>0</v>
      </c>
      <c r="E16" s="195">
        <f t="shared" si="5"/>
        <v>0</v>
      </c>
      <c r="F16" s="195">
        <f t="shared" si="5"/>
        <v>0</v>
      </c>
      <c r="G16" s="195">
        <f t="shared" si="5"/>
        <v>0</v>
      </c>
      <c r="H16" s="195">
        <f t="shared" si="5"/>
        <v>0</v>
      </c>
      <c r="I16" s="195">
        <f t="shared" si="5"/>
        <v>0</v>
      </c>
      <c r="J16" s="195">
        <f t="shared" si="5"/>
        <v>0</v>
      </c>
      <c r="K16" s="195">
        <f t="shared" si="5"/>
        <v>0</v>
      </c>
      <c r="L16" s="195">
        <f t="shared" si="5"/>
        <v>0</v>
      </c>
      <c r="M16" s="195">
        <f t="shared" si="5"/>
        <v>0</v>
      </c>
      <c r="N16" s="195">
        <f t="shared" si="5"/>
        <v>0</v>
      </c>
      <c r="O16" s="195">
        <f t="shared" si="5"/>
        <v>0</v>
      </c>
      <c r="P16" s="195">
        <f t="shared" si="5"/>
        <v>0</v>
      </c>
      <c r="Q16" s="195">
        <f t="shared" si="5"/>
        <v>0</v>
      </c>
      <c r="R16" s="195">
        <f t="shared" si="5"/>
        <v>0</v>
      </c>
      <c r="S16" s="195">
        <f t="shared" si="5"/>
        <v>0</v>
      </c>
      <c r="T16" s="195">
        <f t="shared" si="5"/>
        <v>0</v>
      </c>
      <c r="U16" s="195">
        <f t="shared" si="5"/>
        <v>0</v>
      </c>
      <c r="V16" s="195">
        <f t="shared" si="5"/>
        <v>0</v>
      </c>
      <c r="W16" s="195">
        <f t="shared" si="5"/>
        <v>0</v>
      </c>
      <c r="X16" s="195">
        <f t="shared" si="5"/>
        <v>0</v>
      </c>
      <c r="Y16" s="195">
        <f t="shared" si="5"/>
        <v>0</v>
      </c>
      <c r="Z16" s="195">
        <f t="shared" si="5"/>
        <v>0</v>
      </c>
      <c r="AA16" s="195">
        <f t="shared" si="5"/>
        <v>0</v>
      </c>
      <c r="AB16" s="195">
        <f t="shared" si="5"/>
        <v>0</v>
      </c>
      <c r="AC16" s="195">
        <f t="shared" si="5"/>
        <v>0</v>
      </c>
      <c r="AD16" s="195">
        <f t="shared" si="5"/>
        <v>0</v>
      </c>
      <c r="AE16" s="195">
        <f t="shared" si="5"/>
        <v>0</v>
      </c>
      <c r="AF16" s="195">
        <f t="shared" si="5"/>
        <v>0</v>
      </c>
      <c r="AG16" s="195">
        <f t="shared" si="5"/>
        <v>0</v>
      </c>
      <c r="AH16" s="195">
        <f t="shared" si="5"/>
        <v>0</v>
      </c>
      <c r="AI16" s="195">
        <f t="shared" si="5"/>
        <v>0</v>
      </c>
      <c r="AJ16" s="195">
        <f t="shared" si="5"/>
        <v>0</v>
      </c>
      <c r="AK16" s="195">
        <f t="shared" si="5"/>
        <v>0</v>
      </c>
      <c r="AL16" s="195">
        <f t="shared" si="5"/>
        <v>0</v>
      </c>
      <c r="AM16" s="195">
        <f t="shared" si="5"/>
        <v>0</v>
      </c>
      <c r="AN16" s="195">
        <f t="shared" si="5"/>
        <v>0</v>
      </c>
      <c r="AO16" s="195">
        <f t="shared" si="5"/>
        <v>0</v>
      </c>
      <c r="AP16" s="195">
        <f t="shared" si="5"/>
        <v>0</v>
      </c>
    </row>
    <row r="17" spans="1:42" x14ac:dyDescent="0.2">
      <c r="A17" s="33" t="str">
        <f>Inputs!B113</f>
        <v>Other ($/W)</v>
      </c>
      <c r="C17" s="256">
        <f t="shared" ref="C17:AP17" si="6">IF(pbi_oth_for_ds="Yes",C526,0)</f>
        <v>0</v>
      </c>
      <c r="D17" s="256">
        <f t="shared" si="6"/>
        <v>0</v>
      </c>
      <c r="E17" s="256">
        <f t="shared" si="6"/>
        <v>0</v>
      </c>
      <c r="F17" s="256">
        <f t="shared" si="6"/>
        <v>0</v>
      </c>
      <c r="G17" s="256">
        <f t="shared" si="6"/>
        <v>0</v>
      </c>
      <c r="H17" s="256">
        <f t="shared" si="6"/>
        <v>0</v>
      </c>
      <c r="I17" s="256">
        <f t="shared" si="6"/>
        <v>0</v>
      </c>
      <c r="J17" s="256">
        <f t="shared" si="6"/>
        <v>0</v>
      </c>
      <c r="K17" s="256">
        <f t="shared" si="6"/>
        <v>0</v>
      </c>
      <c r="L17" s="256">
        <f t="shared" si="6"/>
        <v>0</v>
      </c>
      <c r="M17" s="256">
        <f t="shared" si="6"/>
        <v>0</v>
      </c>
      <c r="N17" s="256">
        <f t="shared" si="6"/>
        <v>0</v>
      </c>
      <c r="O17" s="256">
        <f t="shared" si="6"/>
        <v>0</v>
      </c>
      <c r="P17" s="256">
        <f t="shared" si="6"/>
        <v>0</v>
      </c>
      <c r="Q17" s="256">
        <f t="shared" si="6"/>
        <v>0</v>
      </c>
      <c r="R17" s="256">
        <f t="shared" si="6"/>
        <v>0</v>
      </c>
      <c r="S17" s="256">
        <f t="shared" si="6"/>
        <v>0</v>
      </c>
      <c r="T17" s="256">
        <f t="shared" si="6"/>
        <v>0</v>
      </c>
      <c r="U17" s="256">
        <f t="shared" si="6"/>
        <v>0</v>
      </c>
      <c r="V17" s="256">
        <f t="shared" si="6"/>
        <v>0</v>
      </c>
      <c r="W17" s="256">
        <f t="shared" si="6"/>
        <v>0</v>
      </c>
      <c r="X17" s="256">
        <f t="shared" si="6"/>
        <v>0</v>
      </c>
      <c r="Y17" s="256">
        <f t="shared" si="6"/>
        <v>0</v>
      </c>
      <c r="Z17" s="256">
        <f t="shared" si="6"/>
        <v>0</v>
      </c>
      <c r="AA17" s="256">
        <f t="shared" si="6"/>
        <v>0</v>
      </c>
      <c r="AB17" s="256">
        <f t="shared" si="6"/>
        <v>0</v>
      </c>
      <c r="AC17" s="256">
        <f t="shared" si="6"/>
        <v>0</v>
      </c>
      <c r="AD17" s="256">
        <f t="shared" si="6"/>
        <v>0</v>
      </c>
      <c r="AE17" s="256">
        <f t="shared" si="6"/>
        <v>0</v>
      </c>
      <c r="AF17" s="256">
        <f t="shared" si="6"/>
        <v>0</v>
      </c>
      <c r="AG17" s="256">
        <f t="shared" si="6"/>
        <v>0</v>
      </c>
      <c r="AH17" s="256">
        <f t="shared" si="6"/>
        <v>0</v>
      </c>
      <c r="AI17" s="256">
        <f t="shared" si="6"/>
        <v>0</v>
      </c>
      <c r="AJ17" s="256">
        <f t="shared" si="6"/>
        <v>0</v>
      </c>
      <c r="AK17" s="256">
        <f t="shared" si="6"/>
        <v>0</v>
      </c>
      <c r="AL17" s="256">
        <f t="shared" si="6"/>
        <v>0</v>
      </c>
      <c r="AM17" s="256">
        <f t="shared" si="6"/>
        <v>0</v>
      </c>
      <c r="AN17" s="256">
        <f t="shared" si="6"/>
        <v>0</v>
      </c>
      <c r="AO17" s="256">
        <f t="shared" si="6"/>
        <v>0</v>
      </c>
      <c r="AP17" s="256">
        <f t="shared" si="6"/>
        <v>0</v>
      </c>
    </row>
    <row r="18" spans="1:42" x14ac:dyDescent="0.2">
      <c r="A18" s="33" t="s">
        <v>31</v>
      </c>
      <c r="C18" s="258">
        <f>SUM(C14:C17)</f>
        <v>0</v>
      </c>
      <c r="D18" s="258">
        <f t="shared" ref="D18:AP18" si="7">SUM(D14:D17)</f>
        <v>0</v>
      </c>
      <c r="E18" s="258">
        <f t="shared" si="7"/>
        <v>0</v>
      </c>
      <c r="F18" s="258">
        <f t="shared" si="7"/>
        <v>0</v>
      </c>
      <c r="G18" s="258">
        <f t="shared" si="7"/>
        <v>0</v>
      </c>
      <c r="H18" s="258">
        <f t="shared" si="7"/>
        <v>0</v>
      </c>
      <c r="I18" s="258">
        <f t="shared" si="7"/>
        <v>0</v>
      </c>
      <c r="J18" s="258">
        <f t="shared" si="7"/>
        <v>0</v>
      </c>
      <c r="K18" s="258">
        <f t="shared" si="7"/>
        <v>0</v>
      </c>
      <c r="L18" s="258">
        <f t="shared" si="7"/>
        <v>0</v>
      </c>
      <c r="M18" s="258">
        <f t="shared" si="7"/>
        <v>0</v>
      </c>
      <c r="N18" s="258">
        <f t="shared" si="7"/>
        <v>0</v>
      </c>
      <c r="O18" s="258">
        <f t="shared" si="7"/>
        <v>0</v>
      </c>
      <c r="P18" s="258">
        <f t="shared" si="7"/>
        <v>0</v>
      </c>
      <c r="Q18" s="258">
        <f t="shared" si="7"/>
        <v>0</v>
      </c>
      <c r="R18" s="258">
        <f t="shared" si="7"/>
        <v>0</v>
      </c>
      <c r="S18" s="258">
        <f t="shared" si="7"/>
        <v>0</v>
      </c>
      <c r="T18" s="258">
        <f t="shared" si="7"/>
        <v>0</v>
      </c>
      <c r="U18" s="258">
        <f t="shared" si="7"/>
        <v>0</v>
      </c>
      <c r="V18" s="258">
        <f t="shared" si="7"/>
        <v>0</v>
      </c>
      <c r="W18" s="258">
        <f t="shared" si="7"/>
        <v>0</v>
      </c>
      <c r="X18" s="258">
        <f t="shared" si="7"/>
        <v>0</v>
      </c>
      <c r="Y18" s="258">
        <f t="shared" si="7"/>
        <v>0</v>
      </c>
      <c r="Z18" s="258">
        <f t="shared" si="7"/>
        <v>0</v>
      </c>
      <c r="AA18" s="258">
        <f t="shared" si="7"/>
        <v>0</v>
      </c>
      <c r="AB18" s="258">
        <f t="shared" si="7"/>
        <v>0</v>
      </c>
      <c r="AC18" s="258">
        <f t="shared" si="7"/>
        <v>0</v>
      </c>
      <c r="AD18" s="258">
        <f t="shared" si="7"/>
        <v>0</v>
      </c>
      <c r="AE18" s="258">
        <f t="shared" si="7"/>
        <v>0</v>
      </c>
      <c r="AF18" s="258">
        <f t="shared" si="7"/>
        <v>0</v>
      </c>
      <c r="AG18" s="258">
        <f t="shared" si="7"/>
        <v>0</v>
      </c>
      <c r="AH18" s="258">
        <f t="shared" si="7"/>
        <v>0</v>
      </c>
      <c r="AI18" s="258">
        <f t="shared" si="7"/>
        <v>0</v>
      </c>
      <c r="AJ18" s="258">
        <f t="shared" si="7"/>
        <v>0</v>
      </c>
      <c r="AK18" s="258">
        <f t="shared" si="7"/>
        <v>0</v>
      </c>
      <c r="AL18" s="258">
        <f t="shared" si="7"/>
        <v>0</v>
      </c>
      <c r="AM18" s="258">
        <f t="shared" si="7"/>
        <v>0</v>
      </c>
      <c r="AN18" s="258">
        <f t="shared" si="7"/>
        <v>0</v>
      </c>
      <c r="AO18" s="258">
        <f t="shared" si="7"/>
        <v>0</v>
      </c>
      <c r="AP18" s="258">
        <f t="shared" si="7"/>
        <v>0</v>
      </c>
    </row>
    <row r="19" spans="1:42" x14ac:dyDescent="0.2">
      <c r="A19" s="29" t="s">
        <v>68</v>
      </c>
      <c r="C19" s="245">
        <f t="shared" ref="C19:AP19" si="8">IF(C2=analysis_period,total_installed_cost*salvage_percentage/100,0)</f>
        <v>0</v>
      </c>
      <c r="D19" s="245">
        <f t="shared" si="8"/>
        <v>0</v>
      </c>
      <c r="E19" s="245">
        <f t="shared" si="8"/>
        <v>0</v>
      </c>
      <c r="F19" s="245">
        <f t="shared" si="8"/>
        <v>0</v>
      </c>
      <c r="G19" s="245">
        <f t="shared" si="8"/>
        <v>0</v>
      </c>
      <c r="H19" s="245">
        <f t="shared" si="8"/>
        <v>0</v>
      </c>
      <c r="I19" s="245">
        <f t="shared" si="8"/>
        <v>0</v>
      </c>
      <c r="J19" s="245">
        <f t="shared" si="8"/>
        <v>0</v>
      </c>
      <c r="K19" s="245">
        <f t="shared" si="8"/>
        <v>0</v>
      </c>
      <c r="L19" s="245">
        <f t="shared" si="8"/>
        <v>0</v>
      </c>
      <c r="M19" s="245">
        <f t="shared" si="8"/>
        <v>0</v>
      </c>
      <c r="N19" s="245">
        <f t="shared" si="8"/>
        <v>0</v>
      </c>
      <c r="O19" s="245">
        <f t="shared" si="8"/>
        <v>0</v>
      </c>
      <c r="P19" s="245">
        <f t="shared" si="8"/>
        <v>0</v>
      </c>
      <c r="Q19" s="245">
        <f t="shared" si="8"/>
        <v>0</v>
      </c>
      <c r="R19" s="245">
        <f t="shared" si="8"/>
        <v>0</v>
      </c>
      <c r="S19" s="245">
        <f t="shared" si="8"/>
        <v>0</v>
      </c>
      <c r="T19" s="245">
        <f t="shared" si="8"/>
        <v>0</v>
      </c>
      <c r="U19" s="245">
        <f t="shared" si="8"/>
        <v>0</v>
      </c>
      <c r="V19" s="245">
        <f t="shared" si="8"/>
        <v>0</v>
      </c>
      <c r="W19" s="245">
        <f t="shared" si="8"/>
        <v>0</v>
      </c>
      <c r="X19" s="245">
        <f t="shared" si="8"/>
        <v>0</v>
      </c>
      <c r="Y19" s="245">
        <f t="shared" si="8"/>
        <v>0</v>
      </c>
      <c r="Z19" s="245">
        <f t="shared" si="8"/>
        <v>0</v>
      </c>
      <c r="AA19" s="245">
        <f t="shared" si="8"/>
        <v>0</v>
      </c>
      <c r="AB19" s="245">
        <f t="shared" si="8"/>
        <v>0</v>
      </c>
      <c r="AC19" s="245">
        <f t="shared" si="8"/>
        <v>0</v>
      </c>
      <c r="AD19" s="245">
        <f t="shared" si="8"/>
        <v>0</v>
      </c>
      <c r="AE19" s="245">
        <f t="shared" si="8"/>
        <v>0</v>
      </c>
      <c r="AF19" s="245">
        <f t="shared" si="8"/>
        <v>0</v>
      </c>
      <c r="AG19" s="245">
        <f t="shared" si="8"/>
        <v>0</v>
      </c>
      <c r="AH19" s="245">
        <f t="shared" si="8"/>
        <v>0</v>
      </c>
      <c r="AI19" s="245">
        <f t="shared" si="8"/>
        <v>0</v>
      </c>
      <c r="AJ19" s="245">
        <f t="shared" si="8"/>
        <v>0</v>
      </c>
      <c r="AK19" s="245">
        <f t="shared" si="8"/>
        <v>0</v>
      </c>
      <c r="AL19" s="245">
        <f t="shared" si="8"/>
        <v>0</v>
      </c>
      <c r="AM19" s="245">
        <f t="shared" si="8"/>
        <v>0</v>
      </c>
      <c r="AN19" s="245">
        <f t="shared" si="8"/>
        <v>0</v>
      </c>
      <c r="AO19" s="245">
        <f t="shared" si="8"/>
        <v>0</v>
      </c>
      <c r="AP19" s="245">
        <f t="shared" si="8"/>
        <v>0</v>
      </c>
    </row>
    <row r="20" spans="1:42" x14ac:dyDescent="0.2">
      <c r="A20" s="347" t="s">
        <v>124</v>
      </c>
      <c r="B20" s="54"/>
      <c r="C20" s="261">
        <f t="shared" ref="C20:AP20" si="9">IF(C2&lt;=analysis_period,C12+C18+C19,0)</f>
        <v>0</v>
      </c>
      <c r="D20" s="261">
        <f t="shared" si="9"/>
        <v>0</v>
      </c>
      <c r="E20" s="261">
        <f t="shared" si="9"/>
        <v>0</v>
      </c>
      <c r="F20" s="261">
        <f t="shared" si="9"/>
        <v>0</v>
      </c>
      <c r="G20" s="261">
        <f t="shared" si="9"/>
        <v>0</v>
      </c>
      <c r="H20" s="261">
        <f t="shared" si="9"/>
        <v>0</v>
      </c>
      <c r="I20" s="261">
        <f t="shared" si="9"/>
        <v>0</v>
      </c>
      <c r="J20" s="261">
        <f t="shared" si="9"/>
        <v>0</v>
      </c>
      <c r="K20" s="261">
        <f t="shared" si="9"/>
        <v>0</v>
      </c>
      <c r="L20" s="261">
        <f t="shared" si="9"/>
        <v>0</v>
      </c>
      <c r="M20" s="261">
        <f t="shared" si="9"/>
        <v>0</v>
      </c>
      <c r="N20" s="261">
        <f t="shared" si="9"/>
        <v>0</v>
      </c>
      <c r="O20" s="261">
        <f t="shared" si="9"/>
        <v>0</v>
      </c>
      <c r="P20" s="261">
        <f t="shared" si="9"/>
        <v>0</v>
      </c>
      <c r="Q20" s="261">
        <f t="shared" si="9"/>
        <v>0</v>
      </c>
      <c r="R20" s="261">
        <f t="shared" si="9"/>
        <v>0</v>
      </c>
      <c r="S20" s="261">
        <f t="shared" si="9"/>
        <v>0</v>
      </c>
      <c r="T20" s="261">
        <f t="shared" si="9"/>
        <v>0</v>
      </c>
      <c r="U20" s="261">
        <f t="shared" si="9"/>
        <v>0</v>
      </c>
      <c r="V20" s="261">
        <f t="shared" si="9"/>
        <v>0</v>
      </c>
      <c r="W20" s="261">
        <f t="shared" si="9"/>
        <v>0</v>
      </c>
      <c r="X20" s="261">
        <f t="shared" si="9"/>
        <v>0</v>
      </c>
      <c r="Y20" s="261">
        <f t="shared" si="9"/>
        <v>0</v>
      </c>
      <c r="Z20" s="261">
        <f t="shared" si="9"/>
        <v>0</v>
      </c>
      <c r="AA20" s="261">
        <f t="shared" si="9"/>
        <v>0</v>
      </c>
      <c r="AB20" s="261">
        <f t="shared" si="9"/>
        <v>0</v>
      </c>
      <c r="AC20" s="261">
        <f t="shared" si="9"/>
        <v>0</v>
      </c>
      <c r="AD20" s="261">
        <f t="shared" si="9"/>
        <v>0</v>
      </c>
      <c r="AE20" s="261">
        <f t="shared" si="9"/>
        <v>0</v>
      </c>
      <c r="AF20" s="261">
        <f t="shared" si="9"/>
        <v>0</v>
      </c>
      <c r="AG20" s="261">
        <f t="shared" si="9"/>
        <v>0</v>
      </c>
      <c r="AH20" s="261">
        <f t="shared" si="9"/>
        <v>0</v>
      </c>
      <c r="AI20" s="261">
        <f t="shared" si="9"/>
        <v>0</v>
      </c>
      <c r="AJ20" s="261">
        <f t="shared" si="9"/>
        <v>0</v>
      </c>
      <c r="AK20" s="261">
        <f t="shared" si="9"/>
        <v>0</v>
      </c>
      <c r="AL20" s="261">
        <f t="shared" si="9"/>
        <v>0</v>
      </c>
      <c r="AM20" s="261">
        <f t="shared" si="9"/>
        <v>0</v>
      </c>
      <c r="AN20" s="261">
        <f t="shared" si="9"/>
        <v>0</v>
      </c>
      <c r="AO20" s="261">
        <f t="shared" si="9"/>
        <v>0</v>
      </c>
      <c r="AP20" s="261">
        <f t="shared" si="9"/>
        <v>0</v>
      </c>
    </row>
    <row r="21" spans="1:42" x14ac:dyDescent="0.2">
      <c r="A21" s="29"/>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9" t="s">
        <v>176</v>
      </c>
      <c r="C22" s="250">
        <f t="shared" ref="C22:AP22" si="10">IF(C2&lt;analysis_period,PropertyTaxAssessedValue*(1-prop_tax_assessed_decline/100)^(C2-1),0)</f>
        <v>38530000</v>
      </c>
      <c r="D22" s="250">
        <f t="shared" si="10"/>
        <v>38530000</v>
      </c>
      <c r="E22" s="250">
        <f t="shared" si="10"/>
        <v>38530000</v>
      </c>
      <c r="F22" s="250">
        <f t="shared" si="10"/>
        <v>38530000</v>
      </c>
      <c r="G22" s="250">
        <f t="shared" si="10"/>
        <v>38530000</v>
      </c>
      <c r="H22" s="250">
        <f t="shared" si="10"/>
        <v>38530000</v>
      </c>
      <c r="I22" s="250">
        <f t="shared" si="10"/>
        <v>38530000</v>
      </c>
      <c r="J22" s="250">
        <f t="shared" si="10"/>
        <v>38530000</v>
      </c>
      <c r="K22" s="250">
        <f t="shared" si="10"/>
        <v>38530000</v>
      </c>
      <c r="L22" s="250">
        <f t="shared" si="10"/>
        <v>38530000</v>
      </c>
      <c r="M22" s="250">
        <f t="shared" si="10"/>
        <v>38530000</v>
      </c>
      <c r="N22" s="250">
        <f t="shared" si="10"/>
        <v>38530000</v>
      </c>
      <c r="O22" s="250">
        <f t="shared" si="10"/>
        <v>38530000</v>
      </c>
      <c r="P22" s="250">
        <f t="shared" si="10"/>
        <v>38530000</v>
      </c>
      <c r="Q22" s="250">
        <f t="shared" si="10"/>
        <v>38530000</v>
      </c>
      <c r="R22" s="250">
        <f t="shared" si="10"/>
        <v>38530000</v>
      </c>
      <c r="S22" s="250">
        <f t="shared" si="10"/>
        <v>38530000</v>
      </c>
      <c r="T22" s="250">
        <f t="shared" si="10"/>
        <v>38530000</v>
      </c>
      <c r="U22" s="250">
        <f t="shared" si="10"/>
        <v>38530000</v>
      </c>
      <c r="V22" s="250">
        <f t="shared" si="10"/>
        <v>38530000</v>
      </c>
      <c r="W22" s="250">
        <f t="shared" si="10"/>
        <v>38530000</v>
      </c>
      <c r="X22" s="250">
        <f t="shared" si="10"/>
        <v>38530000</v>
      </c>
      <c r="Y22" s="250">
        <f t="shared" si="10"/>
        <v>38530000</v>
      </c>
      <c r="Z22" s="250">
        <f t="shared" si="10"/>
        <v>38530000</v>
      </c>
      <c r="AA22" s="250">
        <f t="shared" si="10"/>
        <v>0</v>
      </c>
      <c r="AB22" s="250">
        <f t="shared" si="10"/>
        <v>0</v>
      </c>
      <c r="AC22" s="250">
        <f t="shared" si="10"/>
        <v>0</v>
      </c>
      <c r="AD22" s="250">
        <f t="shared" si="10"/>
        <v>0</v>
      </c>
      <c r="AE22" s="250">
        <f t="shared" si="10"/>
        <v>0</v>
      </c>
      <c r="AF22" s="250">
        <f t="shared" si="10"/>
        <v>0</v>
      </c>
      <c r="AG22" s="250">
        <f t="shared" si="10"/>
        <v>0</v>
      </c>
      <c r="AH22" s="250">
        <f t="shared" si="10"/>
        <v>0</v>
      </c>
      <c r="AI22" s="250">
        <f t="shared" si="10"/>
        <v>0</v>
      </c>
      <c r="AJ22" s="250">
        <f t="shared" si="10"/>
        <v>0</v>
      </c>
      <c r="AK22" s="250">
        <f t="shared" si="10"/>
        <v>0</v>
      </c>
      <c r="AL22" s="250">
        <f t="shared" si="10"/>
        <v>0</v>
      </c>
      <c r="AM22" s="250">
        <f t="shared" si="10"/>
        <v>0</v>
      </c>
      <c r="AN22" s="250">
        <f t="shared" si="10"/>
        <v>0</v>
      </c>
      <c r="AO22" s="250">
        <f t="shared" si="10"/>
        <v>0</v>
      </c>
      <c r="AP22" s="250">
        <f t="shared" si="10"/>
        <v>0</v>
      </c>
    </row>
    <row r="23" spans="1:42" x14ac:dyDescent="0.2">
      <c r="A23" s="3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1" t="s">
        <v>15</v>
      </c>
      <c r="C24" s="25"/>
      <c r="D24" s="34"/>
      <c r="E24" s="34"/>
      <c r="F24" s="34"/>
      <c r="G24" s="34"/>
      <c r="H24" s="34"/>
      <c r="I24" s="34"/>
      <c r="J24" s="34"/>
      <c r="K24" s="34"/>
      <c r="L24" s="34"/>
      <c r="M24" s="34"/>
      <c r="N24" s="34"/>
      <c r="O24" s="34"/>
      <c r="P24" s="34"/>
      <c r="Q24" s="34"/>
      <c r="R24" s="34"/>
      <c r="S24" s="34"/>
    </row>
    <row r="25" spans="1:42" x14ac:dyDescent="0.2">
      <c r="A25" s="7" t="s">
        <v>177</v>
      </c>
      <c r="C25" s="250">
        <f t="shared" ref="C25:AP25" si="11">IF(C$2&lt;=analysis_period,om_fixed*(1+inflation_rate/100+om_fixed_escal/100)^B$2,0)</f>
        <v>0</v>
      </c>
      <c r="D25" s="250">
        <f t="shared" si="11"/>
        <v>0</v>
      </c>
      <c r="E25" s="250">
        <f t="shared" si="11"/>
        <v>0</v>
      </c>
      <c r="F25" s="250">
        <f t="shared" si="11"/>
        <v>0</v>
      </c>
      <c r="G25" s="250">
        <f t="shared" si="11"/>
        <v>0</v>
      </c>
      <c r="H25" s="250">
        <f t="shared" si="11"/>
        <v>0</v>
      </c>
      <c r="I25" s="250">
        <f t="shared" si="11"/>
        <v>0</v>
      </c>
      <c r="J25" s="250">
        <f t="shared" si="11"/>
        <v>0</v>
      </c>
      <c r="K25" s="250">
        <f t="shared" si="11"/>
        <v>0</v>
      </c>
      <c r="L25" s="250">
        <f t="shared" si="11"/>
        <v>0</v>
      </c>
      <c r="M25" s="250">
        <f t="shared" si="11"/>
        <v>0</v>
      </c>
      <c r="N25" s="250">
        <f t="shared" si="11"/>
        <v>0</v>
      </c>
      <c r="O25" s="250">
        <f t="shared" si="11"/>
        <v>0</v>
      </c>
      <c r="P25" s="250">
        <f t="shared" si="11"/>
        <v>0</v>
      </c>
      <c r="Q25" s="250">
        <f t="shared" si="11"/>
        <v>0</v>
      </c>
      <c r="R25" s="250">
        <f t="shared" si="11"/>
        <v>0</v>
      </c>
      <c r="S25" s="250">
        <f t="shared" si="11"/>
        <v>0</v>
      </c>
      <c r="T25" s="250">
        <f t="shared" si="11"/>
        <v>0</v>
      </c>
      <c r="U25" s="250">
        <f t="shared" si="11"/>
        <v>0</v>
      </c>
      <c r="V25" s="250">
        <f t="shared" si="11"/>
        <v>0</v>
      </c>
      <c r="W25" s="250">
        <f t="shared" si="11"/>
        <v>0</v>
      </c>
      <c r="X25" s="250">
        <f t="shared" si="11"/>
        <v>0</v>
      </c>
      <c r="Y25" s="250">
        <f t="shared" si="11"/>
        <v>0</v>
      </c>
      <c r="Z25" s="250">
        <f t="shared" si="11"/>
        <v>0</v>
      </c>
      <c r="AA25" s="250">
        <f t="shared" si="11"/>
        <v>0</v>
      </c>
      <c r="AB25" s="250">
        <f t="shared" si="11"/>
        <v>0</v>
      </c>
      <c r="AC25" s="250">
        <f t="shared" si="11"/>
        <v>0</v>
      </c>
      <c r="AD25" s="250">
        <f t="shared" si="11"/>
        <v>0</v>
      </c>
      <c r="AE25" s="250">
        <f t="shared" si="11"/>
        <v>0</v>
      </c>
      <c r="AF25" s="250">
        <f t="shared" si="11"/>
        <v>0</v>
      </c>
      <c r="AG25" s="250">
        <f t="shared" si="11"/>
        <v>0</v>
      </c>
      <c r="AH25" s="250">
        <f t="shared" si="11"/>
        <v>0</v>
      </c>
      <c r="AI25" s="250">
        <f t="shared" si="11"/>
        <v>0</v>
      </c>
      <c r="AJ25" s="250">
        <f t="shared" si="11"/>
        <v>0</v>
      </c>
      <c r="AK25" s="250">
        <f t="shared" si="11"/>
        <v>0</v>
      </c>
      <c r="AL25" s="250">
        <f t="shared" si="11"/>
        <v>0</v>
      </c>
      <c r="AM25" s="250">
        <f t="shared" si="11"/>
        <v>0</v>
      </c>
      <c r="AN25" s="250">
        <f t="shared" si="11"/>
        <v>0</v>
      </c>
      <c r="AO25" s="250">
        <f t="shared" si="11"/>
        <v>0</v>
      </c>
      <c r="AP25" s="250">
        <f t="shared" si="11"/>
        <v>0</v>
      </c>
    </row>
    <row r="26" spans="1:42" x14ac:dyDescent="0.2">
      <c r="A26" s="7" t="s">
        <v>0</v>
      </c>
    </row>
    <row r="27" spans="1:42" x14ac:dyDescent="0.2">
      <c r="A27" s="33" t="s">
        <v>16</v>
      </c>
      <c r="C27" s="259">
        <f t="shared" ref="C27:AP27" si="12">IF(C$2&lt;=analysis_period,system_capacity,0)</f>
        <v>20000</v>
      </c>
      <c r="D27" s="259">
        <f t="shared" si="12"/>
        <v>20000</v>
      </c>
      <c r="E27" s="259">
        <f t="shared" si="12"/>
        <v>20000</v>
      </c>
      <c r="F27" s="259">
        <f t="shared" si="12"/>
        <v>20000</v>
      </c>
      <c r="G27" s="259">
        <f t="shared" si="12"/>
        <v>20000</v>
      </c>
      <c r="H27" s="259">
        <f t="shared" si="12"/>
        <v>20000</v>
      </c>
      <c r="I27" s="259">
        <f t="shared" si="12"/>
        <v>20000</v>
      </c>
      <c r="J27" s="259">
        <f t="shared" si="12"/>
        <v>20000</v>
      </c>
      <c r="K27" s="259">
        <f t="shared" si="12"/>
        <v>20000</v>
      </c>
      <c r="L27" s="259">
        <f t="shared" si="12"/>
        <v>20000</v>
      </c>
      <c r="M27" s="259">
        <f t="shared" si="12"/>
        <v>20000</v>
      </c>
      <c r="N27" s="259">
        <f t="shared" si="12"/>
        <v>20000</v>
      </c>
      <c r="O27" s="259">
        <f t="shared" si="12"/>
        <v>20000</v>
      </c>
      <c r="P27" s="259">
        <f t="shared" si="12"/>
        <v>20000</v>
      </c>
      <c r="Q27" s="259">
        <f t="shared" si="12"/>
        <v>20000</v>
      </c>
      <c r="R27" s="259">
        <f t="shared" si="12"/>
        <v>20000</v>
      </c>
      <c r="S27" s="259">
        <f t="shared" si="12"/>
        <v>20000</v>
      </c>
      <c r="T27" s="259">
        <f t="shared" si="12"/>
        <v>20000</v>
      </c>
      <c r="U27" s="259">
        <f t="shared" si="12"/>
        <v>20000</v>
      </c>
      <c r="V27" s="259">
        <f t="shared" si="12"/>
        <v>20000</v>
      </c>
      <c r="W27" s="259">
        <f t="shared" si="12"/>
        <v>20000</v>
      </c>
      <c r="X27" s="259">
        <f t="shared" si="12"/>
        <v>20000</v>
      </c>
      <c r="Y27" s="259">
        <f t="shared" si="12"/>
        <v>20000</v>
      </c>
      <c r="Z27" s="259">
        <f t="shared" si="12"/>
        <v>20000</v>
      </c>
      <c r="AA27" s="259">
        <f t="shared" si="12"/>
        <v>20000</v>
      </c>
      <c r="AB27" s="259">
        <f t="shared" si="12"/>
        <v>0</v>
      </c>
      <c r="AC27" s="259">
        <f t="shared" si="12"/>
        <v>0</v>
      </c>
      <c r="AD27" s="259">
        <f t="shared" si="12"/>
        <v>0</v>
      </c>
      <c r="AE27" s="259">
        <f t="shared" si="12"/>
        <v>0</v>
      </c>
      <c r="AF27" s="259">
        <f t="shared" si="12"/>
        <v>0</v>
      </c>
      <c r="AG27" s="259">
        <f t="shared" si="12"/>
        <v>0</v>
      </c>
      <c r="AH27" s="259">
        <f t="shared" si="12"/>
        <v>0</v>
      </c>
      <c r="AI27" s="259">
        <f t="shared" si="12"/>
        <v>0</v>
      </c>
      <c r="AJ27" s="259">
        <f t="shared" si="12"/>
        <v>0</v>
      </c>
      <c r="AK27" s="259">
        <f t="shared" si="12"/>
        <v>0</v>
      </c>
      <c r="AL27" s="259">
        <f t="shared" si="12"/>
        <v>0</v>
      </c>
      <c r="AM27" s="259">
        <f t="shared" si="12"/>
        <v>0</v>
      </c>
      <c r="AN27" s="259">
        <f t="shared" si="12"/>
        <v>0</v>
      </c>
      <c r="AO27" s="259">
        <f t="shared" si="12"/>
        <v>0</v>
      </c>
      <c r="AP27" s="259">
        <f t="shared" si="12"/>
        <v>0</v>
      </c>
    </row>
    <row r="28" spans="1:42" x14ac:dyDescent="0.2">
      <c r="A28" s="33" t="s">
        <v>17</v>
      </c>
      <c r="C28" s="256">
        <f t="shared" ref="C28:AP28" si="13">IF(C$2&lt;=analysis_period,om_capacity*(1+inflation_rate/100+om_capacity_escal/100)^B$2,0)</f>
        <v>15</v>
      </c>
      <c r="D28" s="256">
        <f t="shared" si="13"/>
        <v>15.374999999999998</v>
      </c>
      <c r="E28" s="256">
        <f t="shared" si="13"/>
        <v>15.759374999999999</v>
      </c>
      <c r="F28" s="256">
        <f t="shared" si="13"/>
        <v>16.153359374999997</v>
      </c>
      <c r="G28" s="256">
        <f t="shared" si="13"/>
        <v>16.557193359374995</v>
      </c>
      <c r="H28" s="256">
        <f t="shared" si="13"/>
        <v>16.971123193359368</v>
      </c>
      <c r="I28" s="256">
        <f t="shared" si="13"/>
        <v>17.395401273193354</v>
      </c>
      <c r="J28" s="256">
        <f t="shared" si="13"/>
        <v>17.830286305023186</v>
      </c>
      <c r="K28" s="256">
        <f t="shared" si="13"/>
        <v>18.276043462648765</v>
      </c>
      <c r="L28" s="256">
        <f t="shared" si="13"/>
        <v>18.732944549214981</v>
      </c>
      <c r="M28" s="256">
        <f t="shared" si="13"/>
        <v>19.201268162945357</v>
      </c>
      <c r="N28" s="256">
        <f t="shared" si="13"/>
        <v>19.681299867018989</v>
      </c>
      <c r="O28" s="256">
        <f t="shared" si="13"/>
        <v>20.173332363694463</v>
      </c>
      <c r="P28" s="256">
        <f t="shared" si="13"/>
        <v>20.677665672786823</v>
      </c>
      <c r="Q28" s="256">
        <f t="shared" si="13"/>
        <v>21.194607314606493</v>
      </c>
      <c r="R28" s="256">
        <f t="shared" si="13"/>
        <v>21.724472497471659</v>
      </c>
      <c r="S28" s="256">
        <f t="shared" si="13"/>
        <v>22.267584309908447</v>
      </c>
      <c r="T28" s="256">
        <f t="shared" si="13"/>
        <v>22.824273917656154</v>
      </c>
      <c r="U28" s="256">
        <f t="shared" si="13"/>
        <v>23.394880765597559</v>
      </c>
      <c r="V28" s="256">
        <f t="shared" si="13"/>
        <v>23.979752784737499</v>
      </c>
      <c r="W28" s="256">
        <f t="shared" si="13"/>
        <v>24.579246604355934</v>
      </c>
      <c r="X28" s="256">
        <f t="shared" si="13"/>
        <v>25.193727769464829</v>
      </c>
      <c r="Y28" s="256">
        <f t="shared" si="13"/>
        <v>25.823570963701449</v>
      </c>
      <c r="Z28" s="256">
        <f t="shared" si="13"/>
        <v>26.469160237793986</v>
      </c>
      <c r="AA28" s="256">
        <f t="shared" si="13"/>
        <v>27.130889243738835</v>
      </c>
      <c r="AB28" s="256">
        <f t="shared" si="13"/>
        <v>0</v>
      </c>
      <c r="AC28" s="256">
        <f t="shared" si="13"/>
        <v>0</v>
      </c>
      <c r="AD28" s="256">
        <f t="shared" si="13"/>
        <v>0</v>
      </c>
      <c r="AE28" s="256">
        <f t="shared" si="13"/>
        <v>0</v>
      </c>
      <c r="AF28" s="256">
        <f t="shared" si="13"/>
        <v>0</v>
      </c>
      <c r="AG28" s="256">
        <f t="shared" si="13"/>
        <v>0</v>
      </c>
      <c r="AH28" s="256">
        <f t="shared" si="13"/>
        <v>0</v>
      </c>
      <c r="AI28" s="256">
        <f t="shared" si="13"/>
        <v>0</v>
      </c>
      <c r="AJ28" s="256">
        <f t="shared" si="13"/>
        <v>0</v>
      </c>
      <c r="AK28" s="256">
        <f t="shared" si="13"/>
        <v>0</v>
      </c>
      <c r="AL28" s="256">
        <f t="shared" si="13"/>
        <v>0</v>
      </c>
      <c r="AM28" s="256">
        <f t="shared" si="13"/>
        <v>0</v>
      </c>
      <c r="AN28" s="256">
        <f t="shared" si="13"/>
        <v>0</v>
      </c>
      <c r="AO28" s="256">
        <f t="shared" si="13"/>
        <v>0</v>
      </c>
      <c r="AP28" s="256">
        <f t="shared" si="13"/>
        <v>0</v>
      </c>
    </row>
    <row r="29" spans="1:42" x14ac:dyDescent="0.2">
      <c r="A29" s="33" t="s">
        <v>178</v>
      </c>
      <c r="C29" s="250">
        <f>C27*C28</f>
        <v>300000</v>
      </c>
      <c r="D29" s="250">
        <f t="shared" ref="D29:AP29" si="14">D27*D28</f>
        <v>307499.99999999994</v>
      </c>
      <c r="E29" s="250">
        <f t="shared" si="14"/>
        <v>315187.5</v>
      </c>
      <c r="F29" s="250">
        <f t="shared" si="14"/>
        <v>323067.18749999994</v>
      </c>
      <c r="G29" s="250">
        <f t="shared" si="14"/>
        <v>331143.86718749988</v>
      </c>
      <c r="H29" s="250">
        <f t="shared" si="14"/>
        <v>339422.46386718738</v>
      </c>
      <c r="I29" s="250">
        <f t="shared" si="14"/>
        <v>347908.02546386706</v>
      </c>
      <c r="J29" s="250">
        <f t="shared" si="14"/>
        <v>356605.72610046371</v>
      </c>
      <c r="K29" s="250">
        <f t="shared" si="14"/>
        <v>365520.86925297527</v>
      </c>
      <c r="L29" s="250">
        <f t="shared" si="14"/>
        <v>374658.89098429959</v>
      </c>
      <c r="M29" s="250">
        <f t="shared" si="14"/>
        <v>384025.36325890716</v>
      </c>
      <c r="N29" s="250">
        <f t="shared" si="14"/>
        <v>393625.99734037981</v>
      </c>
      <c r="O29" s="250">
        <f t="shared" si="14"/>
        <v>403466.64727388928</v>
      </c>
      <c r="P29" s="250">
        <f t="shared" si="14"/>
        <v>413553.31345573644</v>
      </c>
      <c r="Q29" s="250">
        <f t="shared" si="14"/>
        <v>423892.14629212988</v>
      </c>
      <c r="R29" s="250">
        <f t="shared" si="14"/>
        <v>434489.44994943315</v>
      </c>
      <c r="S29" s="250">
        <f t="shared" si="14"/>
        <v>445351.68619816896</v>
      </c>
      <c r="T29" s="250">
        <f t="shared" si="14"/>
        <v>456485.47835312306</v>
      </c>
      <c r="U29" s="250">
        <f t="shared" si="14"/>
        <v>467897.6153119512</v>
      </c>
      <c r="V29" s="250">
        <f t="shared" si="14"/>
        <v>479595.05569474999</v>
      </c>
      <c r="W29" s="250">
        <f t="shared" si="14"/>
        <v>491584.93208711868</v>
      </c>
      <c r="X29" s="250">
        <f t="shared" si="14"/>
        <v>503874.55538929655</v>
      </c>
      <c r="Y29" s="250">
        <f t="shared" si="14"/>
        <v>516471.41927402897</v>
      </c>
      <c r="Z29" s="250">
        <f t="shared" si="14"/>
        <v>529383.20475587971</v>
      </c>
      <c r="AA29" s="250">
        <f t="shared" si="14"/>
        <v>542617.78487477673</v>
      </c>
      <c r="AB29" s="250">
        <f t="shared" si="14"/>
        <v>0</v>
      </c>
      <c r="AC29" s="250">
        <f t="shared" si="14"/>
        <v>0</v>
      </c>
      <c r="AD29" s="250">
        <f t="shared" si="14"/>
        <v>0</v>
      </c>
      <c r="AE29" s="250">
        <f t="shared" si="14"/>
        <v>0</v>
      </c>
      <c r="AF29" s="250">
        <f t="shared" si="14"/>
        <v>0</v>
      </c>
      <c r="AG29" s="250">
        <f t="shared" si="14"/>
        <v>0</v>
      </c>
      <c r="AH29" s="250">
        <f t="shared" si="14"/>
        <v>0</v>
      </c>
      <c r="AI29" s="250">
        <f t="shared" si="14"/>
        <v>0</v>
      </c>
      <c r="AJ29" s="250">
        <f t="shared" si="14"/>
        <v>0</v>
      </c>
      <c r="AK29" s="250">
        <f t="shared" si="14"/>
        <v>0</v>
      </c>
      <c r="AL29" s="250">
        <f t="shared" si="14"/>
        <v>0</v>
      </c>
      <c r="AM29" s="250">
        <f t="shared" si="14"/>
        <v>0</v>
      </c>
      <c r="AN29" s="250">
        <f t="shared" si="14"/>
        <v>0</v>
      </c>
      <c r="AO29" s="250">
        <f t="shared" si="14"/>
        <v>0</v>
      </c>
      <c r="AP29" s="250">
        <f t="shared" si="14"/>
        <v>0</v>
      </c>
    </row>
    <row r="30" spans="1:42" x14ac:dyDescent="0.2">
      <c r="A30" s="7" t="s">
        <v>1</v>
      </c>
    </row>
    <row r="31" spans="1:42" x14ac:dyDescent="0.2">
      <c r="A31" s="33" t="s">
        <v>19</v>
      </c>
      <c r="C31" s="250">
        <f>C5/1000</f>
        <v>0</v>
      </c>
      <c r="D31" s="250">
        <f t="shared" ref="D31:AP31" si="15">D5/1000</f>
        <v>0</v>
      </c>
      <c r="E31" s="250">
        <f t="shared" si="15"/>
        <v>0</v>
      </c>
      <c r="F31" s="250">
        <f t="shared" si="15"/>
        <v>0</v>
      </c>
      <c r="G31" s="250">
        <f t="shared" si="15"/>
        <v>0</v>
      </c>
      <c r="H31" s="250">
        <f t="shared" si="15"/>
        <v>0</v>
      </c>
      <c r="I31" s="250">
        <f t="shared" si="15"/>
        <v>0</v>
      </c>
      <c r="J31" s="250">
        <f t="shared" si="15"/>
        <v>0</v>
      </c>
      <c r="K31" s="250">
        <f t="shared" si="15"/>
        <v>0</v>
      </c>
      <c r="L31" s="250">
        <f t="shared" si="15"/>
        <v>0</v>
      </c>
      <c r="M31" s="250">
        <f t="shared" si="15"/>
        <v>0</v>
      </c>
      <c r="N31" s="250">
        <f t="shared" si="15"/>
        <v>0</v>
      </c>
      <c r="O31" s="250">
        <f t="shared" si="15"/>
        <v>0</v>
      </c>
      <c r="P31" s="250">
        <f t="shared" si="15"/>
        <v>0</v>
      </c>
      <c r="Q31" s="250">
        <f t="shared" si="15"/>
        <v>0</v>
      </c>
      <c r="R31" s="250">
        <f t="shared" si="15"/>
        <v>0</v>
      </c>
      <c r="S31" s="250">
        <f t="shared" si="15"/>
        <v>0</v>
      </c>
      <c r="T31" s="250">
        <f t="shared" si="15"/>
        <v>0</v>
      </c>
      <c r="U31" s="250">
        <f t="shared" si="15"/>
        <v>0</v>
      </c>
      <c r="V31" s="250">
        <f t="shared" si="15"/>
        <v>0</v>
      </c>
      <c r="W31" s="250">
        <f t="shared" si="15"/>
        <v>0</v>
      </c>
      <c r="X31" s="250">
        <f t="shared" si="15"/>
        <v>0</v>
      </c>
      <c r="Y31" s="250">
        <f t="shared" si="15"/>
        <v>0</v>
      </c>
      <c r="Z31" s="250">
        <f t="shared" si="15"/>
        <v>0</v>
      </c>
      <c r="AA31" s="250">
        <f t="shared" si="15"/>
        <v>0</v>
      </c>
      <c r="AB31" s="250">
        <f t="shared" si="15"/>
        <v>0</v>
      </c>
      <c r="AC31" s="250">
        <f t="shared" si="15"/>
        <v>0</v>
      </c>
      <c r="AD31" s="250">
        <f t="shared" si="15"/>
        <v>0</v>
      </c>
      <c r="AE31" s="250">
        <f t="shared" si="15"/>
        <v>0</v>
      </c>
      <c r="AF31" s="250">
        <f t="shared" si="15"/>
        <v>0</v>
      </c>
      <c r="AG31" s="250">
        <f t="shared" si="15"/>
        <v>0</v>
      </c>
      <c r="AH31" s="250">
        <f t="shared" si="15"/>
        <v>0</v>
      </c>
      <c r="AI31" s="250">
        <f t="shared" si="15"/>
        <v>0</v>
      </c>
      <c r="AJ31" s="250">
        <f t="shared" si="15"/>
        <v>0</v>
      </c>
      <c r="AK31" s="250">
        <f t="shared" si="15"/>
        <v>0</v>
      </c>
      <c r="AL31" s="250">
        <f t="shared" si="15"/>
        <v>0</v>
      </c>
      <c r="AM31" s="250">
        <f t="shared" si="15"/>
        <v>0</v>
      </c>
      <c r="AN31" s="250">
        <f t="shared" si="15"/>
        <v>0</v>
      </c>
      <c r="AO31" s="250">
        <f t="shared" si="15"/>
        <v>0</v>
      </c>
      <c r="AP31" s="250">
        <f t="shared" si="15"/>
        <v>0</v>
      </c>
    </row>
    <row r="32" spans="1:42" x14ac:dyDescent="0.2">
      <c r="A32" s="33" t="s">
        <v>20</v>
      </c>
      <c r="C32" s="256">
        <f t="shared" ref="C32:AP32" si="16">IF(C$2&lt;=analysis_period,om_production*(1+inflation_rate/100+om_production_escal/100)^B$2,0)</f>
        <v>0</v>
      </c>
      <c r="D32" s="256">
        <f t="shared" si="16"/>
        <v>0</v>
      </c>
      <c r="E32" s="256">
        <f t="shared" si="16"/>
        <v>0</v>
      </c>
      <c r="F32" s="256">
        <f t="shared" si="16"/>
        <v>0</v>
      </c>
      <c r="G32" s="256">
        <f t="shared" si="16"/>
        <v>0</v>
      </c>
      <c r="H32" s="256">
        <f t="shared" si="16"/>
        <v>0</v>
      </c>
      <c r="I32" s="256">
        <f t="shared" si="16"/>
        <v>0</v>
      </c>
      <c r="J32" s="256">
        <f t="shared" si="16"/>
        <v>0</v>
      </c>
      <c r="K32" s="256">
        <f t="shared" si="16"/>
        <v>0</v>
      </c>
      <c r="L32" s="256">
        <f t="shared" si="16"/>
        <v>0</v>
      </c>
      <c r="M32" s="256">
        <f t="shared" si="16"/>
        <v>0</v>
      </c>
      <c r="N32" s="256">
        <f t="shared" si="16"/>
        <v>0</v>
      </c>
      <c r="O32" s="256">
        <f t="shared" si="16"/>
        <v>0</v>
      </c>
      <c r="P32" s="256">
        <f t="shared" si="16"/>
        <v>0</v>
      </c>
      <c r="Q32" s="256">
        <f t="shared" si="16"/>
        <v>0</v>
      </c>
      <c r="R32" s="256">
        <f t="shared" si="16"/>
        <v>0</v>
      </c>
      <c r="S32" s="256">
        <f t="shared" si="16"/>
        <v>0</v>
      </c>
      <c r="T32" s="256">
        <f t="shared" si="16"/>
        <v>0</v>
      </c>
      <c r="U32" s="256">
        <f t="shared" si="16"/>
        <v>0</v>
      </c>
      <c r="V32" s="256">
        <f t="shared" si="16"/>
        <v>0</v>
      </c>
      <c r="W32" s="256">
        <f t="shared" si="16"/>
        <v>0</v>
      </c>
      <c r="X32" s="256">
        <f t="shared" si="16"/>
        <v>0</v>
      </c>
      <c r="Y32" s="256">
        <f t="shared" si="16"/>
        <v>0</v>
      </c>
      <c r="Z32" s="256">
        <f t="shared" si="16"/>
        <v>0</v>
      </c>
      <c r="AA32" s="256">
        <f t="shared" si="16"/>
        <v>0</v>
      </c>
      <c r="AB32" s="256">
        <f t="shared" si="16"/>
        <v>0</v>
      </c>
      <c r="AC32" s="256">
        <f t="shared" si="16"/>
        <v>0</v>
      </c>
      <c r="AD32" s="256">
        <f t="shared" si="16"/>
        <v>0</v>
      </c>
      <c r="AE32" s="256">
        <f t="shared" si="16"/>
        <v>0</v>
      </c>
      <c r="AF32" s="256">
        <f t="shared" si="16"/>
        <v>0</v>
      </c>
      <c r="AG32" s="256">
        <f t="shared" si="16"/>
        <v>0</v>
      </c>
      <c r="AH32" s="256">
        <f t="shared" si="16"/>
        <v>0</v>
      </c>
      <c r="AI32" s="256">
        <f t="shared" si="16"/>
        <v>0</v>
      </c>
      <c r="AJ32" s="256">
        <f t="shared" si="16"/>
        <v>0</v>
      </c>
      <c r="AK32" s="256">
        <f t="shared" si="16"/>
        <v>0</v>
      </c>
      <c r="AL32" s="256">
        <f t="shared" si="16"/>
        <v>0</v>
      </c>
      <c r="AM32" s="256">
        <f t="shared" si="16"/>
        <v>0</v>
      </c>
      <c r="AN32" s="256">
        <f t="shared" si="16"/>
        <v>0</v>
      </c>
      <c r="AO32" s="256">
        <f t="shared" si="16"/>
        <v>0</v>
      </c>
      <c r="AP32" s="256">
        <f t="shared" si="16"/>
        <v>0</v>
      </c>
    </row>
    <row r="33" spans="1:42" x14ac:dyDescent="0.2">
      <c r="A33" s="33" t="s">
        <v>179</v>
      </c>
      <c r="C33" s="260">
        <f>C31*C32</f>
        <v>0</v>
      </c>
      <c r="D33" s="260">
        <f t="shared" ref="D33:AP33" si="17">D31*D32</f>
        <v>0</v>
      </c>
      <c r="E33" s="260">
        <f t="shared" si="17"/>
        <v>0</v>
      </c>
      <c r="F33" s="260">
        <f t="shared" si="17"/>
        <v>0</v>
      </c>
      <c r="G33" s="260">
        <f t="shared" si="17"/>
        <v>0</v>
      </c>
      <c r="H33" s="260">
        <f t="shared" si="17"/>
        <v>0</v>
      </c>
      <c r="I33" s="260">
        <f t="shared" si="17"/>
        <v>0</v>
      </c>
      <c r="J33" s="260">
        <f t="shared" si="17"/>
        <v>0</v>
      </c>
      <c r="K33" s="260">
        <f t="shared" si="17"/>
        <v>0</v>
      </c>
      <c r="L33" s="260">
        <f t="shared" si="17"/>
        <v>0</v>
      </c>
      <c r="M33" s="260">
        <f t="shared" si="17"/>
        <v>0</v>
      </c>
      <c r="N33" s="260">
        <f t="shared" si="17"/>
        <v>0</v>
      </c>
      <c r="O33" s="260">
        <f t="shared" si="17"/>
        <v>0</v>
      </c>
      <c r="P33" s="260">
        <f t="shared" si="17"/>
        <v>0</v>
      </c>
      <c r="Q33" s="260">
        <f t="shared" si="17"/>
        <v>0</v>
      </c>
      <c r="R33" s="260">
        <f t="shared" si="17"/>
        <v>0</v>
      </c>
      <c r="S33" s="260">
        <f t="shared" si="17"/>
        <v>0</v>
      </c>
      <c r="T33" s="260">
        <f t="shared" si="17"/>
        <v>0</v>
      </c>
      <c r="U33" s="260">
        <f t="shared" si="17"/>
        <v>0</v>
      </c>
      <c r="V33" s="260">
        <f t="shared" si="17"/>
        <v>0</v>
      </c>
      <c r="W33" s="260">
        <f t="shared" si="17"/>
        <v>0</v>
      </c>
      <c r="X33" s="260">
        <f t="shared" si="17"/>
        <v>0</v>
      </c>
      <c r="Y33" s="260">
        <f t="shared" si="17"/>
        <v>0</v>
      </c>
      <c r="Z33" s="260">
        <f t="shared" si="17"/>
        <v>0</v>
      </c>
      <c r="AA33" s="260">
        <f t="shared" si="17"/>
        <v>0</v>
      </c>
      <c r="AB33" s="260">
        <f t="shared" si="17"/>
        <v>0</v>
      </c>
      <c r="AC33" s="260">
        <f t="shared" si="17"/>
        <v>0</v>
      </c>
      <c r="AD33" s="260">
        <f t="shared" si="17"/>
        <v>0</v>
      </c>
      <c r="AE33" s="260">
        <f t="shared" si="17"/>
        <v>0</v>
      </c>
      <c r="AF33" s="260">
        <f t="shared" si="17"/>
        <v>0</v>
      </c>
      <c r="AG33" s="260">
        <f t="shared" si="17"/>
        <v>0</v>
      </c>
      <c r="AH33" s="260">
        <f t="shared" si="17"/>
        <v>0</v>
      </c>
      <c r="AI33" s="260">
        <f t="shared" si="17"/>
        <v>0</v>
      </c>
      <c r="AJ33" s="260">
        <f t="shared" si="17"/>
        <v>0</v>
      </c>
      <c r="AK33" s="260">
        <f t="shared" si="17"/>
        <v>0</v>
      </c>
      <c r="AL33" s="260">
        <f t="shared" si="17"/>
        <v>0</v>
      </c>
      <c r="AM33" s="260">
        <f t="shared" si="17"/>
        <v>0</v>
      </c>
      <c r="AN33" s="260">
        <f t="shared" si="17"/>
        <v>0</v>
      </c>
      <c r="AO33" s="260">
        <f t="shared" si="17"/>
        <v>0</v>
      </c>
      <c r="AP33" s="260">
        <f t="shared" si="17"/>
        <v>0</v>
      </c>
    </row>
    <row r="34" spans="1:42" x14ac:dyDescent="0.2">
      <c r="A34" s="29" t="s">
        <v>2</v>
      </c>
      <c r="C34" s="250">
        <f t="shared" ref="C34:AP34" si="18">C22*property_tax_rate/100</f>
        <v>0</v>
      </c>
      <c r="D34" s="250">
        <f t="shared" si="18"/>
        <v>0</v>
      </c>
      <c r="E34" s="250">
        <f t="shared" si="18"/>
        <v>0</v>
      </c>
      <c r="F34" s="250">
        <f t="shared" si="18"/>
        <v>0</v>
      </c>
      <c r="G34" s="250">
        <f t="shared" si="18"/>
        <v>0</v>
      </c>
      <c r="H34" s="250">
        <f t="shared" si="18"/>
        <v>0</v>
      </c>
      <c r="I34" s="250">
        <f t="shared" si="18"/>
        <v>0</v>
      </c>
      <c r="J34" s="250">
        <f t="shared" si="18"/>
        <v>0</v>
      </c>
      <c r="K34" s="250">
        <f t="shared" si="18"/>
        <v>0</v>
      </c>
      <c r="L34" s="250">
        <f t="shared" si="18"/>
        <v>0</v>
      </c>
      <c r="M34" s="250">
        <f t="shared" si="18"/>
        <v>0</v>
      </c>
      <c r="N34" s="250">
        <f t="shared" si="18"/>
        <v>0</v>
      </c>
      <c r="O34" s="250">
        <f t="shared" si="18"/>
        <v>0</v>
      </c>
      <c r="P34" s="250">
        <f t="shared" si="18"/>
        <v>0</v>
      </c>
      <c r="Q34" s="250">
        <f t="shared" si="18"/>
        <v>0</v>
      </c>
      <c r="R34" s="250">
        <f t="shared" si="18"/>
        <v>0</v>
      </c>
      <c r="S34" s="250">
        <f t="shared" si="18"/>
        <v>0</v>
      </c>
      <c r="T34" s="250">
        <f t="shared" si="18"/>
        <v>0</v>
      </c>
      <c r="U34" s="250">
        <f t="shared" si="18"/>
        <v>0</v>
      </c>
      <c r="V34" s="250">
        <f t="shared" si="18"/>
        <v>0</v>
      </c>
      <c r="W34" s="250">
        <f t="shared" si="18"/>
        <v>0</v>
      </c>
      <c r="X34" s="250">
        <f t="shared" si="18"/>
        <v>0</v>
      </c>
      <c r="Y34" s="250">
        <f t="shared" si="18"/>
        <v>0</v>
      </c>
      <c r="Z34" s="250">
        <f t="shared" si="18"/>
        <v>0</v>
      </c>
      <c r="AA34" s="250">
        <f t="shared" si="18"/>
        <v>0</v>
      </c>
      <c r="AB34" s="250">
        <f t="shared" si="18"/>
        <v>0</v>
      </c>
      <c r="AC34" s="250">
        <f t="shared" si="18"/>
        <v>0</v>
      </c>
      <c r="AD34" s="250">
        <f t="shared" si="18"/>
        <v>0</v>
      </c>
      <c r="AE34" s="250">
        <f t="shared" si="18"/>
        <v>0</v>
      </c>
      <c r="AF34" s="250">
        <f t="shared" si="18"/>
        <v>0</v>
      </c>
      <c r="AG34" s="250">
        <f t="shared" si="18"/>
        <v>0</v>
      </c>
      <c r="AH34" s="250">
        <f t="shared" si="18"/>
        <v>0</v>
      </c>
      <c r="AI34" s="250">
        <f t="shared" si="18"/>
        <v>0</v>
      </c>
      <c r="AJ34" s="250">
        <f t="shared" si="18"/>
        <v>0</v>
      </c>
      <c r="AK34" s="250">
        <f t="shared" si="18"/>
        <v>0</v>
      </c>
      <c r="AL34" s="250">
        <f t="shared" si="18"/>
        <v>0</v>
      </c>
      <c r="AM34" s="250">
        <f t="shared" si="18"/>
        <v>0</v>
      </c>
      <c r="AN34" s="250">
        <f t="shared" si="18"/>
        <v>0</v>
      </c>
      <c r="AO34" s="250">
        <f t="shared" si="18"/>
        <v>0</v>
      </c>
      <c r="AP34" s="250">
        <f t="shared" si="18"/>
        <v>0</v>
      </c>
    </row>
    <row r="35" spans="1:42" x14ac:dyDescent="0.2">
      <c r="A35" s="29" t="s">
        <v>60</v>
      </c>
      <c r="C35" s="245">
        <f t="shared" ref="C35:AP35" si="19">IF(C$2&lt;=analysis_period,total_installed_cost*insurance_rate/100*(1+inflation_rate/100)^B$2,0)</f>
        <v>192650</v>
      </c>
      <c r="D35" s="245">
        <f t="shared" si="19"/>
        <v>197466.24999999997</v>
      </c>
      <c r="E35" s="245">
        <f t="shared" si="19"/>
        <v>202402.90624999997</v>
      </c>
      <c r="F35" s="245">
        <f t="shared" si="19"/>
        <v>207462.97890624998</v>
      </c>
      <c r="G35" s="245">
        <f t="shared" si="19"/>
        <v>212649.55337890622</v>
      </c>
      <c r="H35" s="245">
        <f t="shared" si="19"/>
        <v>217965.79221337885</v>
      </c>
      <c r="I35" s="245">
        <f t="shared" si="19"/>
        <v>223414.9370187133</v>
      </c>
      <c r="J35" s="245">
        <f t="shared" si="19"/>
        <v>229000.31044418114</v>
      </c>
      <c r="K35" s="245">
        <f t="shared" si="19"/>
        <v>234725.31820528564</v>
      </c>
      <c r="L35" s="245">
        <f t="shared" si="19"/>
        <v>240593.45116041775</v>
      </c>
      <c r="M35" s="245">
        <f t="shared" si="19"/>
        <v>246608.28743942818</v>
      </c>
      <c r="N35" s="245">
        <f t="shared" si="19"/>
        <v>252773.49462541391</v>
      </c>
      <c r="O35" s="245">
        <f t="shared" si="19"/>
        <v>259092.83199104923</v>
      </c>
      <c r="P35" s="245">
        <f t="shared" si="19"/>
        <v>265570.15279082546</v>
      </c>
      <c r="Q35" s="245">
        <f t="shared" si="19"/>
        <v>272209.40661059605</v>
      </c>
      <c r="R35" s="245">
        <f t="shared" si="19"/>
        <v>279014.64177586098</v>
      </c>
      <c r="S35" s="245">
        <f t="shared" si="19"/>
        <v>285990.00782025751</v>
      </c>
      <c r="T35" s="245">
        <f t="shared" si="19"/>
        <v>293139.75801576389</v>
      </c>
      <c r="U35" s="245">
        <f t="shared" si="19"/>
        <v>300468.25196615799</v>
      </c>
      <c r="V35" s="245">
        <f t="shared" si="19"/>
        <v>307979.95826531196</v>
      </c>
      <c r="W35" s="245">
        <f t="shared" si="19"/>
        <v>315679.4572219447</v>
      </c>
      <c r="X35" s="245">
        <f t="shared" si="19"/>
        <v>323571.4436524933</v>
      </c>
      <c r="Y35" s="245">
        <f t="shared" si="19"/>
        <v>331660.7297438056</v>
      </c>
      <c r="Z35" s="245">
        <f t="shared" si="19"/>
        <v>339952.24798740074</v>
      </c>
      <c r="AA35" s="245">
        <f t="shared" si="19"/>
        <v>348451.05418708577</v>
      </c>
      <c r="AB35" s="245">
        <f t="shared" si="19"/>
        <v>0</v>
      </c>
      <c r="AC35" s="245">
        <f t="shared" si="19"/>
        <v>0</v>
      </c>
      <c r="AD35" s="245">
        <f t="shared" si="19"/>
        <v>0</v>
      </c>
      <c r="AE35" s="245">
        <f t="shared" si="19"/>
        <v>0</v>
      </c>
      <c r="AF35" s="245">
        <f t="shared" si="19"/>
        <v>0</v>
      </c>
      <c r="AG35" s="245">
        <f t="shared" si="19"/>
        <v>0</v>
      </c>
      <c r="AH35" s="245">
        <f t="shared" si="19"/>
        <v>0</v>
      </c>
      <c r="AI35" s="245">
        <f t="shared" si="19"/>
        <v>0</v>
      </c>
      <c r="AJ35" s="245">
        <f t="shared" si="19"/>
        <v>0</v>
      </c>
      <c r="AK35" s="245">
        <f t="shared" si="19"/>
        <v>0</v>
      </c>
      <c r="AL35" s="245">
        <f t="shared" si="19"/>
        <v>0</v>
      </c>
      <c r="AM35" s="245">
        <f t="shared" si="19"/>
        <v>0</v>
      </c>
      <c r="AN35" s="245">
        <f t="shared" si="19"/>
        <v>0</v>
      </c>
      <c r="AO35" s="245">
        <f t="shared" si="19"/>
        <v>0</v>
      </c>
      <c r="AP35" s="245">
        <f t="shared" si="19"/>
        <v>0</v>
      </c>
    </row>
    <row r="36" spans="1:42" x14ac:dyDescent="0.2">
      <c r="A36" s="54" t="s">
        <v>26</v>
      </c>
      <c r="B36" s="54"/>
      <c r="C36" s="261">
        <f t="shared" ref="C36:AP36" si="20">C25+C29+C33+C34+C35</f>
        <v>492650</v>
      </c>
      <c r="D36" s="261">
        <f t="shared" si="20"/>
        <v>504966.24999999988</v>
      </c>
      <c r="E36" s="261">
        <f t="shared" si="20"/>
        <v>517590.40625</v>
      </c>
      <c r="F36" s="261">
        <f t="shared" si="20"/>
        <v>530530.16640624986</v>
      </c>
      <c r="G36" s="261">
        <f t="shared" si="20"/>
        <v>543793.4205664061</v>
      </c>
      <c r="H36" s="261">
        <f t="shared" si="20"/>
        <v>557388.25608056621</v>
      </c>
      <c r="I36" s="261">
        <f t="shared" si="20"/>
        <v>571322.96248258033</v>
      </c>
      <c r="J36" s="261">
        <f t="shared" si="20"/>
        <v>585606.03654464486</v>
      </c>
      <c r="K36" s="261">
        <f t="shared" si="20"/>
        <v>600246.18745826092</v>
      </c>
      <c r="L36" s="261">
        <f t="shared" si="20"/>
        <v>615252.34214471735</v>
      </c>
      <c r="M36" s="261">
        <f t="shared" si="20"/>
        <v>630633.65069833538</v>
      </c>
      <c r="N36" s="261">
        <f t="shared" si="20"/>
        <v>646399.49196579377</v>
      </c>
      <c r="O36" s="261">
        <f t="shared" si="20"/>
        <v>662559.47926493851</v>
      </c>
      <c r="P36" s="261">
        <f t="shared" si="20"/>
        <v>679123.46624656185</v>
      </c>
      <c r="Q36" s="261">
        <f t="shared" si="20"/>
        <v>696101.55290272599</v>
      </c>
      <c r="R36" s="261">
        <f t="shared" si="20"/>
        <v>713504.09172529413</v>
      </c>
      <c r="S36" s="261">
        <f t="shared" si="20"/>
        <v>731341.69401842647</v>
      </c>
      <c r="T36" s="261">
        <f t="shared" si="20"/>
        <v>749625.23636888689</v>
      </c>
      <c r="U36" s="261">
        <f t="shared" si="20"/>
        <v>768365.86727810919</v>
      </c>
      <c r="V36" s="261">
        <f t="shared" si="20"/>
        <v>787575.01396006194</v>
      </c>
      <c r="W36" s="261">
        <f t="shared" si="20"/>
        <v>807264.38930906332</v>
      </c>
      <c r="X36" s="261">
        <f t="shared" si="20"/>
        <v>827445.99904178991</v>
      </c>
      <c r="Y36" s="261">
        <f t="shared" si="20"/>
        <v>848132.14901783457</v>
      </c>
      <c r="Z36" s="261">
        <f t="shared" si="20"/>
        <v>869335.45274328045</v>
      </c>
      <c r="AA36" s="261">
        <f t="shared" si="20"/>
        <v>891068.83906186256</v>
      </c>
      <c r="AB36" s="261">
        <f t="shared" si="20"/>
        <v>0</v>
      </c>
      <c r="AC36" s="261">
        <f t="shared" si="20"/>
        <v>0</v>
      </c>
      <c r="AD36" s="261">
        <f t="shared" si="20"/>
        <v>0</v>
      </c>
      <c r="AE36" s="261">
        <f t="shared" si="20"/>
        <v>0</v>
      </c>
      <c r="AF36" s="261">
        <f t="shared" si="20"/>
        <v>0</v>
      </c>
      <c r="AG36" s="261">
        <f t="shared" si="20"/>
        <v>0</v>
      </c>
      <c r="AH36" s="261">
        <f t="shared" si="20"/>
        <v>0</v>
      </c>
      <c r="AI36" s="261">
        <f t="shared" si="20"/>
        <v>0</v>
      </c>
      <c r="AJ36" s="261">
        <f t="shared" si="20"/>
        <v>0</v>
      </c>
      <c r="AK36" s="261">
        <f t="shared" si="20"/>
        <v>0</v>
      </c>
      <c r="AL36" s="261">
        <f t="shared" si="20"/>
        <v>0</v>
      </c>
      <c r="AM36" s="261">
        <f t="shared" si="20"/>
        <v>0</v>
      </c>
      <c r="AN36" s="261">
        <f t="shared" si="20"/>
        <v>0</v>
      </c>
      <c r="AO36" s="261">
        <f t="shared" si="20"/>
        <v>0</v>
      </c>
      <c r="AP36" s="261">
        <f t="shared" si="20"/>
        <v>0</v>
      </c>
    </row>
    <row r="38" spans="1:42" x14ac:dyDescent="0.2">
      <c r="A38" s="350" t="s">
        <v>32</v>
      </c>
      <c r="B38" s="54"/>
      <c r="C38" s="261">
        <f t="shared" ref="C38:AP38" si="21">C20-C36</f>
        <v>-492650</v>
      </c>
      <c r="D38" s="261">
        <f t="shared" si="21"/>
        <v>-504966.24999999988</v>
      </c>
      <c r="E38" s="261">
        <f t="shared" si="21"/>
        <v>-517590.40625</v>
      </c>
      <c r="F38" s="261">
        <f t="shared" si="21"/>
        <v>-530530.16640624986</v>
      </c>
      <c r="G38" s="261">
        <f t="shared" si="21"/>
        <v>-543793.4205664061</v>
      </c>
      <c r="H38" s="261">
        <f t="shared" si="21"/>
        <v>-557388.25608056621</v>
      </c>
      <c r="I38" s="261">
        <f t="shared" si="21"/>
        <v>-571322.96248258033</v>
      </c>
      <c r="J38" s="261">
        <f t="shared" si="21"/>
        <v>-585606.03654464486</v>
      </c>
      <c r="K38" s="261">
        <f t="shared" si="21"/>
        <v>-600246.18745826092</v>
      </c>
      <c r="L38" s="261">
        <f t="shared" si="21"/>
        <v>-615252.34214471735</v>
      </c>
      <c r="M38" s="261">
        <f t="shared" si="21"/>
        <v>-630633.65069833538</v>
      </c>
      <c r="N38" s="261">
        <f t="shared" si="21"/>
        <v>-646399.49196579377</v>
      </c>
      <c r="O38" s="261">
        <f t="shared" si="21"/>
        <v>-662559.47926493851</v>
      </c>
      <c r="P38" s="261">
        <f t="shared" si="21"/>
        <v>-679123.46624656185</v>
      </c>
      <c r="Q38" s="261">
        <f t="shared" si="21"/>
        <v>-696101.55290272599</v>
      </c>
      <c r="R38" s="261">
        <f t="shared" si="21"/>
        <v>-713504.09172529413</v>
      </c>
      <c r="S38" s="261">
        <f t="shared" si="21"/>
        <v>-731341.69401842647</v>
      </c>
      <c r="T38" s="261">
        <f t="shared" si="21"/>
        <v>-749625.23636888689</v>
      </c>
      <c r="U38" s="261">
        <f t="shared" si="21"/>
        <v>-768365.86727810919</v>
      </c>
      <c r="V38" s="261">
        <f t="shared" si="21"/>
        <v>-787575.01396006194</v>
      </c>
      <c r="W38" s="261">
        <f t="shared" si="21"/>
        <v>-807264.38930906332</v>
      </c>
      <c r="X38" s="261">
        <f t="shared" si="21"/>
        <v>-827445.99904178991</v>
      </c>
      <c r="Y38" s="261">
        <f t="shared" si="21"/>
        <v>-848132.14901783457</v>
      </c>
      <c r="Z38" s="261">
        <f t="shared" si="21"/>
        <v>-869335.45274328045</v>
      </c>
      <c r="AA38" s="261">
        <f t="shared" si="21"/>
        <v>-891068.83906186256</v>
      </c>
      <c r="AB38" s="261">
        <f t="shared" si="21"/>
        <v>0</v>
      </c>
      <c r="AC38" s="261">
        <f t="shared" si="21"/>
        <v>0</v>
      </c>
      <c r="AD38" s="261">
        <f t="shared" si="21"/>
        <v>0</v>
      </c>
      <c r="AE38" s="261">
        <f t="shared" si="21"/>
        <v>0</v>
      </c>
      <c r="AF38" s="261">
        <f t="shared" si="21"/>
        <v>0</v>
      </c>
      <c r="AG38" s="261">
        <f t="shared" si="21"/>
        <v>0</v>
      </c>
      <c r="AH38" s="261">
        <f t="shared" si="21"/>
        <v>0</v>
      </c>
      <c r="AI38" s="261">
        <f t="shared" si="21"/>
        <v>0</v>
      </c>
      <c r="AJ38" s="261">
        <f t="shared" si="21"/>
        <v>0</v>
      </c>
      <c r="AK38" s="261">
        <f t="shared" si="21"/>
        <v>0</v>
      </c>
      <c r="AL38" s="261">
        <f t="shared" si="21"/>
        <v>0</v>
      </c>
      <c r="AM38" s="261">
        <f t="shared" si="21"/>
        <v>0</v>
      </c>
      <c r="AN38" s="261">
        <f t="shared" si="21"/>
        <v>0</v>
      </c>
      <c r="AO38" s="261">
        <f t="shared" si="21"/>
        <v>0</v>
      </c>
      <c r="AP38" s="261">
        <f t="shared" si="21"/>
        <v>0</v>
      </c>
    </row>
    <row r="39" spans="1:42" x14ac:dyDescent="0.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row>
    <row r="40" spans="1:42" x14ac:dyDescent="0.2">
      <c r="A40" s="154" t="s">
        <v>126</v>
      </c>
      <c r="B40" s="11"/>
      <c r="C40" s="358"/>
      <c r="D40" s="358"/>
      <c r="E40" s="358"/>
      <c r="F40" s="358"/>
      <c r="G40" s="358"/>
      <c r="H40" s="358"/>
      <c r="I40" s="358"/>
      <c r="J40" s="358"/>
      <c r="K40" s="358"/>
      <c r="L40" s="358"/>
      <c r="M40" s="358"/>
      <c r="N40" s="358"/>
      <c r="O40" s="358"/>
      <c r="P40" s="358"/>
      <c r="Q40" s="358"/>
      <c r="R40" s="358"/>
      <c r="S40" s="358"/>
      <c r="T40" s="358"/>
      <c r="U40" s="358"/>
      <c r="V40" s="358"/>
      <c r="W40" s="358"/>
      <c r="X40" s="358"/>
      <c r="Y40" s="358"/>
      <c r="Z40" s="358"/>
      <c r="AA40" s="358"/>
      <c r="AB40" s="358"/>
      <c r="AC40" s="358"/>
      <c r="AD40" s="358"/>
      <c r="AE40" s="358"/>
      <c r="AF40" s="358"/>
      <c r="AG40" s="358"/>
      <c r="AH40" s="358"/>
      <c r="AI40" s="358"/>
      <c r="AJ40" s="358"/>
      <c r="AK40" s="358"/>
      <c r="AL40" s="358"/>
      <c r="AM40" s="358"/>
      <c r="AN40" s="358"/>
      <c r="AO40" s="358"/>
      <c r="AP40" s="358"/>
    </row>
    <row r="41" spans="1:42" x14ac:dyDescent="0.2">
      <c r="A41" s="31" t="s">
        <v>96</v>
      </c>
      <c r="B41" s="25"/>
      <c r="C41" s="25"/>
      <c r="D41" s="25"/>
      <c r="E41" s="25"/>
      <c r="F41" s="2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x14ac:dyDescent="0.2">
      <c r="A42" s="29" t="s">
        <v>46</v>
      </c>
      <c r="B42" s="250"/>
      <c r="C42" s="250">
        <f>C38</f>
        <v>-492650</v>
      </c>
      <c r="D42" s="250">
        <f t="shared" ref="D42:AP42" si="22">D38</f>
        <v>-504966.24999999988</v>
      </c>
      <c r="E42" s="250">
        <f t="shared" si="22"/>
        <v>-517590.40625</v>
      </c>
      <c r="F42" s="250">
        <f t="shared" si="22"/>
        <v>-530530.16640624986</v>
      </c>
      <c r="G42" s="250">
        <f t="shared" si="22"/>
        <v>-543793.4205664061</v>
      </c>
      <c r="H42" s="250">
        <f t="shared" si="22"/>
        <v>-557388.25608056621</v>
      </c>
      <c r="I42" s="250">
        <f t="shared" si="22"/>
        <v>-571322.96248258033</v>
      </c>
      <c r="J42" s="250">
        <f t="shared" si="22"/>
        <v>-585606.03654464486</v>
      </c>
      <c r="K42" s="250">
        <f t="shared" si="22"/>
        <v>-600246.18745826092</v>
      </c>
      <c r="L42" s="250">
        <f t="shared" si="22"/>
        <v>-615252.34214471735</v>
      </c>
      <c r="M42" s="250">
        <f t="shared" si="22"/>
        <v>-630633.65069833538</v>
      </c>
      <c r="N42" s="250">
        <f t="shared" si="22"/>
        <v>-646399.49196579377</v>
      </c>
      <c r="O42" s="250">
        <f t="shared" si="22"/>
        <v>-662559.47926493851</v>
      </c>
      <c r="P42" s="250">
        <f t="shared" si="22"/>
        <v>-679123.46624656185</v>
      </c>
      <c r="Q42" s="250">
        <f t="shared" si="22"/>
        <v>-696101.55290272599</v>
      </c>
      <c r="R42" s="250">
        <f t="shared" si="22"/>
        <v>-713504.09172529413</v>
      </c>
      <c r="S42" s="250">
        <f t="shared" si="22"/>
        <v>-731341.69401842647</v>
      </c>
      <c r="T42" s="250">
        <f t="shared" si="22"/>
        <v>-749625.23636888689</v>
      </c>
      <c r="U42" s="250">
        <f t="shared" si="22"/>
        <v>-768365.86727810919</v>
      </c>
      <c r="V42" s="250">
        <f t="shared" si="22"/>
        <v>-787575.01396006194</v>
      </c>
      <c r="W42" s="250">
        <f t="shared" si="22"/>
        <v>-807264.38930906332</v>
      </c>
      <c r="X42" s="250">
        <f t="shared" si="22"/>
        <v>-827445.99904178991</v>
      </c>
      <c r="Y42" s="250">
        <f t="shared" si="22"/>
        <v>-848132.14901783457</v>
      </c>
      <c r="Z42" s="250">
        <f t="shared" si="22"/>
        <v>-869335.45274328045</v>
      </c>
      <c r="AA42" s="250">
        <f t="shared" si="22"/>
        <v>-891068.83906186256</v>
      </c>
      <c r="AB42" s="250">
        <f t="shared" si="22"/>
        <v>0</v>
      </c>
      <c r="AC42" s="250">
        <f t="shared" si="22"/>
        <v>0</v>
      </c>
      <c r="AD42" s="250">
        <f t="shared" si="22"/>
        <v>0</v>
      </c>
      <c r="AE42" s="250">
        <f t="shared" si="22"/>
        <v>0</v>
      </c>
      <c r="AF42" s="250">
        <f t="shared" si="22"/>
        <v>0</v>
      </c>
      <c r="AG42" s="250">
        <f t="shared" si="22"/>
        <v>0</v>
      </c>
      <c r="AH42" s="250">
        <f t="shared" si="22"/>
        <v>0</v>
      </c>
      <c r="AI42" s="250">
        <f t="shared" si="22"/>
        <v>0</v>
      </c>
      <c r="AJ42" s="250">
        <f t="shared" si="22"/>
        <v>0</v>
      </c>
      <c r="AK42" s="250">
        <f t="shared" si="22"/>
        <v>0</v>
      </c>
      <c r="AL42" s="250">
        <f t="shared" si="22"/>
        <v>0</v>
      </c>
      <c r="AM42" s="250">
        <f t="shared" si="22"/>
        <v>0</v>
      </c>
      <c r="AN42" s="250">
        <f t="shared" si="22"/>
        <v>0</v>
      </c>
      <c r="AO42" s="250">
        <f t="shared" si="22"/>
        <v>0</v>
      </c>
      <c r="AP42" s="250">
        <f t="shared" si="22"/>
        <v>0</v>
      </c>
    </row>
    <row r="43" spans="1:42" x14ac:dyDescent="0.2">
      <c r="A43" s="29" t="s">
        <v>263</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3" t="str">
        <f>A14</f>
        <v>Federal ($/W)</v>
      </c>
      <c r="B44" s="186"/>
      <c r="C44" s="195">
        <f t="shared" ref="C44:AP44" si="23">IF(pbi_fed_for_ds="Yes",0,C514)</f>
        <v>0</v>
      </c>
      <c r="D44" s="195">
        <f t="shared" si="23"/>
        <v>0</v>
      </c>
      <c r="E44" s="195">
        <f t="shared" si="23"/>
        <v>0</v>
      </c>
      <c r="F44" s="195">
        <f t="shared" si="23"/>
        <v>0</v>
      </c>
      <c r="G44" s="195">
        <f t="shared" si="23"/>
        <v>0</v>
      </c>
      <c r="H44" s="195">
        <f t="shared" si="23"/>
        <v>0</v>
      </c>
      <c r="I44" s="195">
        <f t="shared" si="23"/>
        <v>0</v>
      </c>
      <c r="J44" s="195">
        <f t="shared" si="23"/>
        <v>0</v>
      </c>
      <c r="K44" s="195">
        <f t="shared" si="23"/>
        <v>0</v>
      </c>
      <c r="L44" s="195">
        <f t="shared" si="23"/>
        <v>0</v>
      </c>
      <c r="M44" s="195">
        <f t="shared" si="23"/>
        <v>0</v>
      </c>
      <c r="N44" s="195">
        <f t="shared" si="23"/>
        <v>0</v>
      </c>
      <c r="O44" s="195">
        <f t="shared" si="23"/>
        <v>0</v>
      </c>
      <c r="P44" s="195">
        <f t="shared" si="23"/>
        <v>0</v>
      </c>
      <c r="Q44" s="195">
        <f t="shared" si="23"/>
        <v>0</v>
      </c>
      <c r="R44" s="195">
        <f t="shared" si="23"/>
        <v>0</v>
      </c>
      <c r="S44" s="195">
        <f t="shared" si="23"/>
        <v>0</v>
      </c>
      <c r="T44" s="195">
        <f t="shared" si="23"/>
        <v>0</v>
      </c>
      <c r="U44" s="195">
        <f t="shared" si="23"/>
        <v>0</v>
      </c>
      <c r="V44" s="195">
        <f t="shared" si="23"/>
        <v>0</v>
      </c>
      <c r="W44" s="195">
        <f t="shared" si="23"/>
        <v>0</v>
      </c>
      <c r="X44" s="195">
        <f t="shared" si="23"/>
        <v>0</v>
      </c>
      <c r="Y44" s="195">
        <f t="shared" si="23"/>
        <v>0</v>
      </c>
      <c r="Z44" s="195">
        <f t="shared" si="23"/>
        <v>0</v>
      </c>
      <c r="AA44" s="195">
        <f t="shared" si="23"/>
        <v>0</v>
      </c>
      <c r="AB44" s="195">
        <f t="shared" si="23"/>
        <v>0</v>
      </c>
      <c r="AC44" s="195">
        <f t="shared" si="23"/>
        <v>0</v>
      </c>
      <c r="AD44" s="195">
        <f t="shared" si="23"/>
        <v>0</v>
      </c>
      <c r="AE44" s="195">
        <f t="shared" si="23"/>
        <v>0</v>
      </c>
      <c r="AF44" s="195">
        <f t="shared" si="23"/>
        <v>0</v>
      </c>
      <c r="AG44" s="195">
        <f t="shared" si="23"/>
        <v>0</v>
      </c>
      <c r="AH44" s="195">
        <f t="shared" si="23"/>
        <v>0</v>
      </c>
      <c r="AI44" s="195">
        <f t="shared" si="23"/>
        <v>0</v>
      </c>
      <c r="AJ44" s="195">
        <f t="shared" si="23"/>
        <v>0</v>
      </c>
      <c r="AK44" s="195">
        <f t="shared" si="23"/>
        <v>0</v>
      </c>
      <c r="AL44" s="195">
        <f t="shared" si="23"/>
        <v>0</v>
      </c>
      <c r="AM44" s="195">
        <f t="shared" si="23"/>
        <v>0</v>
      </c>
      <c r="AN44" s="195">
        <f t="shared" si="23"/>
        <v>0</v>
      </c>
      <c r="AO44" s="195">
        <f t="shared" si="23"/>
        <v>0</v>
      </c>
      <c r="AP44" s="195">
        <f t="shared" si="23"/>
        <v>0</v>
      </c>
    </row>
    <row r="45" spans="1:42" x14ac:dyDescent="0.2">
      <c r="A45" s="33" t="str">
        <f>A15</f>
        <v>State ($/W)</v>
      </c>
      <c r="B45" s="186"/>
      <c r="C45" s="195">
        <f t="shared" ref="C45:AP45" si="24">IF(pbi_sta_for_ds="Yes",0,C518)</f>
        <v>0</v>
      </c>
      <c r="D45" s="195">
        <f t="shared" si="24"/>
        <v>0</v>
      </c>
      <c r="E45" s="195">
        <f t="shared" si="24"/>
        <v>0</v>
      </c>
      <c r="F45" s="195">
        <f t="shared" si="24"/>
        <v>0</v>
      </c>
      <c r="G45" s="195">
        <f t="shared" si="24"/>
        <v>0</v>
      </c>
      <c r="H45" s="195">
        <f t="shared" si="24"/>
        <v>0</v>
      </c>
      <c r="I45" s="195">
        <f t="shared" si="24"/>
        <v>0</v>
      </c>
      <c r="J45" s="195">
        <f t="shared" si="24"/>
        <v>0</v>
      </c>
      <c r="K45" s="195">
        <f t="shared" si="24"/>
        <v>0</v>
      </c>
      <c r="L45" s="195">
        <f t="shared" si="24"/>
        <v>0</v>
      </c>
      <c r="M45" s="195">
        <f t="shared" si="24"/>
        <v>0</v>
      </c>
      <c r="N45" s="195">
        <f t="shared" si="24"/>
        <v>0</v>
      </c>
      <c r="O45" s="195">
        <f t="shared" si="24"/>
        <v>0</v>
      </c>
      <c r="P45" s="195">
        <f t="shared" si="24"/>
        <v>0</v>
      </c>
      <c r="Q45" s="195">
        <f t="shared" si="24"/>
        <v>0</v>
      </c>
      <c r="R45" s="195">
        <f t="shared" si="24"/>
        <v>0</v>
      </c>
      <c r="S45" s="195">
        <f t="shared" si="24"/>
        <v>0</v>
      </c>
      <c r="T45" s="195">
        <f t="shared" si="24"/>
        <v>0</v>
      </c>
      <c r="U45" s="195">
        <f t="shared" si="24"/>
        <v>0</v>
      </c>
      <c r="V45" s="195">
        <f t="shared" si="24"/>
        <v>0</v>
      </c>
      <c r="W45" s="195">
        <f t="shared" si="24"/>
        <v>0</v>
      </c>
      <c r="X45" s="195">
        <f t="shared" si="24"/>
        <v>0</v>
      </c>
      <c r="Y45" s="195">
        <f t="shared" si="24"/>
        <v>0</v>
      </c>
      <c r="Z45" s="195">
        <f t="shared" si="24"/>
        <v>0</v>
      </c>
      <c r="AA45" s="195">
        <f t="shared" si="24"/>
        <v>0</v>
      </c>
      <c r="AB45" s="195">
        <f t="shared" si="24"/>
        <v>0</v>
      </c>
      <c r="AC45" s="195">
        <f t="shared" si="24"/>
        <v>0</v>
      </c>
      <c r="AD45" s="195">
        <f t="shared" si="24"/>
        <v>0</v>
      </c>
      <c r="AE45" s="195">
        <f t="shared" si="24"/>
        <v>0</v>
      </c>
      <c r="AF45" s="195">
        <f t="shared" si="24"/>
        <v>0</v>
      </c>
      <c r="AG45" s="195">
        <f t="shared" si="24"/>
        <v>0</v>
      </c>
      <c r="AH45" s="195">
        <f t="shared" si="24"/>
        <v>0</v>
      </c>
      <c r="AI45" s="195">
        <f t="shared" si="24"/>
        <v>0</v>
      </c>
      <c r="AJ45" s="195">
        <f t="shared" si="24"/>
        <v>0</v>
      </c>
      <c r="AK45" s="195">
        <f t="shared" si="24"/>
        <v>0</v>
      </c>
      <c r="AL45" s="195">
        <f t="shared" si="24"/>
        <v>0</v>
      </c>
      <c r="AM45" s="195">
        <f t="shared" si="24"/>
        <v>0</v>
      </c>
      <c r="AN45" s="195">
        <f t="shared" si="24"/>
        <v>0</v>
      </c>
      <c r="AO45" s="195">
        <f t="shared" si="24"/>
        <v>0</v>
      </c>
      <c r="AP45" s="195">
        <f t="shared" si="24"/>
        <v>0</v>
      </c>
    </row>
    <row r="46" spans="1:42" x14ac:dyDescent="0.2">
      <c r="A46" s="33" t="str">
        <f>A16</f>
        <v>Utility ($/W)</v>
      </c>
      <c r="B46" s="186"/>
      <c r="C46" s="195">
        <f t="shared" ref="C46:AP46" si="25">IF(pbi_uti_for_ds="Yes",0,C522)</f>
        <v>0</v>
      </c>
      <c r="D46" s="195">
        <f t="shared" si="25"/>
        <v>0</v>
      </c>
      <c r="E46" s="195">
        <f t="shared" si="25"/>
        <v>0</v>
      </c>
      <c r="F46" s="195">
        <f t="shared" si="25"/>
        <v>0</v>
      </c>
      <c r="G46" s="195">
        <f t="shared" si="25"/>
        <v>0</v>
      </c>
      <c r="H46" s="195">
        <f t="shared" si="25"/>
        <v>0</v>
      </c>
      <c r="I46" s="195">
        <f t="shared" si="25"/>
        <v>0</v>
      </c>
      <c r="J46" s="195">
        <f t="shared" si="25"/>
        <v>0</v>
      </c>
      <c r="K46" s="195">
        <f t="shared" si="25"/>
        <v>0</v>
      </c>
      <c r="L46" s="195">
        <f t="shared" si="25"/>
        <v>0</v>
      </c>
      <c r="M46" s="195">
        <f t="shared" si="25"/>
        <v>0</v>
      </c>
      <c r="N46" s="195">
        <f t="shared" si="25"/>
        <v>0</v>
      </c>
      <c r="O46" s="195">
        <f t="shared" si="25"/>
        <v>0</v>
      </c>
      <c r="P46" s="195">
        <f t="shared" si="25"/>
        <v>0</v>
      </c>
      <c r="Q46" s="195">
        <f t="shared" si="25"/>
        <v>0</v>
      </c>
      <c r="R46" s="195">
        <f t="shared" si="25"/>
        <v>0</v>
      </c>
      <c r="S46" s="195">
        <f t="shared" si="25"/>
        <v>0</v>
      </c>
      <c r="T46" s="195">
        <f t="shared" si="25"/>
        <v>0</v>
      </c>
      <c r="U46" s="195">
        <f t="shared" si="25"/>
        <v>0</v>
      </c>
      <c r="V46" s="195">
        <f t="shared" si="25"/>
        <v>0</v>
      </c>
      <c r="W46" s="195">
        <f t="shared" si="25"/>
        <v>0</v>
      </c>
      <c r="X46" s="195">
        <f t="shared" si="25"/>
        <v>0</v>
      </c>
      <c r="Y46" s="195">
        <f t="shared" si="25"/>
        <v>0</v>
      </c>
      <c r="Z46" s="195">
        <f t="shared" si="25"/>
        <v>0</v>
      </c>
      <c r="AA46" s="195">
        <f t="shared" si="25"/>
        <v>0</v>
      </c>
      <c r="AB46" s="195">
        <f t="shared" si="25"/>
        <v>0</v>
      </c>
      <c r="AC46" s="195">
        <f t="shared" si="25"/>
        <v>0</v>
      </c>
      <c r="AD46" s="195">
        <f t="shared" si="25"/>
        <v>0</v>
      </c>
      <c r="AE46" s="195">
        <f t="shared" si="25"/>
        <v>0</v>
      </c>
      <c r="AF46" s="195">
        <f t="shared" si="25"/>
        <v>0</v>
      </c>
      <c r="AG46" s="195">
        <f t="shared" si="25"/>
        <v>0</v>
      </c>
      <c r="AH46" s="195">
        <f t="shared" si="25"/>
        <v>0</v>
      </c>
      <c r="AI46" s="195">
        <f t="shared" si="25"/>
        <v>0</v>
      </c>
      <c r="AJ46" s="195">
        <f t="shared" si="25"/>
        <v>0</v>
      </c>
      <c r="AK46" s="195">
        <f t="shared" si="25"/>
        <v>0</v>
      </c>
      <c r="AL46" s="195">
        <f t="shared" si="25"/>
        <v>0</v>
      </c>
      <c r="AM46" s="195">
        <f t="shared" si="25"/>
        <v>0</v>
      </c>
      <c r="AN46" s="195">
        <f t="shared" si="25"/>
        <v>0</v>
      </c>
      <c r="AO46" s="195">
        <f t="shared" si="25"/>
        <v>0</v>
      </c>
      <c r="AP46" s="195">
        <f t="shared" si="25"/>
        <v>0</v>
      </c>
    </row>
    <row r="47" spans="1:42" x14ac:dyDescent="0.2">
      <c r="A47" s="33" t="str">
        <f>A17</f>
        <v>Other ($/W)</v>
      </c>
      <c r="B47" s="256"/>
      <c r="C47" s="256">
        <f t="shared" ref="C47:AP47" si="26">IF(pbi_oth_for_ds="Yes",0,C526)</f>
        <v>0</v>
      </c>
      <c r="D47" s="256">
        <f t="shared" si="26"/>
        <v>0</v>
      </c>
      <c r="E47" s="256">
        <f t="shared" si="26"/>
        <v>0</v>
      </c>
      <c r="F47" s="256">
        <f t="shared" si="26"/>
        <v>0</v>
      </c>
      <c r="G47" s="256">
        <f t="shared" si="26"/>
        <v>0</v>
      </c>
      <c r="H47" s="256">
        <f t="shared" si="26"/>
        <v>0</v>
      </c>
      <c r="I47" s="256">
        <f t="shared" si="26"/>
        <v>0</v>
      </c>
      <c r="J47" s="256">
        <f t="shared" si="26"/>
        <v>0</v>
      </c>
      <c r="K47" s="256">
        <f t="shared" si="26"/>
        <v>0</v>
      </c>
      <c r="L47" s="256">
        <f t="shared" si="26"/>
        <v>0</v>
      </c>
      <c r="M47" s="256">
        <f t="shared" si="26"/>
        <v>0</v>
      </c>
      <c r="N47" s="256">
        <f t="shared" si="26"/>
        <v>0</v>
      </c>
      <c r="O47" s="256">
        <f t="shared" si="26"/>
        <v>0</v>
      </c>
      <c r="P47" s="256">
        <f t="shared" si="26"/>
        <v>0</v>
      </c>
      <c r="Q47" s="256">
        <f t="shared" si="26"/>
        <v>0</v>
      </c>
      <c r="R47" s="256">
        <f t="shared" si="26"/>
        <v>0</v>
      </c>
      <c r="S47" s="256">
        <f t="shared" si="26"/>
        <v>0</v>
      </c>
      <c r="T47" s="256">
        <f t="shared" si="26"/>
        <v>0</v>
      </c>
      <c r="U47" s="256">
        <f t="shared" si="26"/>
        <v>0</v>
      </c>
      <c r="V47" s="256">
        <f t="shared" si="26"/>
        <v>0</v>
      </c>
      <c r="W47" s="256">
        <f t="shared" si="26"/>
        <v>0</v>
      </c>
      <c r="X47" s="256">
        <f t="shared" si="26"/>
        <v>0</v>
      </c>
      <c r="Y47" s="256">
        <f t="shared" si="26"/>
        <v>0</v>
      </c>
      <c r="Z47" s="256">
        <f t="shared" si="26"/>
        <v>0</v>
      </c>
      <c r="AA47" s="256">
        <f t="shared" si="26"/>
        <v>0</v>
      </c>
      <c r="AB47" s="256">
        <f t="shared" si="26"/>
        <v>0</v>
      </c>
      <c r="AC47" s="256">
        <f t="shared" si="26"/>
        <v>0</v>
      </c>
      <c r="AD47" s="256">
        <f t="shared" si="26"/>
        <v>0</v>
      </c>
      <c r="AE47" s="256">
        <f t="shared" si="26"/>
        <v>0</v>
      </c>
      <c r="AF47" s="256">
        <f t="shared" si="26"/>
        <v>0</v>
      </c>
      <c r="AG47" s="256">
        <f t="shared" si="26"/>
        <v>0</v>
      </c>
      <c r="AH47" s="256">
        <f t="shared" si="26"/>
        <v>0</v>
      </c>
      <c r="AI47" s="256">
        <f t="shared" si="26"/>
        <v>0</v>
      </c>
      <c r="AJ47" s="256">
        <f t="shared" si="26"/>
        <v>0</v>
      </c>
      <c r="AK47" s="256">
        <f t="shared" si="26"/>
        <v>0</v>
      </c>
      <c r="AL47" s="256">
        <f t="shared" si="26"/>
        <v>0</v>
      </c>
      <c r="AM47" s="256">
        <f t="shared" si="26"/>
        <v>0</v>
      </c>
      <c r="AN47" s="256">
        <f t="shared" si="26"/>
        <v>0</v>
      </c>
      <c r="AO47" s="256">
        <f t="shared" si="26"/>
        <v>0</v>
      </c>
      <c r="AP47" s="256">
        <f t="shared" si="26"/>
        <v>0</v>
      </c>
    </row>
    <row r="48" spans="1:42" x14ac:dyDescent="0.2">
      <c r="A48" s="33" t="s">
        <v>18</v>
      </c>
      <c r="B48" s="186"/>
      <c r="C48" s="186">
        <f>SUM(C44:C47)</f>
        <v>0</v>
      </c>
      <c r="D48" s="186">
        <f t="shared" ref="D48:AP48" si="27">SUM(D44:D47)</f>
        <v>0</v>
      </c>
      <c r="E48" s="186">
        <f t="shared" si="27"/>
        <v>0</v>
      </c>
      <c r="F48" s="186">
        <f t="shared" si="27"/>
        <v>0</v>
      </c>
      <c r="G48" s="186">
        <f t="shared" si="27"/>
        <v>0</v>
      </c>
      <c r="H48" s="186">
        <f t="shared" si="27"/>
        <v>0</v>
      </c>
      <c r="I48" s="186">
        <f t="shared" si="27"/>
        <v>0</v>
      </c>
      <c r="J48" s="186">
        <f t="shared" si="27"/>
        <v>0</v>
      </c>
      <c r="K48" s="186">
        <f t="shared" si="27"/>
        <v>0</v>
      </c>
      <c r="L48" s="186">
        <f t="shared" si="27"/>
        <v>0</v>
      </c>
      <c r="M48" s="186">
        <f t="shared" si="27"/>
        <v>0</v>
      </c>
      <c r="N48" s="186">
        <f t="shared" si="27"/>
        <v>0</v>
      </c>
      <c r="O48" s="186">
        <f t="shared" si="27"/>
        <v>0</v>
      </c>
      <c r="P48" s="186">
        <f t="shared" si="27"/>
        <v>0</v>
      </c>
      <c r="Q48" s="186">
        <f t="shared" si="27"/>
        <v>0</v>
      </c>
      <c r="R48" s="186">
        <f t="shared" si="27"/>
        <v>0</v>
      </c>
      <c r="S48" s="186">
        <f t="shared" si="27"/>
        <v>0</v>
      </c>
      <c r="T48" s="186">
        <f t="shared" si="27"/>
        <v>0</v>
      </c>
      <c r="U48" s="186">
        <f t="shared" si="27"/>
        <v>0</v>
      </c>
      <c r="V48" s="186">
        <f t="shared" si="27"/>
        <v>0</v>
      </c>
      <c r="W48" s="186">
        <f t="shared" si="27"/>
        <v>0</v>
      </c>
      <c r="X48" s="186">
        <f t="shared" si="27"/>
        <v>0</v>
      </c>
      <c r="Y48" s="186">
        <f t="shared" si="27"/>
        <v>0</v>
      </c>
      <c r="Z48" s="186">
        <f t="shared" si="27"/>
        <v>0</v>
      </c>
      <c r="AA48" s="186">
        <f t="shared" si="27"/>
        <v>0</v>
      </c>
      <c r="AB48" s="186">
        <f t="shared" si="27"/>
        <v>0</v>
      </c>
      <c r="AC48" s="186">
        <f t="shared" si="27"/>
        <v>0</v>
      </c>
      <c r="AD48" s="186">
        <f t="shared" si="27"/>
        <v>0</v>
      </c>
      <c r="AE48" s="186">
        <f t="shared" si="27"/>
        <v>0</v>
      </c>
      <c r="AF48" s="186">
        <f t="shared" si="27"/>
        <v>0</v>
      </c>
      <c r="AG48" s="186">
        <f t="shared" si="27"/>
        <v>0</v>
      </c>
      <c r="AH48" s="186">
        <f t="shared" si="27"/>
        <v>0</v>
      </c>
      <c r="AI48" s="186">
        <f t="shared" si="27"/>
        <v>0</v>
      </c>
      <c r="AJ48" s="186">
        <f t="shared" si="27"/>
        <v>0</v>
      </c>
      <c r="AK48" s="186">
        <f t="shared" si="27"/>
        <v>0</v>
      </c>
      <c r="AL48" s="186">
        <f t="shared" si="27"/>
        <v>0</v>
      </c>
      <c r="AM48" s="186">
        <f t="shared" si="27"/>
        <v>0</v>
      </c>
      <c r="AN48" s="186">
        <f t="shared" si="27"/>
        <v>0</v>
      </c>
      <c r="AO48" s="186">
        <f t="shared" si="27"/>
        <v>0</v>
      </c>
      <c r="AP48" s="186">
        <f t="shared" si="27"/>
        <v>0</v>
      </c>
    </row>
    <row r="49" spans="1:42" x14ac:dyDescent="0.2">
      <c r="A49" s="29" t="s">
        <v>55</v>
      </c>
      <c r="B49" s="250">
        <v>0</v>
      </c>
      <c r="C49" s="250">
        <f t="shared" ref="C49:AP49" si="28">C656</f>
        <v>-2684.9561717182937</v>
      </c>
      <c r="D49" s="250">
        <f t="shared" si="28"/>
        <v>6907.2117257108084</v>
      </c>
      <c r="E49" s="250">
        <f t="shared" si="28"/>
        <v>16500.001356913952</v>
      </c>
      <c r="F49" s="250">
        <f t="shared" si="28"/>
        <v>26093.428265235481</v>
      </c>
      <c r="G49" s="250">
        <f t="shared" si="28"/>
        <v>35687.508382603359</v>
      </c>
      <c r="H49" s="250">
        <f t="shared" si="28"/>
        <v>45282.258039243745</v>
      </c>
      <c r="I49" s="250">
        <f t="shared" si="28"/>
        <v>54877.693973638452</v>
      </c>
      <c r="J49" s="250">
        <f t="shared" si="28"/>
        <v>64473.833342731334</v>
      </c>
      <c r="K49" s="250">
        <f t="shared" si="28"/>
        <v>74070.69373238986</v>
      </c>
      <c r="L49" s="250">
        <f t="shared" si="28"/>
        <v>83668.293168128163</v>
      </c>
      <c r="M49" s="250">
        <f t="shared" si="28"/>
        <v>93266.650126098233</v>
      </c>
      <c r="N49" s="250">
        <f t="shared" si="28"/>
        <v>102865.78354435586</v>
      </c>
      <c r="O49" s="250">
        <f t="shared" si="28"/>
        <v>-3610.9675489350561</v>
      </c>
      <c r="P49" s="250">
        <f t="shared" si="28"/>
        <v>9289.4318566114525</v>
      </c>
      <c r="Q49" s="250">
        <f t="shared" si="28"/>
        <v>22190.667424962321</v>
      </c>
      <c r="R49" s="250">
        <f t="shared" si="28"/>
        <v>35092.760060187655</v>
      </c>
      <c r="S49" s="250">
        <f t="shared" si="28"/>
        <v>47995.73118895934</v>
      </c>
      <c r="T49" s="250">
        <f t="shared" si="28"/>
        <v>60899.602773615996</v>
      </c>
      <c r="U49" s="250">
        <f t="shared" si="28"/>
        <v>83924.918698915921</v>
      </c>
      <c r="V49" s="250">
        <f t="shared" si="28"/>
        <v>96959.951625755071</v>
      </c>
      <c r="W49" s="250">
        <f t="shared" si="28"/>
        <v>109999.18655343092</v>
      </c>
      <c r="X49" s="250">
        <f t="shared" si="28"/>
        <v>123042.72853196433</v>
      </c>
      <c r="Y49" s="250">
        <f t="shared" si="28"/>
        <v>136090.68523762681</v>
      </c>
      <c r="Z49" s="250">
        <f t="shared" si="28"/>
        <v>149143.16703859653</v>
      </c>
      <c r="AA49" s="250">
        <f t="shared" si="28"/>
        <v>7796.8523417912975</v>
      </c>
      <c r="AB49" s="250">
        <f t="shared" si="28"/>
        <v>0</v>
      </c>
      <c r="AC49" s="250">
        <f t="shared" si="28"/>
        <v>0</v>
      </c>
      <c r="AD49" s="250">
        <f t="shared" si="28"/>
        <v>0</v>
      </c>
      <c r="AE49" s="250">
        <f t="shared" si="28"/>
        <v>0</v>
      </c>
      <c r="AF49" s="250">
        <f t="shared" si="28"/>
        <v>0</v>
      </c>
      <c r="AG49" s="250">
        <f t="shared" si="28"/>
        <v>0</v>
      </c>
      <c r="AH49" s="250">
        <f t="shared" si="28"/>
        <v>0</v>
      </c>
      <c r="AI49" s="250">
        <f t="shared" si="28"/>
        <v>0</v>
      </c>
      <c r="AJ49" s="250">
        <f t="shared" si="28"/>
        <v>0</v>
      </c>
      <c r="AK49" s="250">
        <f t="shared" si="28"/>
        <v>0</v>
      </c>
      <c r="AL49" s="250">
        <f t="shared" si="28"/>
        <v>0</v>
      </c>
      <c r="AM49" s="250">
        <f t="shared" si="28"/>
        <v>0</v>
      </c>
      <c r="AN49" s="250">
        <f t="shared" si="28"/>
        <v>0</v>
      </c>
      <c r="AO49" s="250">
        <f t="shared" si="28"/>
        <v>0</v>
      </c>
      <c r="AP49" s="250">
        <f t="shared" si="28"/>
        <v>0</v>
      </c>
    </row>
    <row r="50" spans="1:42" x14ac:dyDescent="0.2">
      <c r="A50" s="29" t="s">
        <v>97</v>
      </c>
      <c r="B50" s="251">
        <v>0</v>
      </c>
      <c r="C50" s="251">
        <f t="shared" ref="C50:AP50" si="29">-C533</f>
        <v>635080.01065384725</v>
      </c>
      <c r="D50" s="251">
        <f t="shared" si="29"/>
        <v>623570.4620258701</v>
      </c>
      <c r="E50" s="251">
        <f t="shared" si="29"/>
        <v>610592.06230162713</v>
      </c>
      <c r="F50" s="251">
        <f t="shared" si="29"/>
        <v>596025.4123370715</v>
      </c>
      <c r="G50" s="251">
        <f t="shared" si="29"/>
        <v>579742.3405588913</v>
      </c>
      <c r="H50" s="251">
        <f t="shared" si="29"/>
        <v>561605.27853223006</v>
      </c>
      <c r="I50" s="251">
        <f t="shared" si="29"/>
        <v>541466.59255909396</v>
      </c>
      <c r="J50" s="251">
        <f t="shared" si="29"/>
        <v>519167.86822311446</v>
      </c>
      <c r="K50" s="251">
        <f t="shared" si="29"/>
        <v>494539.14458027453</v>
      </c>
      <c r="L50" s="251">
        <f t="shared" si="29"/>
        <v>467398.09446401033</v>
      </c>
      <c r="M50" s="251">
        <f t="shared" si="29"/>
        <v>437549.14712572144</v>
      </c>
      <c r="N50" s="251">
        <f t="shared" si="29"/>
        <v>404782.54916701908</v>
      </c>
      <c r="O50" s="251">
        <f t="shared" si="29"/>
        <v>368873.35943680594</v>
      </c>
      <c r="P50" s="251">
        <f t="shared" si="29"/>
        <v>319427.5906573562</v>
      </c>
      <c r="Q50" s="251">
        <f t="shared" si="29"/>
        <v>265628.71107202681</v>
      </c>
      <c r="R50" s="251">
        <f t="shared" si="29"/>
        <v>207149.70524962316</v>
      </c>
      <c r="S50" s="251">
        <f t="shared" si="29"/>
        <v>143640.10923689767</v>
      </c>
      <c r="T50" s="251">
        <f t="shared" si="29"/>
        <v>74724.355225958832</v>
      </c>
      <c r="U50" s="251">
        <f t="shared" si="29"/>
        <v>0</v>
      </c>
      <c r="V50" s="251">
        <f t="shared" si="29"/>
        <v>0</v>
      </c>
      <c r="W50" s="251">
        <f t="shared" si="29"/>
        <v>0</v>
      </c>
      <c r="X50" s="251">
        <f t="shared" si="29"/>
        <v>0</v>
      </c>
      <c r="Y50" s="251">
        <f t="shared" si="29"/>
        <v>0</v>
      </c>
      <c r="Z50" s="251">
        <f t="shared" si="29"/>
        <v>0</v>
      </c>
      <c r="AA50" s="251">
        <f t="shared" si="29"/>
        <v>0</v>
      </c>
      <c r="AB50" s="251">
        <f t="shared" si="29"/>
        <v>0</v>
      </c>
      <c r="AC50" s="251">
        <f t="shared" si="29"/>
        <v>0</v>
      </c>
      <c r="AD50" s="251">
        <f t="shared" si="29"/>
        <v>0</v>
      </c>
      <c r="AE50" s="251">
        <f t="shared" si="29"/>
        <v>0</v>
      </c>
      <c r="AF50" s="251">
        <f t="shared" si="29"/>
        <v>0</v>
      </c>
      <c r="AG50" s="251">
        <f t="shared" si="29"/>
        <v>0</v>
      </c>
      <c r="AH50" s="251">
        <f t="shared" si="29"/>
        <v>0</v>
      </c>
      <c r="AI50" s="251">
        <f t="shared" si="29"/>
        <v>0</v>
      </c>
      <c r="AJ50" s="251">
        <f t="shared" si="29"/>
        <v>0</v>
      </c>
      <c r="AK50" s="251">
        <f t="shared" si="29"/>
        <v>0</v>
      </c>
      <c r="AL50" s="251">
        <f t="shared" si="29"/>
        <v>0</v>
      </c>
      <c r="AM50" s="251">
        <f t="shared" si="29"/>
        <v>0</v>
      </c>
      <c r="AN50" s="251">
        <f t="shared" si="29"/>
        <v>0</v>
      </c>
      <c r="AO50" s="251">
        <f t="shared" si="29"/>
        <v>0</v>
      </c>
      <c r="AP50" s="251">
        <f t="shared" si="29"/>
        <v>0</v>
      </c>
    </row>
    <row r="51" spans="1:42" x14ac:dyDescent="0.2">
      <c r="A51" s="347" t="s">
        <v>18</v>
      </c>
      <c r="B51" s="261">
        <f>B42+B48+B49+B50</f>
        <v>0</v>
      </c>
      <c r="C51" s="261">
        <f>C42+C48+C49+C50</f>
        <v>139745.05448212894</v>
      </c>
      <c r="D51" s="261">
        <f t="shared" ref="D51:AP51" si="30">D42+D48+D49+D50</f>
        <v>125511.42375158105</v>
      </c>
      <c r="E51" s="261">
        <f t="shared" si="30"/>
        <v>109501.65740854107</v>
      </c>
      <c r="F51" s="261">
        <f t="shared" si="30"/>
        <v>91588.674196057138</v>
      </c>
      <c r="G51" s="261">
        <f t="shared" si="30"/>
        <v>71636.428375088552</v>
      </c>
      <c r="H51" s="261">
        <f t="shared" si="30"/>
        <v>49499.280490907608</v>
      </c>
      <c r="I51" s="261">
        <f t="shared" si="30"/>
        <v>25021.324050152092</v>
      </c>
      <c r="J51" s="261">
        <f t="shared" si="30"/>
        <v>-1964.3349787990446</v>
      </c>
      <c r="K51" s="261">
        <f t="shared" si="30"/>
        <v>-31636.349145596556</v>
      </c>
      <c r="L51" s="261">
        <f t="shared" si="30"/>
        <v>-64185.954512578901</v>
      </c>
      <c r="M51" s="261">
        <f t="shared" si="30"/>
        <v>-99817.853446515743</v>
      </c>
      <c r="N51" s="261">
        <f t="shared" si="30"/>
        <v>-138751.1592544188</v>
      </c>
      <c r="O51" s="261">
        <f t="shared" si="30"/>
        <v>-297297.08737706766</v>
      </c>
      <c r="P51" s="261">
        <f t="shared" si="30"/>
        <v>-350406.44373259414</v>
      </c>
      <c r="Q51" s="261">
        <f t="shared" si="30"/>
        <v>-408282.17440573691</v>
      </c>
      <c r="R51" s="261">
        <f t="shared" si="30"/>
        <v>-471261.6264154833</v>
      </c>
      <c r="S51" s="261">
        <f t="shared" si="30"/>
        <v>-539705.85359256947</v>
      </c>
      <c r="T51" s="261">
        <f t="shared" si="30"/>
        <v>-614001.27836931206</v>
      </c>
      <c r="U51" s="261">
        <f t="shared" si="30"/>
        <v>-684440.94857919333</v>
      </c>
      <c r="V51" s="261">
        <f t="shared" si="30"/>
        <v>-690615.06233430689</v>
      </c>
      <c r="W51" s="261">
        <f t="shared" si="30"/>
        <v>-697265.20275563234</v>
      </c>
      <c r="X51" s="261">
        <f t="shared" si="30"/>
        <v>-704403.27050982555</v>
      </c>
      <c r="Y51" s="261">
        <f t="shared" si="30"/>
        <v>-712041.46378020779</v>
      </c>
      <c r="Z51" s="261">
        <f t="shared" si="30"/>
        <v>-720192.28570468398</v>
      </c>
      <c r="AA51" s="261">
        <f t="shared" si="30"/>
        <v>-883271.98672007129</v>
      </c>
      <c r="AB51" s="261">
        <f t="shared" si="30"/>
        <v>0</v>
      </c>
      <c r="AC51" s="261">
        <f t="shared" si="30"/>
        <v>0</v>
      </c>
      <c r="AD51" s="261">
        <f t="shared" si="30"/>
        <v>0</v>
      </c>
      <c r="AE51" s="261">
        <f t="shared" si="30"/>
        <v>0</v>
      </c>
      <c r="AF51" s="261">
        <f t="shared" si="30"/>
        <v>0</v>
      </c>
      <c r="AG51" s="261">
        <f t="shared" si="30"/>
        <v>0</v>
      </c>
      <c r="AH51" s="261">
        <f t="shared" si="30"/>
        <v>0</v>
      </c>
      <c r="AI51" s="261">
        <f t="shared" si="30"/>
        <v>0</v>
      </c>
      <c r="AJ51" s="261">
        <f t="shared" si="30"/>
        <v>0</v>
      </c>
      <c r="AK51" s="261">
        <f t="shared" si="30"/>
        <v>0</v>
      </c>
      <c r="AL51" s="261">
        <f t="shared" si="30"/>
        <v>0</v>
      </c>
      <c r="AM51" s="261">
        <f t="shared" si="30"/>
        <v>0</v>
      </c>
      <c r="AN51" s="261">
        <f t="shared" si="30"/>
        <v>0</v>
      </c>
      <c r="AO51" s="261">
        <f t="shared" si="30"/>
        <v>0</v>
      </c>
      <c r="AP51" s="261">
        <f t="shared" si="30"/>
        <v>0</v>
      </c>
    </row>
    <row r="52" spans="1:42" x14ac:dyDescent="0.2">
      <c r="A52" s="29"/>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1" t="s">
        <v>92</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278</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3" t="s">
        <v>279</v>
      </c>
      <c r="B55" s="245">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3" t="s">
        <v>282</v>
      </c>
      <c r="B56" s="245">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3" t="s">
        <v>281</v>
      </c>
      <c r="B57" s="245">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3" t="s">
        <v>280</v>
      </c>
      <c r="B58" s="251">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3" t="s">
        <v>304</v>
      </c>
      <c r="B59" s="250">
        <f>SUM(B55:B58)</f>
        <v>-39501104.281528845</v>
      </c>
      <c r="C59" s="250"/>
      <c r="D59" s="250"/>
      <c r="E59" s="250"/>
      <c r="F59" s="250"/>
      <c r="G59" s="250"/>
      <c r="H59" s="250"/>
      <c r="I59" s="250"/>
      <c r="J59" s="250"/>
      <c r="K59" s="250"/>
      <c r="L59" s="250"/>
      <c r="M59" s="250"/>
      <c r="N59" s="250"/>
      <c r="O59" s="250"/>
      <c r="P59" s="250"/>
      <c r="Q59" s="250"/>
      <c r="R59" s="250"/>
      <c r="S59" s="250"/>
      <c r="T59" s="250"/>
      <c r="U59" s="250"/>
      <c r="V59" s="250"/>
      <c r="W59" s="250"/>
      <c r="X59" s="250"/>
      <c r="Y59" s="250"/>
      <c r="Z59" s="250"/>
      <c r="AA59" s="250"/>
      <c r="AB59" s="250"/>
      <c r="AC59" s="250"/>
      <c r="AD59" s="250"/>
      <c r="AE59" s="250"/>
      <c r="AF59" s="250"/>
      <c r="AG59" s="250"/>
      <c r="AH59" s="250"/>
      <c r="AI59" s="250"/>
      <c r="AJ59" s="250"/>
      <c r="AK59" s="250"/>
      <c r="AL59" s="250"/>
      <c r="AM59" s="250"/>
      <c r="AN59" s="250"/>
      <c r="AO59" s="250"/>
      <c r="AP59" s="250"/>
    </row>
    <row r="60" spans="1:42" x14ac:dyDescent="0.2">
      <c r="A60" s="29" t="s">
        <v>283</v>
      </c>
      <c r="B60" s="250"/>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3" t="s">
        <v>34</v>
      </c>
      <c r="B61" s="250">
        <f>-B548-B549</f>
        <v>399751.06695533107</v>
      </c>
      <c r="C61" s="250">
        <f t="shared" ref="C61:AP61" si="31">-C548-C549</f>
        <v>4737.0192307691905</v>
      </c>
      <c r="D61" s="250">
        <f t="shared" si="31"/>
        <v>4855.4447115384392</v>
      </c>
      <c r="E61" s="250">
        <f t="shared" si="31"/>
        <v>4976.8308293269947</v>
      </c>
      <c r="F61" s="250">
        <f t="shared" si="31"/>
        <v>5101.2516000599717</v>
      </c>
      <c r="G61" s="250">
        <f t="shared" si="31"/>
        <v>5228.7828900616732</v>
      </c>
      <c r="H61" s="250">
        <f t="shared" si="31"/>
        <v>5359.502462313103</v>
      </c>
      <c r="I61" s="250">
        <f t="shared" si="31"/>
        <v>5493.4900238709524</v>
      </c>
      <c r="J61" s="250">
        <f t="shared" si="31"/>
        <v>5630.8272744676797</v>
      </c>
      <c r="K61" s="250">
        <f t="shared" si="31"/>
        <v>5771.5979563294095</v>
      </c>
      <c r="L61" s="250">
        <f t="shared" si="31"/>
        <v>5915.8879052376724</v>
      </c>
      <c r="M61" s="250">
        <f t="shared" si="31"/>
        <v>6063.7851028686855</v>
      </c>
      <c r="N61" s="250">
        <f t="shared" si="31"/>
        <v>78735.255486583337</v>
      </c>
      <c r="O61" s="250">
        <f t="shared" si="31"/>
        <v>6370.7642237013206</v>
      </c>
      <c r="P61" s="250">
        <f t="shared" si="31"/>
        <v>6530.0333292939467</v>
      </c>
      <c r="Q61" s="250">
        <f t="shared" si="31"/>
        <v>6693.2841625261353</v>
      </c>
      <c r="R61" s="250">
        <f t="shared" si="31"/>
        <v>6860.6162665893789</v>
      </c>
      <c r="S61" s="250">
        <f t="shared" si="31"/>
        <v>7032.1316732539563</v>
      </c>
      <c r="T61" s="250">
        <f t="shared" si="31"/>
        <v>-571107.57208412292</v>
      </c>
      <c r="U61" s="250">
        <f t="shared" si="31"/>
        <v>0</v>
      </c>
      <c r="V61" s="250">
        <f t="shared" si="31"/>
        <v>0</v>
      </c>
      <c r="W61" s="250">
        <f t="shared" si="31"/>
        <v>0</v>
      </c>
      <c r="X61" s="250">
        <f t="shared" si="31"/>
        <v>0</v>
      </c>
      <c r="Y61" s="250">
        <f t="shared" si="31"/>
        <v>0</v>
      </c>
      <c r="Z61" s="250">
        <f t="shared" si="31"/>
        <v>0</v>
      </c>
      <c r="AA61" s="250">
        <f t="shared" si="31"/>
        <v>0</v>
      </c>
      <c r="AB61" s="250">
        <f t="shared" si="31"/>
        <v>0</v>
      </c>
      <c r="AC61" s="250">
        <f t="shared" si="31"/>
        <v>0</v>
      </c>
      <c r="AD61" s="250">
        <f t="shared" si="31"/>
        <v>0</v>
      </c>
      <c r="AE61" s="250">
        <f t="shared" si="31"/>
        <v>0</v>
      </c>
      <c r="AF61" s="250">
        <f t="shared" si="31"/>
        <v>0</v>
      </c>
      <c r="AG61" s="250">
        <f t="shared" si="31"/>
        <v>0</v>
      </c>
      <c r="AH61" s="250">
        <f t="shared" si="31"/>
        <v>0</v>
      </c>
      <c r="AI61" s="250">
        <f t="shared" si="31"/>
        <v>0</v>
      </c>
      <c r="AJ61" s="250">
        <f t="shared" si="31"/>
        <v>0</v>
      </c>
      <c r="AK61" s="250">
        <f t="shared" si="31"/>
        <v>0</v>
      </c>
      <c r="AL61" s="250">
        <f t="shared" si="31"/>
        <v>0</v>
      </c>
      <c r="AM61" s="250">
        <f t="shared" si="31"/>
        <v>0</v>
      </c>
      <c r="AN61" s="250">
        <f t="shared" si="31"/>
        <v>0</v>
      </c>
      <c r="AO61" s="250">
        <f t="shared" si="31"/>
        <v>0</v>
      </c>
      <c r="AP61" s="250">
        <f t="shared" si="31"/>
        <v>0</v>
      </c>
    </row>
    <row r="62" spans="1:42" x14ac:dyDescent="0.2">
      <c r="A62" s="33" t="s">
        <v>284</v>
      </c>
      <c r="B62" s="250">
        <f t="shared" ref="B62:AP62" si="32">-B554-B555</f>
        <v>-246325</v>
      </c>
      <c r="C62" s="250">
        <f t="shared" si="32"/>
        <v>-6158.1249999999418</v>
      </c>
      <c r="D62" s="250">
        <f t="shared" si="32"/>
        <v>-6312.0781250000582</v>
      </c>
      <c r="E62" s="250">
        <f t="shared" si="32"/>
        <v>-6469.8800781249302</v>
      </c>
      <c r="F62" s="250">
        <f t="shared" si="32"/>
        <v>-6631.6270800781203</v>
      </c>
      <c r="G62" s="250">
        <f t="shared" si="32"/>
        <v>-6797.417757080053</v>
      </c>
      <c r="H62" s="250">
        <f t="shared" si="32"/>
        <v>-6967.353201007063</v>
      </c>
      <c r="I62" s="250">
        <f t="shared" si="32"/>
        <v>-7141.5370310322614</v>
      </c>
      <c r="J62" s="250">
        <f t="shared" si="32"/>
        <v>-7320.0754568080301</v>
      </c>
      <c r="K62" s="250">
        <f t="shared" si="32"/>
        <v>-7503.0773432282149</v>
      </c>
      <c r="L62" s="250">
        <f t="shared" si="32"/>
        <v>-7690.6542768090148</v>
      </c>
      <c r="M62" s="250">
        <f t="shared" si="32"/>
        <v>-7882.920633729198</v>
      </c>
      <c r="N62" s="250">
        <f t="shared" si="32"/>
        <v>-8079.9936495723668</v>
      </c>
      <c r="O62" s="250">
        <f t="shared" si="32"/>
        <v>-8281.9934908116702</v>
      </c>
      <c r="P62" s="250">
        <f t="shared" si="32"/>
        <v>-8489.0433280820725</v>
      </c>
      <c r="Q62" s="250">
        <f t="shared" si="32"/>
        <v>-8701.2694112840691</v>
      </c>
      <c r="R62" s="250">
        <f t="shared" si="32"/>
        <v>-8918.8011465661693</v>
      </c>
      <c r="S62" s="250">
        <f t="shared" si="32"/>
        <v>-9141.771175230213</v>
      </c>
      <c r="T62" s="250">
        <f t="shared" si="32"/>
        <v>-9370.3154546111473</v>
      </c>
      <c r="U62" s="250">
        <f t="shared" si="32"/>
        <v>-9604.5733409763779</v>
      </c>
      <c r="V62" s="250">
        <f t="shared" si="32"/>
        <v>-9844.6876745006884</v>
      </c>
      <c r="W62" s="250">
        <f t="shared" si="32"/>
        <v>-10090.804866363294</v>
      </c>
      <c r="X62" s="250">
        <f t="shared" si="32"/>
        <v>-10343.07498802233</v>
      </c>
      <c r="Y62" s="250">
        <f t="shared" si="32"/>
        <v>-10601.651862722938</v>
      </c>
      <c r="Z62" s="250">
        <f t="shared" si="32"/>
        <v>-10866.693159291055</v>
      </c>
      <c r="AA62" s="250">
        <f t="shared" si="32"/>
        <v>445534.41953093128</v>
      </c>
      <c r="AB62" s="250">
        <f t="shared" si="32"/>
        <v>0</v>
      </c>
      <c r="AC62" s="250">
        <f t="shared" si="32"/>
        <v>0</v>
      </c>
      <c r="AD62" s="250">
        <f t="shared" si="32"/>
        <v>0</v>
      </c>
      <c r="AE62" s="250">
        <f t="shared" si="32"/>
        <v>0</v>
      </c>
      <c r="AF62" s="250">
        <f t="shared" si="32"/>
        <v>0</v>
      </c>
      <c r="AG62" s="250">
        <f t="shared" si="32"/>
        <v>0</v>
      </c>
      <c r="AH62" s="250">
        <f t="shared" si="32"/>
        <v>0</v>
      </c>
      <c r="AI62" s="250">
        <f t="shared" si="32"/>
        <v>0</v>
      </c>
      <c r="AJ62" s="250">
        <f t="shared" si="32"/>
        <v>0</v>
      </c>
      <c r="AK62" s="250">
        <f t="shared" si="32"/>
        <v>0</v>
      </c>
      <c r="AL62" s="250">
        <f t="shared" si="32"/>
        <v>0</v>
      </c>
      <c r="AM62" s="250">
        <f t="shared" si="32"/>
        <v>0</v>
      </c>
      <c r="AN62" s="250">
        <f t="shared" si="32"/>
        <v>0</v>
      </c>
      <c r="AO62" s="250">
        <f t="shared" si="32"/>
        <v>0</v>
      </c>
      <c r="AP62" s="250">
        <f t="shared" si="32"/>
        <v>0</v>
      </c>
    </row>
    <row r="63" spans="1:42" x14ac:dyDescent="0.2">
      <c r="A63" s="33" t="s">
        <v>132</v>
      </c>
      <c r="B63" s="245">
        <f>-B560-B561</f>
        <v>0</v>
      </c>
      <c r="C63" s="245">
        <f t="shared" ref="C63:AP63" si="33">-C560-C561</f>
        <v>-546702.7740838608</v>
      </c>
      <c r="D63" s="245">
        <f t="shared" si="33"/>
        <v>-546702.7740838608</v>
      </c>
      <c r="E63" s="245">
        <f t="shared" si="33"/>
        <v>-546702.7740838608</v>
      </c>
      <c r="F63" s="245">
        <f t="shared" si="33"/>
        <v>-546702.7740838608</v>
      </c>
      <c r="G63" s="245">
        <f t="shared" si="33"/>
        <v>-546702.7740838608</v>
      </c>
      <c r="H63" s="245">
        <f t="shared" si="33"/>
        <v>-546702.7740838608</v>
      </c>
      <c r="I63" s="245">
        <f t="shared" si="33"/>
        <v>-546702.7740838608</v>
      </c>
      <c r="J63" s="245">
        <f t="shared" si="33"/>
        <v>-546702.7740838608</v>
      </c>
      <c r="K63" s="245">
        <f t="shared" si="33"/>
        <v>-546702.7740838608</v>
      </c>
      <c r="L63" s="245">
        <f t="shared" si="33"/>
        <v>-546702.7740838608</v>
      </c>
      <c r="M63" s="245">
        <f t="shared" si="33"/>
        <v>-546702.7740838608</v>
      </c>
      <c r="N63" s="245">
        <f t="shared" si="33"/>
        <v>6013730.5149224689</v>
      </c>
      <c r="O63" s="245">
        <f t="shared" si="33"/>
        <v>-735254.45104983298</v>
      </c>
      <c r="P63" s="245">
        <f t="shared" si="33"/>
        <v>-735254.45104983298</v>
      </c>
      <c r="Q63" s="245">
        <f t="shared" si="33"/>
        <v>-735254.45104983298</v>
      </c>
      <c r="R63" s="245">
        <f t="shared" si="33"/>
        <v>-735254.45104983298</v>
      </c>
      <c r="S63" s="245">
        <f t="shared" si="33"/>
        <v>-735254.45104983298</v>
      </c>
      <c r="T63" s="245">
        <f t="shared" si="33"/>
        <v>-735254.45104983298</v>
      </c>
      <c r="U63" s="245">
        <f t="shared" si="33"/>
        <v>-735254.45104983298</v>
      </c>
      <c r="V63" s="245">
        <f t="shared" si="33"/>
        <v>-735254.45104983298</v>
      </c>
      <c r="W63" s="245">
        <f t="shared" si="33"/>
        <v>-735254.45104983298</v>
      </c>
      <c r="X63" s="245">
        <f t="shared" si="33"/>
        <v>-735254.45104983298</v>
      </c>
      <c r="Y63" s="245">
        <f t="shared" si="33"/>
        <v>-735254.45104983298</v>
      </c>
      <c r="Z63" s="245">
        <f t="shared" si="33"/>
        <v>8087798.9615481626</v>
      </c>
      <c r="AA63" s="245">
        <f t="shared" si="33"/>
        <v>0</v>
      </c>
      <c r="AB63" s="245">
        <f t="shared" si="33"/>
        <v>0</v>
      </c>
      <c r="AC63" s="245">
        <f t="shared" si="33"/>
        <v>0</v>
      </c>
      <c r="AD63" s="245">
        <f t="shared" si="33"/>
        <v>0</v>
      </c>
      <c r="AE63" s="245">
        <f t="shared" si="33"/>
        <v>0</v>
      </c>
      <c r="AF63" s="245">
        <f t="shared" si="33"/>
        <v>0</v>
      </c>
      <c r="AG63" s="245">
        <f t="shared" si="33"/>
        <v>0</v>
      </c>
      <c r="AH63" s="245">
        <f t="shared" si="33"/>
        <v>0</v>
      </c>
      <c r="AI63" s="245">
        <f t="shared" si="33"/>
        <v>0</v>
      </c>
      <c r="AJ63" s="245">
        <f t="shared" si="33"/>
        <v>0</v>
      </c>
      <c r="AK63" s="245">
        <f t="shared" si="33"/>
        <v>0</v>
      </c>
      <c r="AL63" s="245">
        <f t="shared" si="33"/>
        <v>0</v>
      </c>
      <c r="AM63" s="245">
        <f t="shared" si="33"/>
        <v>0</v>
      </c>
      <c r="AN63" s="245">
        <f t="shared" si="33"/>
        <v>0</v>
      </c>
      <c r="AO63" s="245">
        <f t="shared" si="33"/>
        <v>0</v>
      </c>
      <c r="AP63" s="245">
        <f t="shared" si="33"/>
        <v>0</v>
      </c>
    </row>
    <row r="64" spans="1:42" x14ac:dyDescent="0.2">
      <c r="A64" s="33" t="s">
        <v>133</v>
      </c>
      <c r="B64" s="245">
        <f>-B592-B593</f>
        <v>0</v>
      </c>
      <c r="C64" s="245">
        <f t="shared" ref="C64:AP64" si="34">-C592-C593</f>
        <v>0</v>
      </c>
      <c r="D64" s="245">
        <f t="shared" si="34"/>
        <v>0</v>
      </c>
      <c r="E64" s="245">
        <f t="shared" si="34"/>
        <v>0</v>
      </c>
      <c r="F64" s="245">
        <f t="shared" si="34"/>
        <v>0</v>
      </c>
      <c r="G64" s="245">
        <f t="shared" si="34"/>
        <v>0</v>
      </c>
      <c r="H64" s="245">
        <f t="shared" si="34"/>
        <v>0</v>
      </c>
      <c r="I64" s="245">
        <f t="shared" si="34"/>
        <v>0</v>
      </c>
      <c r="J64" s="245">
        <f t="shared" si="34"/>
        <v>0</v>
      </c>
      <c r="K64" s="245">
        <f t="shared" si="34"/>
        <v>0</v>
      </c>
      <c r="L64" s="245">
        <f t="shared" si="34"/>
        <v>0</v>
      </c>
      <c r="M64" s="245">
        <f t="shared" si="34"/>
        <v>0</v>
      </c>
      <c r="N64" s="245">
        <f t="shared" si="34"/>
        <v>0</v>
      </c>
      <c r="O64" s="245">
        <f t="shared" si="34"/>
        <v>0</v>
      </c>
      <c r="P64" s="245">
        <f t="shared" si="34"/>
        <v>0</v>
      </c>
      <c r="Q64" s="245">
        <f t="shared" si="34"/>
        <v>0</v>
      </c>
      <c r="R64" s="245">
        <f t="shared" si="34"/>
        <v>0</v>
      </c>
      <c r="S64" s="245">
        <f t="shared" si="34"/>
        <v>0</v>
      </c>
      <c r="T64" s="245">
        <f t="shared" si="34"/>
        <v>0</v>
      </c>
      <c r="U64" s="245">
        <f t="shared" si="34"/>
        <v>0</v>
      </c>
      <c r="V64" s="245">
        <f t="shared" si="34"/>
        <v>0</v>
      </c>
      <c r="W64" s="245">
        <f t="shared" si="34"/>
        <v>0</v>
      </c>
      <c r="X64" s="245">
        <f t="shared" si="34"/>
        <v>0</v>
      </c>
      <c r="Y64" s="245">
        <f t="shared" si="34"/>
        <v>0</v>
      </c>
      <c r="Z64" s="245">
        <f t="shared" si="34"/>
        <v>0</v>
      </c>
      <c r="AA64" s="245">
        <f t="shared" si="34"/>
        <v>0</v>
      </c>
      <c r="AB64" s="245">
        <f t="shared" si="34"/>
        <v>0</v>
      </c>
      <c r="AC64" s="245">
        <f t="shared" si="34"/>
        <v>0</v>
      </c>
      <c r="AD64" s="245">
        <f t="shared" si="34"/>
        <v>0</v>
      </c>
      <c r="AE64" s="245">
        <f t="shared" si="34"/>
        <v>0</v>
      </c>
      <c r="AF64" s="245">
        <f t="shared" si="34"/>
        <v>0</v>
      </c>
      <c r="AG64" s="245">
        <f t="shared" si="34"/>
        <v>0</v>
      </c>
      <c r="AH64" s="245">
        <f t="shared" si="34"/>
        <v>0</v>
      </c>
      <c r="AI64" s="245">
        <f t="shared" si="34"/>
        <v>0</v>
      </c>
      <c r="AJ64" s="245">
        <f t="shared" si="34"/>
        <v>0</v>
      </c>
      <c r="AK64" s="245">
        <f t="shared" si="34"/>
        <v>0</v>
      </c>
      <c r="AL64" s="245">
        <f t="shared" si="34"/>
        <v>0</v>
      </c>
      <c r="AM64" s="245">
        <f t="shared" si="34"/>
        <v>0</v>
      </c>
      <c r="AN64" s="245">
        <f t="shared" si="34"/>
        <v>0</v>
      </c>
      <c r="AO64" s="245">
        <f t="shared" si="34"/>
        <v>0</v>
      </c>
      <c r="AP64" s="245">
        <f t="shared" si="34"/>
        <v>0</v>
      </c>
    </row>
    <row r="65" spans="1:42" x14ac:dyDescent="0.2">
      <c r="A65" s="33" t="s">
        <v>134</v>
      </c>
      <c r="B65" s="251">
        <f>-B624-B625</f>
        <v>0</v>
      </c>
      <c r="C65" s="251">
        <f t="shared" ref="C65:AP65" si="35">-C624-C625</f>
        <v>0</v>
      </c>
      <c r="D65" s="251">
        <f t="shared" si="35"/>
        <v>0</v>
      </c>
      <c r="E65" s="251">
        <f t="shared" si="35"/>
        <v>0</v>
      </c>
      <c r="F65" s="251">
        <f t="shared" si="35"/>
        <v>0</v>
      </c>
      <c r="G65" s="251">
        <f t="shared" si="35"/>
        <v>0</v>
      </c>
      <c r="H65" s="251">
        <f t="shared" si="35"/>
        <v>0</v>
      </c>
      <c r="I65" s="251">
        <f t="shared" si="35"/>
        <v>0</v>
      </c>
      <c r="J65" s="251">
        <f t="shared" si="35"/>
        <v>0</v>
      </c>
      <c r="K65" s="251">
        <f t="shared" si="35"/>
        <v>0</v>
      </c>
      <c r="L65" s="251">
        <f t="shared" si="35"/>
        <v>0</v>
      </c>
      <c r="M65" s="251">
        <f t="shared" si="35"/>
        <v>0</v>
      </c>
      <c r="N65" s="251">
        <f t="shared" si="35"/>
        <v>0</v>
      </c>
      <c r="O65" s="251">
        <f t="shared" si="35"/>
        <v>0</v>
      </c>
      <c r="P65" s="251">
        <f t="shared" si="35"/>
        <v>0</v>
      </c>
      <c r="Q65" s="251">
        <f t="shared" si="35"/>
        <v>0</v>
      </c>
      <c r="R65" s="251">
        <f t="shared" si="35"/>
        <v>0</v>
      </c>
      <c r="S65" s="251">
        <f t="shared" si="35"/>
        <v>0</v>
      </c>
      <c r="T65" s="251">
        <f t="shared" si="35"/>
        <v>0</v>
      </c>
      <c r="U65" s="251">
        <f t="shared" si="35"/>
        <v>0</v>
      </c>
      <c r="V65" s="251">
        <f t="shared" si="35"/>
        <v>0</v>
      </c>
      <c r="W65" s="251">
        <f t="shared" si="35"/>
        <v>0</v>
      </c>
      <c r="X65" s="251">
        <f t="shared" si="35"/>
        <v>0</v>
      </c>
      <c r="Y65" s="251">
        <f t="shared" si="35"/>
        <v>0</v>
      </c>
      <c r="Z65" s="251">
        <f t="shared" si="35"/>
        <v>0</v>
      </c>
      <c r="AA65" s="251">
        <f t="shared" si="35"/>
        <v>0</v>
      </c>
      <c r="AB65" s="251">
        <f t="shared" si="35"/>
        <v>0</v>
      </c>
      <c r="AC65" s="251">
        <f t="shared" si="35"/>
        <v>0</v>
      </c>
      <c r="AD65" s="251">
        <f t="shared" si="35"/>
        <v>0</v>
      </c>
      <c r="AE65" s="251">
        <f t="shared" si="35"/>
        <v>0</v>
      </c>
      <c r="AF65" s="251">
        <f t="shared" si="35"/>
        <v>0</v>
      </c>
      <c r="AG65" s="251">
        <f t="shared" si="35"/>
        <v>0</v>
      </c>
      <c r="AH65" s="251">
        <f t="shared" si="35"/>
        <v>0</v>
      </c>
      <c r="AI65" s="251">
        <f t="shared" si="35"/>
        <v>0</v>
      </c>
      <c r="AJ65" s="251">
        <f t="shared" si="35"/>
        <v>0</v>
      </c>
      <c r="AK65" s="251">
        <f t="shared" si="35"/>
        <v>0</v>
      </c>
      <c r="AL65" s="251">
        <f t="shared" si="35"/>
        <v>0</v>
      </c>
      <c r="AM65" s="251">
        <f t="shared" si="35"/>
        <v>0</v>
      </c>
      <c r="AN65" s="251">
        <f t="shared" si="35"/>
        <v>0</v>
      </c>
      <c r="AO65" s="251">
        <f t="shared" si="35"/>
        <v>0</v>
      </c>
      <c r="AP65" s="251">
        <f t="shared" si="35"/>
        <v>0</v>
      </c>
    </row>
    <row r="66" spans="1:42" x14ac:dyDescent="0.2">
      <c r="A66" s="33" t="s">
        <v>18</v>
      </c>
      <c r="B66" s="250">
        <f>SUM(B61:B65)</f>
        <v>153426.06695533107</v>
      </c>
      <c r="C66" s="250">
        <f t="shared" ref="C66:AP66" si="36">SUM(C61:C65)</f>
        <v>-548123.87985309155</v>
      </c>
      <c r="D66" s="250">
        <f t="shared" si="36"/>
        <v>-548159.40749732242</v>
      </c>
      <c r="E66" s="250">
        <f t="shared" si="36"/>
        <v>-548195.82333265874</v>
      </c>
      <c r="F66" s="250">
        <f t="shared" si="36"/>
        <v>-548233.14956387901</v>
      </c>
      <c r="G66" s="250">
        <f t="shared" si="36"/>
        <v>-548271.40895087924</v>
      </c>
      <c r="H66" s="250">
        <f t="shared" si="36"/>
        <v>-548310.62482255476</v>
      </c>
      <c r="I66" s="250">
        <f t="shared" si="36"/>
        <v>-548350.82109102211</v>
      </c>
      <c r="J66" s="250">
        <f t="shared" si="36"/>
        <v>-548392.02226620121</v>
      </c>
      <c r="K66" s="250">
        <f t="shared" si="36"/>
        <v>-548434.25347075961</v>
      </c>
      <c r="L66" s="250">
        <f t="shared" si="36"/>
        <v>-548477.54045543214</v>
      </c>
      <c r="M66" s="250">
        <f t="shared" si="36"/>
        <v>-548521.90961472131</v>
      </c>
      <c r="N66" s="250">
        <f t="shared" si="36"/>
        <v>6084385.7767594801</v>
      </c>
      <c r="O66" s="250">
        <f t="shared" si="36"/>
        <v>-737165.68031694333</v>
      </c>
      <c r="P66" s="250">
        <f t="shared" si="36"/>
        <v>-737213.4610486211</v>
      </c>
      <c r="Q66" s="250">
        <f t="shared" si="36"/>
        <v>-737262.43629859085</v>
      </c>
      <c r="R66" s="250">
        <f t="shared" si="36"/>
        <v>-737312.63592980977</v>
      </c>
      <c r="S66" s="250">
        <f t="shared" si="36"/>
        <v>-737364.09055180917</v>
      </c>
      <c r="T66" s="250">
        <f t="shared" si="36"/>
        <v>-1315732.338588567</v>
      </c>
      <c r="U66" s="250">
        <f t="shared" si="36"/>
        <v>-744859.02439080935</v>
      </c>
      <c r="V66" s="250">
        <f t="shared" si="36"/>
        <v>-745099.13872433361</v>
      </c>
      <c r="W66" s="250">
        <f t="shared" si="36"/>
        <v>-745345.25591619627</v>
      </c>
      <c r="X66" s="250">
        <f t="shared" si="36"/>
        <v>-745597.52603785531</v>
      </c>
      <c r="Y66" s="250">
        <f t="shared" si="36"/>
        <v>-745856.10291255591</v>
      </c>
      <c r="Z66" s="250">
        <f t="shared" si="36"/>
        <v>8076932.2683888711</v>
      </c>
      <c r="AA66" s="250">
        <f t="shared" si="36"/>
        <v>445534.41953093128</v>
      </c>
      <c r="AB66" s="250">
        <f t="shared" si="36"/>
        <v>0</v>
      </c>
      <c r="AC66" s="250">
        <f t="shared" si="36"/>
        <v>0</v>
      </c>
      <c r="AD66" s="250">
        <f t="shared" si="36"/>
        <v>0</v>
      </c>
      <c r="AE66" s="250">
        <f t="shared" si="36"/>
        <v>0</v>
      </c>
      <c r="AF66" s="250">
        <f t="shared" si="36"/>
        <v>0</v>
      </c>
      <c r="AG66" s="250">
        <f t="shared" si="36"/>
        <v>0</v>
      </c>
      <c r="AH66" s="250">
        <f t="shared" si="36"/>
        <v>0</v>
      </c>
      <c r="AI66" s="250">
        <f t="shared" si="36"/>
        <v>0</v>
      </c>
      <c r="AJ66" s="250">
        <f t="shared" si="36"/>
        <v>0</v>
      </c>
      <c r="AK66" s="250">
        <f t="shared" si="36"/>
        <v>0</v>
      </c>
      <c r="AL66" s="250">
        <f t="shared" si="36"/>
        <v>0</v>
      </c>
      <c r="AM66" s="250">
        <f t="shared" si="36"/>
        <v>0</v>
      </c>
      <c r="AN66" s="250">
        <f t="shared" si="36"/>
        <v>0</v>
      </c>
      <c r="AO66" s="250">
        <f t="shared" si="36"/>
        <v>0</v>
      </c>
      <c r="AP66" s="250">
        <f t="shared" si="36"/>
        <v>0</v>
      </c>
    </row>
    <row r="67" spans="1:42" x14ac:dyDescent="0.2">
      <c r="A67" s="29" t="s">
        <v>285</v>
      </c>
    </row>
    <row r="68" spans="1:42" x14ac:dyDescent="0.2">
      <c r="A68" s="33" t="s">
        <v>138</v>
      </c>
      <c r="B68" s="245">
        <f>B561</f>
        <v>0</v>
      </c>
      <c r="C68" s="245">
        <f t="shared" ref="C68:AP68" si="37">C561</f>
        <v>0</v>
      </c>
      <c r="D68" s="245">
        <f t="shared" si="37"/>
        <v>0</v>
      </c>
      <c r="E68" s="245">
        <f t="shared" si="37"/>
        <v>0</v>
      </c>
      <c r="F68" s="245">
        <f t="shared" si="37"/>
        <v>0</v>
      </c>
      <c r="G68" s="245">
        <f t="shared" si="37"/>
        <v>0</v>
      </c>
      <c r="H68" s="245">
        <f t="shared" si="37"/>
        <v>0</v>
      </c>
      <c r="I68" s="245">
        <f t="shared" si="37"/>
        <v>0</v>
      </c>
      <c r="J68" s="245">
        <f t="shared" si="37"/>
        <v>0</v>
      </c>
      <c r="K68" s="245">
        <f t="shared" si="37"/>
        <v>0</v>
      </c>
      <c r="L68" s="245">
        <f t="shared" si="37"/>
        <v>0</v>
      </c>
      <c r="M68" s="245">
        <f t="shared" si="37"/>
        <v>0</v>
      </c>
      <c r="N68" s="245">
        <f t="shared" si="37"/>
        <v>-6560433.2890063301</v>
      </c>
      <c r="O68" s="245">
        <f t="shared" si="37"/>
        <v>0</v>
      </c>
      <c r="P68" s="245">
        <f t="shared" si="37"/>
        <v>0</v>
      </c>
      <c r="Q68" s="245">
        <f t="shared" si="37"/>
        <v>0</v>
      </c>
      <c r="R68" s="245">
        <f t="shared" si="37"/>
        <v>0</v>
      </c>
      <c r="S68" s="245">
        <f t="shared" si="37"/>
        <v>0</v>
      </c>
      <c r="T68" s="245">
        <f t="shared" si="37"/>
        <v>0</v>
      </c>
      <c r="U68" s="245">
        <f t="shared" si="37"/>
        <v>0</v>
      </c>
      <c r="V68" s="245">
        <f t="shared" si="37"/>
        <v>0</v>
      </c>
      <c r="W68" s="245">
        <f t="shared" si="37"/>
        <v>0</v>
      </c>
      <c r="X68" s="245">
        <f t="shared" si="37"/>
        <v>0</v>
      </c>
      <c r="Y68" s="245">
        <f t="shared" si="37"/>
        <v>0</v>
      </c>
      <c r="Z68" s="245">
        <f t="shared" si="37"/>
        <v>-8823053.4125979953</v>
      </c>
      <c r="AA68" s="245">
        <f t="shared" si="37"/>
        <v>0</v>
      </c>
      <c r="AB68" s="245">
        <f t="shared" si="37"/>
        <v>0</v>
      </c>
      <c r="AC68" s="245">
        <f t="shared" si="37"/>
        <v>0</v>
      </c>
      <c r="AD68" s="245">
        <f t="shared" si="37"/>
        <v>0</v>
      </c>
      <c r="AE68" s="245">
        <f t="shared" si="37"/>
        <v>0</v>
      </c>
      <c r="AF68" s="245">
        <f t="shared" si="37"/>
        <v>0</v>
      </c>
      <c r="AG68" s="245">
        <f t="shared" si="37"/>
        <v>0</v>
      </c>
      <c r="AH68" s="245">
        <f t="shared" si="37"/>
        <v>0</v>
      </c>
      <c r="AI68" s="245">
        <f t="shared" si="37"/>
        <v>0</v>
      </c>
      <c r="AJ68" s="245">
        <f t="shared" si="37"/>
        <v>0</v>
      </c>
      <c r="AK68" s="245">
        <f t="shared" si="37"/>
        <v>0</v>
      </c>
      <c r="AL68" s="245">
        <f t="shared" si="37"/>
        <v>0</v>
      </c>
      <c r="AM68" s="245">
        <f t="shared" si="37"/>
        <v>0</v>
      </c>
      <c r="AN68" s="245">
        <f t="shared" si="37"/>
        <v>0</v>
      </c>
      <c r="AO68" s="245">
        <f t="shared" si="37"/>
        <v>0</v>
      </c>
      <c r="AP68" s="245">
        <f t="shared" si="37"/>
        <v>0</v>
      </c>
    </row>
    <row r="69" spans="1:42" x14ac:dyDescent="0.2">
      <c r="A69" s="33" t="s">
        <v>139</v>
      </c>
      <c r="B69" s="245">
        <f>B593</f>
        <v>0</v>
      </c>
      <c r="C69" s="245">
        <f t="shared" ref="C69:AP69" si="38">C593</f>
        <v>0</v>
      </c>
      <c r="D69" s="245">
        <f t="shared" si="38"/>
        <v>0</v>
      </c>
      <c r="E69" s="245">
        <f t="shared" si="38"/>
        <v>0</v>
      </c>
      <c r="F69" s="245">
        <f t="shared" si="38"/>
        <v>0</v>
      </c>
      <c r="G69" s="245">
        <f t="shared" si="38"/>
        <v>0</v>
      </c>
      <c r="H69" s="245">
        <f t="shared" si="38"/>
        <v>0</v>
      </c>
      <c r="I69" s="245">
        <f t="shared" si="38"/>
        <v>0</v>
      </c>
      <c r="J69" s="245">
        <f t="shared" si="38"/>
        <v>0</v>
      </c>
      <c r="K69" s="245">
        <f t="shared" si="38"/>
        <v>0</v>
      </c>
      <c r="L69" s="245">
        <f t="shared" si="38"/>
        <v>0</v>
      </c>
      <c r="M69" s="245">
        <f t="shared" si="38"/>
        <v>0</v>
      </c>
      <c r="N69" s="245">
        <f t="shared" si="38"/>
        <v>0</v>
      </c>
      <c r="O69" s="245">
        <f t="shared" si="38"/>
        <v>0</v>
      </c>
      <c r="P69" s="245">
        <f t="shared" si="38"/>
        <v>0</v>
      </c>
      <c r="Q69" s="245">
        <f t="shared" si="38"/>
        <v>0</v>
      </c>
      <c r="R69" s="245">
        <f t="shared" si="38"/>
        <v>0</v>
      </c>
      <c r="S69" s="245">
        <f t="shared" si="38"/>
        <v>0</v>
      </c>
      <c r="T69" s="245">
        <f t="shared" si="38"/>
        <v>0</v>
      </c>
      <c r="U69" s="245">
        <f t="shared" si="38"/>
        <v>0</v>
      </c>
      <c r="V69" s="245">
        <f t="shared" si="38"/>
        <v>0</v>
      </c>
      <c r="W69" s="245">
        <f t="shared" si="38"/>
        <v>0</v>
      </c>
      <c r="X69" s="245">
        <f t="shared" si="38"/>
        <v>0</v>
      </c>
      <c r="Y69" s="245">
        <f t="shared" si="38"/>
        <v>0</v>
      </c>
      <c r="Z69" s="245">
        <f t="shared" si="38"/>
        <v>0</v>
      </c>
      <c r="AA69" s="245">
        <f t="shared" si="38"/>
        <v>0</v>
      </c>
      <c r="AB69" s="245">
        <f t="shared" si="38"/>
        <v>0</v>
      </c>
      <c r="AC69" s="245">
        <f t="shared" si="38"/>
        <v>0</v>
      </c>
      <c r="AD69" s="245">
        <f t="shared" si="38"/>
        <v>0</v>
      </c>
      <c r="AE69" s="245">
        <f t="shared" si="38"/>
        <v>0</v>
      </c>
      <c r="AF69" s="245">
        <f t="shared" si="38"/>
        <v>0</v>
      </c>
      <c r="AG69" s="245">
        <f t="shared" si="38"/>
        <v>0</v>
      </c>
      <c r="AH69" s="245">
        <f t="shared" si="38"/>
        <v>0</v>
      </c>
      <c r="AI69" s="245">
        <f t="shared" si="38"/>
        <v>0</v>
      </c>
      <c r="AJ69" s="245">
        <f t="shared" si="38"/>
        <v>0</v>
      </c>
      <c r="AK69" s="245">
        <f t="shared" si="38"/>
        <v>0</v>
      </c>
      <c r="AL69" s="245">
        <f t="shared" si="38"/>
        <v>0</v>
      </c>
      <c r="AM69" s="245">
        <f t="shared" si="38"/>
        <v>0</v>
      </c>
      <c r="AN69" s="245">
        <f t="shared" si="38"/>
        <v>0</v>
      </c>
      <c r="AO69" s="245">
        <f t="shared" si="38"/>
        <v>0</v>
      </c>
      <c r="AP69" s="245">
        <f t="shared" si="38"/>
        <v>0</v>
      </c>
    </row>
    <row r="70" spans="1:42" x14ac:dyDescent="0.2">
      <c r="A70" s="33" t="s">
        <v>140</v>
      </c>
      <c r="B70" s="251">
        <f>B625</f>
        <v>0</v>
      </c>
      <c r="C70" s="251">
        <f t="shared" ref="C70:AP70" si="39">C625</f>
        <v>0</v>
      </c>
      <c r="D70" s="251">
        <f t="shared" si="39"/>
        <v>0</v>
      </c>
      <c r="E70" s="251">
        <f t="shared" si="39"/>
        <v>0</v>
      </c>
      <c r="F70" s="251">
        <f t="shared" si="39"/>
        <v>0</v>
      </c>
      <c r="G70" s="251">
        <f t="shared" si="39"/>
        <v>0</v>
      </c>
      <c r="H70" s="251">
        <f t="shared" si="39"/>
        <v>0</v>
      </c>
      <c r="I70" s="251">
        <f t="shared" si="39"/>
        <v>0</v>
      </c>
      <c r="J70" s="251">
        <f t="shared" si="39"/>
        <v>0</v>
      </c>
      <c r="K70" s="251">
        <f t="shared" si="39"/>
        <v>0</v>
      </c>
      <c r="L70" s="251">
        <f t="shared" si="39"/>
        <v>0</v>
      </c>
      <c r="M70" s="251">
        <f t="shared" si="39"/>
        <v>0</v>
      </c>
      <c r="N70" s="251">
        <f t="shared" si="39"/>
        <v>0</v>
      </c>
      <c r="O70" s="251">
        <f t="shared" si="39"/>
        <v>0</v>
      </c>
      <c r="P70" s="251">
        <f t="shared" si="39"/>
        <v>0</v>
      </c>
      <c r="Q70" s="251">
        <f t="shared" si="39"/>
        <v>0</v>
      </c>
      <c r="R70" s="251">
        <f t="shared" si="39"/>
        <v>0</v>
      </c>
      <c r="S70" s="251">
        <f t="shared" si="39"/>
        <v>0</v>
      </c>
      <c r="T70" s="251">
        <f t="shared" si="39"/>
        <v>0</v>
      </c>
      <c r="U70" s="251">
        <f t="shared" si="39"/>
        <v>0</v>
      </c>
      <c r="V70" s="251">
        <f t="shared" si="39"/>
        <v>0</v>
      </c>
      <c r="W70" s="251">
        <f t="shared" si="39"/>
        <v>0</v>
      </c>
      <c r="X70" s="251">
        <f t="shared" si="39"/>
        <v>0</v>
      </c>
      <c r="Y70" s="251">
        <f t="shared" si="39"/>
        <v>0</v>
      </c>
      <c r="Z70" s="251">
        <f t="shared" si="39"/>
        <v>0</v>
      </c>
      <c r="AA70" s="251">
        <f t="shared" si="39"/>
        <v>0</v>
      </c>
      <c r="AB70" s="251">
        <f t="shared" si="39"/>
        <v>0</v>
      </c>
      <c r="AC70" s="251">
        <f t="shared" si="39"/>
        <v>0</v>
      </c>
      <c r="AD70" s="251">
        <f t="shared" si="39"/>
        <v>0</v>
      </c>
      <c r="AE70" s="251">
        <f t="shared" si="39"/>
        <v>0</v>
      </c>
      <c r="AF70" s="251">
        <f t="shared" si="39"/>
        <v>0</v>
      </c>
      <c r="AG70" s="251">
        <f t="shared" si="39"/>
        <v>0</v>
      </c>
      <c r="AH70" s="251">
        <f t="shared" si="39"/>
        <v>0</v>
      </c>
      <c r="AI70" s="251">
        <f t="shared" si="39"/>
        <v>0</v>
      </c>
      <c r="AJ70" s="251">
        <f t="shared" si="39"/>
        <v>0</v>
      </c>
      <c r="AK70" s="251">
        <f t="shared" si="39"/>
        <v>0</v>
      </c>
      <c r="AL70" s="251">
        <f t="shared" si="39"/>
        <v>0</v>
      </c>
      <c r="AM70" s="251">
        <f t="shared" si="39"/>
        <v>0</v>
      </c>
      <c r="AN70" s="251">
        <f t="shared" si="39"/>
        <v>0</v>
      </c>
      <c r="AO70" s="251">
        <f t="shared" si="39"/>
        <v>0</v>
      </c>
      <c r="AP70" s="251">
        <f t="shared" si="39"/>
        <v>0</v>
      </c>
    </row>
    <row r="71" spans="1:42" x14ac:dyDescent="0.2">
      <c r="A71" s="33" t="s">
        <v>18</v>
      </c>
      <c r="B71" s="346">
        <f>SUM(B68:B70)</f>
        <v>0</v>
      </c>
      <c r="C71" s="346">
        <f t="shared" ref="C71:AP71" si="40">SUM(C68:C70)</f>
        <v>0</v>
      </c>
      <c r="D71" s="346">
        <f t="shared" si="40"/>
        <v>0</v>
      </c>
      <c r="E71" s="346">
        <f t="shared" si="40"/>
        <v>0</v>
      </c>
      <c r="F71" s="346">
        <f t="shared" si="40"/>
        <v>0</v>
      </c>
      <c r="G71" s="346">
        <f t="shared" si="40"/>
        <v>0</v>
      </c>
      <c r="H71" s="346">
        <f t="shared" si="40"/>
        <v>0</v>
      </c>
      <c r="I71" s="346">
        <f t="shared" si="40"/>
        <v>0</v>
      </c>
      <c r="J71" s="346">
        <f t="shared" si="40"/>
        <v>0</v>
      </c>
      <c r="K71" s="346">
        <f t="shared" si="40"/>
        <v>0</v>
      </c>
      <c r="L71" s="346">
        <f t="shared" si="40"/>
        <v>0</v>
      </c>
      <c r="M71" s="346">
        <f t="shared" si="40"/>
        <v>0</v>
      </c>
      <c r="N71" s="346">
        <f t="shared" si="40"/>
        <v>-6560433.2890063301</v>
      </c>
      <c r="O71" s="346">
        <f t="shared" si="40"/>
        <v>0</v>
      </c>
      <c r="P71" s="346">
        <f t="shared" si="40"/>
        <v>0</v>
      </c>
      <c r="Q71" s="346">
        <f t="shared" si="40"/>
        <v>0</v>
      </c>
      <c r="R71" s="346">
        <f t="shared" si="40"/>
        <v>0</v>
      </c>
      <c r="S71" s="346">
        <f t="shared" si="40"/>
        <v>0</v>
      </c>
      <c r="T71" s="346">
        <f t="shared" si="40"/>
        <v>0</v>
      </c>
      <c r="U71" s="346">
        <f t="shared" si="40"/>
        <v>0</v>
      </c>
      <c r="V71" s="346">
        <f t="shared" si="40"/>
        <v>0</v>
      </c>
      <c r="W71" s="346">
        <f t="shared" si="40"/>
        <v>0</v>
      </c>
      <c r="X71" s="346">
        <f t="shared" si="40"/>
        <v>0</v>
      </c>
      <c r="Y71" s="346">
        <f t="shared" si="40"/>
        <v>0</v>
      </c>
      <c r="Z71" s="346">
        <f t="shared" si="40"/>
        <v>-8823053.4125979953</v>
      </c>
      <c r="AA71" s="346">
        <f t="shared" si="40"/>
        <v>0</v>
      </c>
      <c r="AB71" s="346">
        <f t="shared" si="40"/>
        <v>0</v>
      </c>
      <c r="AC71" s="346">
        <f t="shared" si="40"/>
        <v>0</v>
      </c>
      <c r="AD71" s="346">
        <f t="shared" si="40"/>
        <v>0</v>
      </c>
      <c r="AE71" s="346">
        <f t="shared" si="40"/>
        <v>0</v>
      </c>
      <c r="AF71" s="346">
        <f t="shared" si="40"/>
        <v>0</v>
      </c>
      <c r="AG71" s="346">
        <f t="shared" si="40"/>
        <v>0</v>
      </c>
      <c r="AH71" s="346">
        <f t="shared" si="40"/>
        <v>0</v>
      </c>
      <c r="AI71" s="346">
        <f t="shared" si="40"/>
        <v>0</v>
      </c>
      <c r="AJ71" s="346">
        <f t="shared" si="40"/>
        <v>0</v>
      </c>
      <c r="AK71" s="346">
        <f t="shared" si="40"/>
        <v>0</v>
      </c>
      <c r="AL71" s="346">
        <f t="shared" si="40"/>
        <v>0</v>
      </c>
      <c r="AM71" s="346">
        <f t="shared" si="40"/>
        <v>0</v>
      </c>
      <c r="AN71" s="346">
        <f t="shared" si="40"/>
        <v>0</v>
      </c>
      <c r="AO71" s="346">
        <f t="shared" si="40"/>
        <v>0</v>
      </c>
      <c r="AP71" s="346">
        <f t="shared" si="40"/>
        <v>0</v>
      </c>
    </row>
    <row r="72" spans="1:42" x14ac:dyDescent="0.2">
      <c r="A72" s="347" t="s">
        <v>305</v>
      </c>
      <c r="B72" s="261">
        <f>B59+B66+B71</f>
        <v>-39347678.214573517</v>
      </c>
      <c r="C72" s="261">
        <f t="shared" ref="C72:AP72" si="41">C59+C66+C71</f>
        <v>-548123.87985309155</v>
      </c>
      <c r="D72" s="261">
        <f t="shared" si="41"/>
        <v>-548159.40749732242</v>
      </c>
      <c r="E72" s="261">
        <f t="shared" si="41"/>
        <v>-548195.82333265874</v>
      </c>
      <c r="F72" s="261">
        <f t="shared" si="41"/>
        <v>-548233.14956387901</v>
      </c>
      <c r="G72" s="261">
        <f t="shared" si="41"/>
        <v>-548271.40895087924</v>
      </c>
      <c r="H72" s="261">
        <f t="shared" si="41"/>
        <v>-548310.62482255476</v>
      </c>
      <c r="I72" s="261">
        <f t="shared" si="41"/>
        <v>-548350.82109102211</v>
      </c>
      <c r="J72" s="261">
        <f t="shared" si="41"/>
        <v>-548392.02226620121</v>
      </c>
      <c r="K72" s="261">
        <f t="shared" si="41"/>
        <v>-548434.25347075961</v>
      </c>
      <c r="L72" s="261">
        <f t="shared" si="41"/>
        <v>-548477.54045543214</v>
      </c>
      <c r="M72" s="261">
        <f t="shared" si="41"/>
        <v>-548521.90961472131</v>
      </c>
      <c r="N72" s="261">
        <f t="shared" si="41"/>
        <v>-476047.51224684995</v>
      </c>
      <c r="O72" s="261">
        <f t="shared" si="41"/>
        <v>-737165.68031694333</v>
      </c>
      <c r="P72" s="261">
        <f t="shared" si="41"/>
        <v>-737213.4610486211</v>
      </c>
      <c r="Q72" s="261">
        <f t="shared" si="41"/>
        <v>-737262.43629859085</v>
      </c>
      <c r="R72" s="261">
        <f t="shared" si="41"/>
        <v>-737312.63592980977</v>
      </c>
      <c r="S72" s="261">
        <f t="shared" si="41"/>
        <v>-737364.09055180917</v>
      </c>
      <c r="T72" s="261">
        <f t="shared" si="41"/>
        <v>-1315732.338588567</v>
      </c>
      <c r="U72" s="261">
        <f t="shared" si="41"/>
        <v>-744859.02439080935</v>
      </c>
      <c r="V72" s="261">
        <f t="shared" si="41"/>
        <v>-745099.13872433361</v>
      </c>
      <c r="W72" s="261">
        <f t="shared" si="41"/>
        <v>-745345.25591619627</v>
      </c>
      <c r="X72" s="261">
        <f t="shared" si="41"/>
        <v>-745597.52603785531</v>
      </c>
      <c r="Y72" s="261">
        <f t="shared" si="41"/>
        <v>-745856.10291255591</v>
      </c>
      <c r="Z72" s="261">
        <f t="shared" si="41"/>
        <v>-746121.14420912415</v>
      </c>
      <c r="AA72" s="261">
        <f t="shared" si="41"/>
        <v>445534.41953093128</v>
      </c>
      <c r="AB72" s="261">
        <f t="shared" si="41"/>
        <v>0</v>
      </c>
      <c r="AC72" s="261">
        <f t="shared" si="41"/>
        <v>0</v>
      </c>
      <c r="AD72" s="261">
        <f t="shared" si="41"/>
        <v>0</v>
      </c>
      <c r="AE72" s="261">
        <f t="shared" si="41"/>
        <v>0</v>
      </c>
      <c r="AF72" s="261">
        <f t="shared" si="41"/>
        <v>0</v>
      </c>
      <c r="AG72" s="261">
        <f t="shared" si="41"/>
        <v>0</v>
      </c>
      <c r="AH72" s="261">
        <f t="shared" si="41"/>
        <v>0</v>
      </c>
      <c r="AI72" s="261">
        <f t="shared" si="41"/>
        <v>0</v>
      </c>
      <c r="AJ72" s="261">
        <f t="shared" si="41"/>
        <v>0</v>
      </c>
      <c r="AK72" s="261">
        <f t="shared" si="41"/>
        <v>0</v>
      </c>
      <c r="AL72" s="261">
        <f t="shared" si="41"/>
        <v>0</v>
      </c>
      <c r="AM72" s="261">
        <f t="shared" si="41"/>
        <v>0</v>
      </c>
      <c r="AN72" s="261">
        <f t="shared" si="41"/>
        <v>0</v>
      </c>
      <c r="AO72" s="261">
        <f t="shared" si="41"/>
        <v>0</v>
      </c>
      <c r="AP72" s="261">
        <f t="shared" si="41"/>
        <v>0</v>
      </c>
    </row>
    <row r="73" spans="1:42" x14ac:dyDescent="0.2">
      <c r="A73" s="29"/>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1" t="s">
        <v>93</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9" t="s">
        <v>105</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3" t="s">
        <v>106</v>
      </c>
      <c r="B76" s="250">
        <f>C495+C501</f>
        <v>0</v>
      </c>
      <c r="C76" s="250"/>
      <c r="D76" s="250"/>
      <c r="E76" s="250"/>
      <c r="F76" s="250"/>
      <c r="G76" s="250"/>
      <c r="H76" s="250"/>
      <c r="I76" s="250"/>
      <c r="J76" s="250"/>
      <c r="K76" s="250"/>
      <c r="L76" s="250"/>
      <c r="M76" s="250"/>
      <c r="N76" s="250"/>
      <c r="O76" s="250"/>
      <c r="P76" s="250"/>
      <c r="Q76" s="250"/>
      <c r="R76" s="250"/>
      <c r="S76" s="250"/>
      <c r="T76" s="250"/>
      <c r="U76" s="250"/>
      <c r="V76" s="250"/>
      <c r="W76" s="250"/>
      <c r="X76" s="250"/>
      <c r="Y76" s="250"/>
      <c r="Z76" s="250"/>
      <c r="AA76" s="250"/>
      <c r="AB76" s="250"/>
      <c r="AC76" s="250"/>
      <c r="AD76" s="250"/>
      <c r="AE76" s="250"/>
      <c r="AF76" s="250"/>
      <c r="AG76" s="250"/>
      <c r="AH76" s="250"/>
      <c r="AI76" s="250"/>
      <c r="AJ76" s="250"/>
      <c r="AK76" s="250"/>
      <c r="AL76" s="250"/>
      <c r="AM76" s="250"/>
      <c r="AN76" s="250"/>
      <c r="AO76" s="250"/>
      <c r="AP76" s="250"/>
    </row>
    <row r="77" spans="1:42" x14ac:dyDescent="0.2">
      <c r="A77" s="33" t="s">
        <v>91</v>
      </c>
      <c r="B77" s="251">
        <f>C508</f>
        <v>0</v>
      </c>
      <c r="C77" s="245"/>
      <c r="D77" s="245"/>
      <c r="E77" s="245"/>
      <c r="F77" s="245"/>
      <c r="G77" s="245"/>
      <c r="H77" s="245"/>
      <c r="I77" s="245"/>
      <c r="J77" s="245"/>
      <c r="K77" s="245"/>
      <c r="L77" s="245"/>
      <c r="M77" s="245"/>
      <c r="N77" s="245"/>
      <c r="O77" s="245"/>
      <c r="P77" s="245"/>
      <c r="Q77" s="245"/>
      <c r="R77" s="245"/>
      <c r="S77" s="245"/>
      <c r="T77" s="245"/>
      <c r="U77" s="245"/>
      <c r="V77" s="245"/>
      <c r="W77" s="245"/>
      <c r="X77" s="245"/>
      <c r="Y77" s="245"/>
      <c r="Z77" s="245"/>
      <c r="AA77" s="245"/>
      <c r="AB77" s="245"/>
      <c r="AC77" s="245"/>
      <c r="AD77" s="245"/>
      <c r="AE77" s="245"/>
      <c r="AF77" s="245"/>
      <c r="AG77" s="245"/>
      <c r="AH77" s="245"/>
      <c r="AI77" s="245"/>
      <c r="AJ77" s="245"/>
      <c r="AK77" s="245"/>
      <c r="AL77" s="245"/>
      <c r="AM77" s="245"/>
      <c r="AN77" s="245"/>
      <c r="AO77" s="245"/>
      <c r="AP77" s="245"/>
    </row>
    <row r="78" spans="1:42" x14ac:dyDescent="0.2">
      <c r="A78" s="33" t="s">
        <v>18</v>
      </c>
      <c r="B78" s="250">
        <f>SUM(B76:B77)</f>
        <v>0</v>
      </c>
      <c r="C78" s="250"/>
      <c r="D78" s="250"/>
      <c r="E78" s="250"/>
      <c r="F78" s="250"/>
      <c r="G78" s="250"/>
      <c r="H78" s="250"/>
      <c r="I78" s="250"/>
      <c r="J78" s="250"/>
      <c r="K78" s="250"/>
      <c r="L78" s="250"/>
      <c r="M78" s="250"/>
      <c r="N78" s="250"/>
      <c r="O78" s="250"/>
      <c r="P78" s="250"/>
      <c r="Q78" s="250"/>
      <c r="R78" s="250"/>
      <c r="S78" s="250"/>
      <c r="T78" s="250"/>
      <c r="U78" s="250"/>
      <c r="V78" s="250"/>
      <c r="W78" s="250"/>
      <c r="X78" s="250"/>
      <c r="Y78" s="250"/>
      <c r="Z78" s="250"/>
      <c r="AA78" s="250"/>
      <c r="AB78" s="250"/>
      <c r="AC78" s="250"/>
      <c r="AD78" s="250"/>
      <c r="AE78" s="250"/>
      <c r="AF78" s="250"/>
      <c r="AG78" s="250"/>
      <c r="AH78" s="250"/>
      <c r="AI78" s="250"/>
      <c r="AJ78" s="250"/>
      <c r="AK78" s="250"/>
      <c r="AL78" s="250"/>
      <c r="AM78" s="250"/>
      <c r="AN78" s="250"/>
      <c r="AO78" s="250"/>
      <c r="AP78" s="250"/>
    </row>
    <row r="79" spans="1:42" x14ac:dyDescent="0.2">
      <c r="A79" s="29" t="s">
        <v>146</v>
      </c>
      <c r="B79" s="250">
        <f>-B72-(B78+B543)</f>
        <v>48420249.795342766</v>
      </c>
      <c r="C79" s="250"/>
      <c r="D79" s="250"/>
      <c r="E79" s="250"/>
      <c r="F79" s="250"/>
      <c r="G79" s="250"/>
      <c r="H79" s="250"/>
      <c r="I79" s="250"/>
      <c r="J79" s="250"/>
      <c r="K79" s="250"/>
      <c r="L79" s="250"/>
      <c r="M79" s="250"/>
      <c r="N79" s="250"/>
      <c r="O79" s="250"/>
      <c r="P79" s="250"/>
      <c r="Q79" s="250"/>
      <c r="R79" s="250"/>
      <c r="S79" s="250"/>
      <c r="T79" s="250"/>
      <c r="U79" s="250"/>
      <c r="V79" s="250"/>
      <c r="W79" s="250"/>
      <c r="X79" s="250"/>
      <c r="Y79" s="250"/>
      <c r="Z79" s="250"/>
      <c r="AA79" s="250"/>
      <c r="AB79" s="250"/>
      <c r="AC79" s="250"/>
      <c r="AD79" s="250"/>
      <c r="AE79" s="250"/>
      <c r="AF79" s="250"/>
      <c r="AG79" s="250"/>
      <c r="AH79" s="250"/>
      <c r="AI79" s="250"/>
      <c r="AJ79" s="250"/>
      <c r="AK79" s="250"/>
      <c r="AL79" s="250"/>
      <c r="AM79" s="250"/>
      <c r="AN79" s="250"/>
      <c r="AO79" s="250"/>
      <c r="AP79" s="250"/>
    </row>
    <row r="80" spans="1:42" x14ac:dyDescent="0.2">
      <c r="A80" s="29" t="s">
        <v>94</v>
      </c>
      <c r="B80" s="251">
        <f>B543</f>
        <v>-9072571.5807692464</v>
      </c>
      <c r="C80" s="251">
        <f t="shared" ref="C80:AP80" si="42">-C534</f>
        <v>164422.1232568149</v>
      </c>
      <c r="D80" s="251">
        <f t="shared" si="42"/>
        <v>185405.71034633042</v>
      </c>
      <c r="E80" s="251">
        <f t="shared" si="42"/>
        <v>208094.99949365028</v>
      </c>
      <c r="F80" s="251">
        <f t="shared" si="42"/>
        <v>232615.3111168599</v>
      </c>
      <c r="G80" s="251">
        <f t="shared" si="42"/>
        <v>259100.88609516004</v>
      </c>
      <c r="H80" s="251">
        <f t="shared" si="42"/>
        <v>287695.51390194462</v>
      </c>
      <c r="I80" s="251">
        <f t="shared" si="42"/>
        <v>318553.20479970693</v>
      </c>
      <c r="J80" s="251">
        <f t="shared" si="42"/>
        <v>351838.90918342833</v>
      </c>
      <c r="K80" s="251">
        <f t="shared" si="42"/>
        <v>387729.28737520362</v>
      </c>
      <c r="L80" s="251">
        <f t="shared" si="42"/>
        <v>426413.53340412665</v>
      </c>
      <c r="M80" s="251">
        <f t="shared" si="42"/>
        <v>468094.25655289087</v>
      </c>
      <c r="N80" s="251">
        <f t="shared" si="42"/>
        <v>512988.42471733061</v>
      </c>
      <c r="O80" s="251">
        <f t="shared" si="42"/>
        <v>706368.12542071042</v>
      </c>
      <c r="P80" s="251">
        <f t="shared" si="42"/>
        <v>768555.42264756281</v>
      </c>
      <c r="Q80" s="251">
        <f t="shared" si="42"/>
        <v>835414.36889148015</v>
      </c>
      <c r="R80" s="251">
        <f t="shared" si="42"/>
        <v>907279.94303893601</v>
      </c>
      <c r="S80" s="251">
        <f t="shared" si="42"/>
        <v>984510.77158484026</v>
      </c>
      <c r="T80" s="251">
        <f t="shared" si="42"/>
        <v>1067490.788942287</v>
      </c>
      <c r="U80" s="251">
        <f t="shared" si="42"/>
        <v>0</v>
      </c>
      <c r="V80" s="251">
        <f t="shared" si="42"/>
        <v>0</v>
      </c>
      <c r="W80" s="251">
        <f t="shared" si="42"/>
        <v>0</v>
      </c>
      <c r="X80" s="251">
        <f t="shared" si="42"/>
        <v>0</v>
      </c>
      <c r="Y80" s="251">
        <f t="shared" si="42"/>
        <v>0</v>
      </c>
      <c r="Z80" s="251">
        <f t="shared" si="42"/>
        <v>0</v>
      </c>
      <c r="AA80" s="251">
        <f t="shared" si="42"/>
        <v>0</v>
      </c>
      <c r="AB80" s="251">
        <f t="shared" si="42"/>
        <v>0</v>
      </c>
      <c r="AC80" s="251">
        <f t="shared" si="42"/>
        <v>0</v>
      </c>
      <c r="AD80" s="251">
        <f t="shared" si="42"/>
        <v>0</v>
      </c>
      <c r="AE80" s="251">
        <f t="shared" si="42"/>
        <v>0</v>
      </c>
      <c r="AF80" s="251">
        <f t="shared" si="42"/>
        <v>0</v>
      </c>
      <c r="AG80" s="251">
        <f t="shared" si="42"/>
        <v>0</v>
      </c>
      <c r="AH80" s="251">
        <f t="shared" si="42"/>
        <v>0</v>
      </c>
      <c r="AI80" s="251">
        <f t="shared" si="42"/>
        <v>0</v>
      </c>
      <c r="AJ80" s="251">
        <f t="shared" si="42"/>
        <v>0</v>
      </c>
      <c r="AK80" s="251">
        <f t="shared" si="42"/>
        <v>0</v>
      </c>
      <c r="AL80" s="251">
        <f t="shared" si="42"/>
        <v>0</v>
      </c>
      <c r="AM80" s="251">
        <f t="shared" si="42"/>
        <v>0</v>
      </c>
      <c r="AN80" s="251">
        <f t="shared" si="42"/>
        <v>0</v>
      </c>
      <c r="AO80" s="251">
        <f t="shared" si="42"/>
        <v>0</v>
      </c>
      <c r="AP80" s="251">
        <f t="shared" si="42"/>
        <v>0</v>
      </c>
    </row>
    <row r="81" spans="1:42" x14ac:dyDescent="0.2">
      <c r="A81" s="348" t="s">
        <v>18</v>
      </c>
      <c r="B81" s="245">
        <f>SUM(B78:B80)</f>
        <v>39347678.214573517</v>
      </c>
      <c r="C81" s="346">
        <f>SUM(C78:C80)</f>
        <v>164422.1232568149</v>
      </c>
      <c r="D81" s="346">
        <f t="shared" ref="D81:AP81" si="43">SUM(D78:D80)</f>
        <v>185405.71034633042</v>
      </c>
      <c r="E81" s="346">
        <f t="shared" si="43"/>
        <v>208094.99949365028</v>
      </c>
      <c r="F81" s="346">
        <f t="shared" si="43"/>
        <v>232615.3111168599</v>
      </c>
      <c r="G81" s="346">
        <f t="shared" si="43"/>
        <v>259100.88609516004</v>
      </c>
      <c r="H81" s="346">
        <f t="shared" si="43"/>
        <v>287695.51390194462</v>
      </c>
      <c r="I81" s="346">
        <f t="shared" si="43"/>
        <v>318553.20479970693</v>
      </c>
      <c r="J81" s="346">
        <f t="shared" si="43"/>
        <v>351838.90918342833</v>
      </c>
      <c r="K81" s="346">
        <f t="shared" si="43"/>
        <v>387729.28737520362</v>
      </c>
      <c r="L81" s="346">
        <f t="shared" si="43"/>
        <v>426413.53340412665</v>
      </c>
      <c r="M81" s="346">
        <f t="shared" si="43"/>
        <v>468094.25655289087</v>
      </c>
      <c r="N81" s="346">
        <f t="shared" si="43"/>
        <v>512988.42471733061</v>
      </c>
      <c r="O81" s="346">
        <f t="shared" si="43"/>
        <v>706368.12542071042</v>
      </c>
      <c r="P81" s="346">
        <f t="shared" si="43"/>
        <v>768555.42264756281</v>
      </c>
      <c r="Q81" s="346">
        <f t="shared" si="43"/>
        <v>835414.36889148015</v>
      </c>
      <c r="R81" s="346">
        <f t="shared" si="43"/>
        <v>907279.94303893601</v>
      </c>
      <c r="S81" s="346">
        <f t="shared" si="43"/>
        <v>984510.77158484026</v>
      </c>
      <c r="T81" s="346">
        <f t="shared" si="43"/>
        <v>1067490.788942287</v>
      </c>
      <c r="U81" s="346">
        <f t="shared" si="43"/>
        <v>0</v>
      </c>
      <c r="V81" s="346">
        <f t="shared" si="43"/>
        <v>0</v>
      </c>
      <c r="W81" s="346">
        <f t="shared" si="43"/>
        <v>0</v>
      </c>
      <c r="X81" s="346">
        <f t="shared" si="43"/>
        <v>0</v>
      </c>
      <c r="Y81" s="346">
        <f t="shared" si="43"/>
        <v>0</v>
      </c>
      <c r="Z81" s="346">
        <f t="shared" si="43"/>
        <v>0</v>
      </c>
      <c r="AA81" s="346">
        <f t="shared" si="43"/>
        <v>0</v>
      </c>
      <c r="AB81" s="346">
        <f t="shared" si="43"/>
        <v>0</v>
      </c>
      <c r="AC81" s="346">
        <f t="shared" si="43"/>
        <v>0</v>
      </c>
      <c r="AD81" s="346">
        <f t="shared" si="43"/>
        <v>0</v>
      </c>
      <c r="AE81" s="346">
        <f t="shared" si="43"/>
        <v>0</v>
      </c>
      <c r="AF81" s="346">
        <f t="shared" si="43"/>
        <v>0</v>
      </c>
      <c r="AG81" s="346">
        <f t="shared" si="43"/>
        <v>0</v>
      </c>
      <c r="AH81" s="346">
        <f t="shared" si="43"/>
        <v>0</v>
      </c>
      <c r="AI81" s="346">
        <f t="shared" si="43"/>
        <v>0</v>
      </c>
      <c r="AJ81" s="346">
        <f t="shared" si="43"/>
        <v>0</v>
      </c>
      <c r="AK81" s="346">
        <f t="shared" si="43"/>
        <v>0</v>
      </c>
      <c r="AL81" s="346">
        <f t="shared" si="43"/>
        <v>0</v>
      </c>
      <c r="AM81" s="346">
        <f t="shared" si="43"/>
        <v>0</v>
      </c>
      <c r="AN81" s="346">
        <f t="shared" si="43"/>
        <v>0</v>
      </c>
      <c r="AO81" s="346">
        <f t="shared" si="43"/>
        <v>0</v>
      </c>
      <c r="AP81" s="346">
        <f t="shared" si="43"/>
        <v>0</v>
      </c>
    </row>
    <row r="82" spans="1:42" s="349" customFormat="1" ht="13.5" thickBot="1" x14ac:dyDescent="0.25">
      <c r="A82" s="348"/>
      <c r="B82" s="346"/>
      <c r="C82" s="346"/>
      <c r="D82" s="346"/>
      <c r="E82" s="346"/>
      <c r="F82" s="346"/>
      <c r="G82" s="346"/>
      <c r="H82" s="346"/>
      <c r="I82" s="346"/>
      <c r="J82" s="346"/>
      <c r="K82" s="346"/>
      <c r="L82" s="346"/>
      <c r="M82" s="346"/>
      <c r="N82" s="346"/>
      <c r="O82" s="346"/>
      <c r="P82" s="346"/>
      <c r="Q82" s="346"/>
      <c r="R82" s="346"/>
      <c r="S82" s="346"/>
      <c r="T82" s="346"/>
      <c r="U82" s="346"/>
      <c r="V82" s="346"/>
      <c r="W82" s="346"/>
      <c r="X82" s="346"/>
      <c r="Y82" s="346"/>
      <c r="Z82" s="346"/>
      <c r="AA82" s="346"/>
      <c r="AB82" s="346"/>
      <c r="AC82" s="346"/>
      <c r="AD82" s="346"/>
      <c r="AE82" s="346"/>
      <c r="AF82" s="346"/>
      <c r="AG82" s="346"/>
      <c r="AH82" s="346"/>
      <c r="AI82" s="346"/>
      <c r="AJ82" s="346"/>
      <c r="AK82" s="346"/>
      <c r="AL82" s="346"/>
      <c r="AM82" s="346"/>
      <c r="AN82" s="346"/>
      <c r="AO82" s="346"/>
      <c r="AP82" s="346"/>
    </row>
    <row r="83" spans="1:42" ht="13.5" thickTop="1" x14ac:dyDescent="0.2">
      <c r="A83" s="350" t="s">
        <v>95</v>
      </c>
      <c r="B83" s="261">
        <f t="shared" ref="B83:AP83" si="44">B51+B72+B81</f>
        <v>0</v>
      </c>
      <c r="C83" s="261">
        <f t="shared" si="44"/>
        <v>-243956.70211414772</v>
      </c>
      <c r="D83" s="261">
        <f t="shared" si="44"/>
        <v>-237242.27339941094</v>
      </c>
      <c r="E83" s="261">
        <f t="shared" si="44"/>
        <v>-230599.16643046739</v>
      </c>
      <c r="F83" s="261">
        <f t="shared" si="44"/>
        <v>-224029.16425096197</v>
      </c>
      <c r="G83" s="261">
        <f t="shared" si="44"/>
        <v>-217534.09448063065</v>
      </c>
      <c r="H83" s="261">
        <f t="shared" si="44"/>
        <v>-211115.83042970253</v>
      </c>
      <c r="I83" s="261">
        <f t="shared" si="44"/>
        <v>-204776.29224116309</v>
      </c>
      <c r="J83" s="261">
        <f t="shared" si="44"/>
        <v>-198517.44806157198</v>
      </c>
      <c r="K83" s="261">
        <f t="shared" si="44"/>
        <v>-192341.3152411526</v>
      </c>
      <c r="L83" s="261">
        <f t="shared" si="44"/>
        <v>-186249.9615638844</v>
      </c>
      <c r="M83" s="261">
        <f t="shared" si="44"/>
        <v>-180245.50650834618</v>
      </c>
      <c r="N83" s="261">
        <f t="shared" si="44"/>
        <v>-101810.24678393814</v>
      </c>
      <c r="O83" s="261">
        <f t="shared" si="44"/>
        <v>-328094.64227330056</v>
      </c>
      <c r="P83" s="261">
        <f t="shared" si="44"/>
        <v>-319064.48213365255</v>
      </c>
      <c r="Q83" s="261">
        <f t="shared" si="44"/>
        <v>-310130.24181284755</v>
      </c>
      <c r="R83" s="261">
        <f t="shared" si="44"/>
        <v>-301294.31930635707</v>
      </c>
      <c r="S83" s="261">
        <f t="shared" si="44"/>
        <v>-292559.17255953839</v>
      </c>
      <c r="T83" s="261">
        <f t="shared" si="44"/>
        <v>-862242.82801559218</v>
      </c>
      <c r="U83" s="261">
        <f t="shared" si="44"/>
        <v>-1429299.9729700028</v>
      </c>
      <c r="V83" s="261">
        <f t="shared" si="44"/>
        <v>-1435714.2010586406</v>
      </c>
      <c r="W83" s="261">
        <f t="shared" si="44"/>
        <v>-1442610.4586718287</v>
      </c>
      <c r="X83" s="261">
        <f t="shared" si="44"/>
        <v>-1450000.7965476809</v>
      </c>
      <c r="Y83" s="261">
        <f t="shared" si="44"/>
        <v>-1457897.5666927637</v>
      </c>
      <c r="Z83" s="261">
        <f t="shared" si="44"/>
        <v>-1466313.4299138081</v>
      </c>
      <c r="AA83" s="261">
        <f t="shared" si="44"/>
        <v>-437737.56718914001</v>
      </c>
      <c r="AB83" s="261">
        <f t="shared" si="44"/>
        <v>0</v>
      </c>
      <c r="AC83" s="261">
        <f t="shared" si="44"/>
        <v>0</v>
      </c>
      <c r="AD83" s="261">
        <f t="shared" si="44"/>
        <v>0</v>
      </c>
      <c r="AE83" s="261">
        <f t="shared" si="44"/>
        <v>0</v>
      </c>
      <c r="AF83" s="261">
        <f t="shared" si="44"/>
        <v>0</v>
      </c>
      <c r="AG83" s="261">
        <f t="shared" si="44"/>
        <v>0</v>
      </c>
      <c r="AH83" s="261">
        <f t="shared" si="44"/>
        <v>0</v>
      </c>
      <c r="AI83" s="261">
        <f t="shared" si="44"/>
        <v>0</v>
      </c>
      <c r="AJ83" s="261">
        <f t="shared" si="44"/>
        <v>0</v>
      </c>
      <c r="AK83" s="261">
        <f t="shared" si="44"/>
        <v>0</v>
      </c>
      <c r="AL83" s="261">
        <f t="shared" si="44"/>
        <v>0</v>
      </c>
      <c r="AM83" s="261">
        <f t="shared" si="44"/>
        <v>0</v>
      </c>
      <c r="AN83" s="261">
        <f t="shared" si="44"/>
        <v>0</v>
      </c>
      <c r="AO83" s="261">
        <f t="shared" si="44"/>
        <v>0</v>
      </c>
      <c r="AP83" s="261">
        <f t="shared" si="44"/>
        <v>0</v>
      </c>
    </row>
    <row r="84" spans="1:42" s="168" customFormat="1" x14ac:dyDescent="0.2">
      <c r="A84" s="7"/>
      <c r="G84" s="262"/>
      <c r="H84" s="262"/>
      <c r="I84" s="262"/>
      <c r="J84" s="262"/>
      <c r="K84" s="262"/>
      <c r="L84" s="262"/>
      <c r="M84" s="262"/>
      <c r="N84" s="262"/>
      <c r="O84" s="262"/>
      <c r="P84" s="262"/>
      <c r="Q84" s="262"/>
      <c r="R84" s="262"/>
      <c r="S84" s="262"/>
      <c r="T84" s="262"/>
      <c r="U84" s="262"/>
      <c r="V84" s="262"/>
      <c r="W84" s="262"/>
      <c r="X84" s="262"/>
      <c r="Y84" s="262"/>
      <c r="Z84" s="262"/>
      <c r="AA84" s="262"/>
      <c r="AB84" s="262"/>
      <c r="AC84" s="262"/>
      <c r="AD84" s="262"/>
      <c r="AE84" s="262"/>
      <c r="AF84" s="262"/>
      <c r="AG84" s="262"/>
      <c r="AH84" s="262"/>
      <c r="AI84" s="262"/>
      <c r="AJ84" s="262"/>
      <c r="AK84" s="262"/>
      <c r="AL84" s="262"/>
      <c r="AM84" s="262"/>
      <c r="AN84" s="262"/>
      <c r="AO84" s="262"/>
      <c r="AP84" s="262"/>
    </row>
    <row r="85" spans="1:42" s="168" customFormat="1" x14ac:dyDescent="0.2">
      <c r="A85" s="154" t="s">
        <v>121</v>
      </c>
      <c r="B85" s="359"/>
      <c r="C85" s="359"/>
      <c r="D85" s="359"/>
      <c r="E85" s="359"/>
      <c r="F85" s="359"/>
      <c r="G85" s="359"/>
      <c r="H85" s="359"/>
      <c r="I85" s="359"/>
      <c r="J85" s="359"/>
      <c r="K85" s="359"/>
      <c r="L85" s="359"/>
      <c r="M85" s="359"/>
      <c r="N85" s="359"/>
      <c r="O85" s="359"/>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row>
    <row r="86" spans="1:42" s="168" customFormat="1" x14ac:dyDescent="0.2">
      <c r="A86" s="35" t="s">
        <v>113</v>
      </c>
      <c r="G86" s="262"/>
      <c r="H86" s="262"/>
      <c r="I86" s="262"/>
      <c r="J86" s="262"/>
      <c r="K86" s="262"/>
      <c r="L86" s="262"/>
      <c r="M86" s="262"/>
      <c r="N86" s="262"/>
      <c r="O86" s="262"/>
      <c r="P86" s="262"/>
      <c r="Q86" s="262"/>
      <c r="R86" s="262"/>
      <c r="S86" s="262"/>
      <c r="T86" s="262"/>
      <c r="U86" s="262"/>
      <c r="V86" s="262"/>
      <c r="W86" s="262"/>
      <c r="X86" s="262"/>
      <c r="Y86" s="262"/>
      <c r="Z86" s="262"/>
      <c r="AA86" s="262"/>
      <c r="AB86" s="262"/>
      <c r="AC86" s="262"/>
      <c r="AD86" s="262"/>
      <c r="AE86" s="262"/>
      <c r="AF86" s="262"/>
      <c r="AG86" s="262"/>
      <c r="AH86" s="262"/>
      <c r="AI86" s="262"/>
      <c r="AJ86" s="262"/>
      <c r="AK86" s="262"/>
      <c r="AL86" s="262"/>
      <c r="AM86" s="262"/>
      <c r="AN86" s="262"/>
      <c r="AO86" s="262"/>
      <c r="AP86" s="262"/>
    </row>
    <row r="87" spans="1:42" x14ac:dyDescent="0.2">
      <c r="A87" s="163" t="s">
        <v>114</v>
      </c>
      <c r="B87" s="245">
        <f>-B79</f>
        <v>-48420249.795342766</v>
      </c>
      <c r="C87" s="245">
        <f t="shared" ref="C87:AP87" si="45">-C79</f>
        <v>0</v>
      </c>
      <c r="D87" s="245">
        <f t="shared" si="45"/>
        <v>0</v>
      </c>
      <c r="E87" s="245">
        <f t="shared" si="45"/>
        <v>0</v>
      </c>
      <c r="F87" s="245">
        <f t="shared" si="45"/>
        <v>0</v>
      </c>
      <c r="G87" s="245">
        <f t="shared" si="45"/>
        <v>0</v>
      </c>
      <c r="H87" s="245">
        <f t="shared" si="45"/>
        <v>0</v>
      </c>
      <c r="I87" s="245">
        <f t="shared" si="45"/>
        <v>0</v>
      </c>
      <c r="J87" s="245">
        <f t="shared" si="45"/>
        <v>0</v>
      </c>
      <c r="K87" s="245">
        <f t="shared" si="45"/>
        <v>0</v>
      </c>
      <c r="L87" s="245">
        <f t="shared" si="45"/>
        <v>0</v>
      </c>
      <c r="M87" s="245">
        <f t="shared" si="45"/>
        <v>0</v>
      </c>
      <c r="N87" s="245">
        <f t="shared" si="45"/>
        <v>0</v>
      </c>
      <c r="O87" s="245">
        <f t="shared" si="45"/>
        <v>0</v>
      </c>
      <c r="P87" s="245">
        <f t="shared" si="45"/>
        <v>0</v>
      </c>
      <c r="Q87" s="245">
        <f t="shared" si="45"/>
        <v>0</v>
      </c>
      <c r="R87" s="245">
        <f t="shared" si="45"/>
        <v>0</v>
      </c>
      <c r="S87" s="245">
        <f t="shared" si="45"/>
        <v>0</v>
      </c>
      <c r="T87" s="245">
        <f t="shared" si="45"/>
        <v>0</v>
      </c>
      <c r="U87" s="245">
        <f t="shared" si="45"/>
        <v>0</v>
      </c>
      <c r="V87" s="245">
        <f t="shared" si="45"/>
        <v>0</v>
      </c>
      <c r="W87" s="245">
        <f t="shared" si="45"/>
        <v>0</v>
      </c>
      <c r="X87" s="245">
        <f t="shared" si="45"/>
        <v>0</v>
      </c>
      <c r="Y87" s="245">
        <f t="shared" si="45"/>
        <v>0</v>
      </c>
      <c r="Z87" s="245">
        <f t="shared" si="45"/>
        <v>0</v>
      </c>
      <c r="AA87" s="245">
        <f t="shared" si="45"/>
        <v>0</v>
      </c>
      <c r="AB87" s="245">
        <f t="shared" si="45"/>
        <v>0</v>
      </c>
      <c r="AC87" s="245">
        <f t="shared" si="45"/>
        <v>0</v>
      </c>
      <c r="AD87" s="245">
        <f t="shared" si="45"/>
        <v>0</v>
      </c>
      <c r="AE87" s="245">
        <f t="shared" si="45"/>
        <v>0</v>
      </c>
      <c r="AF87" s="245">
        <f t="shared" si="45"/>
        <v>0</v>
      </c>
      <c r="AG87" s="245">
        <f t="shared" si="45"/>
        <v>0</v>
      </c>
      <c r="AH87" s="245">
        <f t="shared" si="45"/>
        <v>0</v>
      </c>
      <c r="AI87" s="245">
        <f t="shared" si="45"/>
        <v>0</v>
      </c>
      <c r="AJ87" s="245">
        <f t="shared" si="45"/>
        <v>0</v>
      </c>
      <c r="AK87" s="245">
        <f t="shared" si="45"/>
        <v>0</v>
      </c>
      <c r="AL87" s="245">
        <f t="shared" si="45"/>
        <v>0</v>
      </c>
      <c r="AM87" s="245">
        <f t="shared" si="45"/>
        <v>0</v>
      </c>
      <c r="AN87" s="245">
        <f t="shared" si="45"/>
        <v>0</v>
      </c>
      <c r="AO87" s="245">
        <f t="shared" si="45"/>
        <v>0</v>
      </c>
      <c r="AP87" s="245">
        <f t="shared" si="45"/>
        <v>0</v>
      </c>
    </row>
    <row r="88" spans="1:42" x14ac:dyDescent="0.2">
      <c r="A88" s="163" t="s">
        <v>115</v>
      </c>
      <c r="B88" s="251">
        <f>B83</f>
        <v>0</v>
      </c>
      <c r="C88" s="251">
        <f t="shared" ref="C88:AP88" si="46">C83</f>
        <v>-243956.70211414772</v>
      </c>
      <c r="D88" s="251">
        <f t="shared" si="46"/>
        <v>-237242.27339941094</v>
      </c>
      <c r="E88" s="251">
        <f t="shared" si="46"/>
        <v>-230599.16643046739</v>
      </c>
      <c r="F88" s="251">
        <f t="shared" si="46"/>
        <v>-224029.16425096197</v>
      </c>
      <c r="G88" s="251">
        <f t="shared" si="46"/>
        <v>-217534.09448063065</v>
      </c>
      <c r="H88" s="251">
        <f t="shared" si="46"/>
        <v>-211115.83042970253</v>
      </c>
      <c r="I88" s="251">
        <f t="shared" si="46"/>
        <v>-204776.29224116309</v>
      </c>
      <c r="J88" s="251">
        <f t="shared" si="46"/>
        <v>-198517.44806157198</v>
      </c>
      <c r="K88" s="251">
        <f t="shared" si="46"/>
        <v>-192341.3152411526</v>
      </c>
      <c r="L88" s="251">
        <f t="shared" si="46"/>
        <v>-186249.9615638844</v>
      </c>
      <c r="M88" s="251">
        <f t="shared" si="46"/>
        <v>-180245.50650834618</v>
      </c>
      <c r="N88" s="251">
        <f t="shared" si="46"/>
        <v>-101810.24678393814</v>
      </c>
      <c r="O88" s="251">
        <f t="shared" si="46"/>
        <v>-328094.64227330056</v>
      </c>
      <c r="P88" s="251">
        <f t="shared" si="46"/>
        <v>-319064.48213365255</v>
      </c>
      <c r="Q88" s="251">
        <f t="shared" si="46"/>
        <v>-310130.24181284755</v>
      </c>
      <c r="R88" s="251">
        <f t="shared" si="46"/>
        <v>-301294.31930635707</v>
      </c>
      <c r="S88" s="251">
        <f t="shared" si="46"/>
        <v>-292559.17255953839</v>
      </c>
      <c r="T88" s="251">
        <f t="shared" si="46"/>
        <v>-862242.82801559218</v>
      </c>
      <c r="U88" s="251">
        <f t="shared" si="46"/>
        <v>-1429299.9729700028</v>
      </c>
      <c r="V88" s="251">
        <f t="shared" si="46"/>
        <v>-1435714.2010586406</v>
      </c>
      <c r="W88" s="251">
        <f t="shared" si="46"/>
        <v>-1442610.4586718287</v>
      </c>
      <c r="X88" s="251">
        <f t="shared" si="46"/>
        <v>-1450000.7965476809</v>
      </c>
      <c r="Y88" s="251">
        <f t="shared" si="46"/>
        <v>-1457897.5666927637</v>
      </c>
      <c r="Z88" s="251">
        <f t="shared" si="46"/>
        <v>-1466313.4299138081</v>
      </c>
      <c r="AA88" s="251">
        <f t="shared" si="46"/>
        <v>-437737.56718914001</v>
      </c>
      <c r="AB88" s="251">
        <f t="shared" si="46"/>
        <v>0</v>
      </c>
      <c r="AC88" s="251">
        <f t="shared" si="46"/>
        <v>0</v>
      </c>
      <c r="AD88" s="251">
        <f t="shared" si="46"/>
        <v>0</v>
      </c>
      <c r="AE88" s="251">
        <f t="shared" si="46"/>
        <v>0</v>
      </c>
      <c r="AF88" s="251">
        <f t="shared" si="46"/>
        <v>0</v>
      </c>
      <c r="AG88" s="251">
        <f t="shared" si="46"/>
        <v>0</v>
      </c>
      <c r="AH88" s="251">
        <f t="shared" si="46"/>
        <v>0</v>
      </c>
      <c r="AI88" s="251">
        <f t="shared" si="46"/>
        <v>0</v>
      </c>
      <c r="AJ88" s="251">
        <f t="shared" si="46"/>
        <v>0</v>
      </c>
      <c r="AK88" s="251">
        <f t="shared" si="46"/>
        <v>0</v>
      </c>
      <c r="AL88" s="251">
        <f t="shared" si="46"/>
        <v>0</v>
      </c>
      <c r="AM88" s="251">
        <f t="shared" si="46"/>
        <v>0</v>
      </c>
      <c r="AN88" s="251">
        <f t="shared" si="46"/>
        <v>0</v>
      </c>
      <c r="AO88" s="251">
        <f t="shared" si="46"/>
        <v>0</v>
      </c>
      <c r="AP88" s="251">
        <f t="shared" si="46"/>
        <v>0</v>
      </c>
    </row>
    <row r="89" spans="1:42" x14ac:dyDescent="0.2">
      <c r="A89" s="351" t="s">
        <v>18</v>
      </c>
      <c r="B89" s="261">
        <f>SUM(B87:B88)</f>
        <v>-48420249.795342766</v>
      </c>
      <c r="C89" s="261">
        <f t="shared" ref="C89:AP89" si="47">SUM(C87:C88)</f>
        <v>-243956.70211414772</v>
      </c>
      <c r="D89" s="261">
        <f t="shared" si="47"/>
        <v>-237242.27339941094</v>
      </c>
      <c r="E89" s="261">
        <f t="shared" si="47"/>
        <v>-230599.16643046739</v>
      </c>
      <c r="F89" s="261">
        <f t="shared" si="47"/>
        <v>-224029.16425096197</v>
      </c>
      <c r="G89" s="261">
        <f t="shared" si="47"/>
        <v>-217534.09448063065</v>
      </c>
      <c r="H89" s="261">
        <f t="shared" si="47"/>
        <v>-211115.83042970253</v>
      </c>
      <c r="I89" s="261">
        <f t="shared" si="47"/>
        <v>-204776.29224116309</v>
      </c>
      <c r="J89" s="261">
        <f t="shared" si="47"/>
        <v>-198517.44806157198</v>
      </c>
      <c r="K89" s="261">
        <f t="shared" si="47"/>
        <v>-192341.3152411526</v>
      </c>
      <c r="L89" s="261">
        <f t="shared" si="47"/>
        <v>-186249.9615638844</v>
      </c>
      <c r="M89" s="261">
        <f t="shared" si="47"/>
        <v>-180245.50650834618</v>
      </c>
      <c r="N89" s="261">
        <f t="shared" si="47"/>
        <v>-101810.24678393814</v>
      </c>
      <c r="O89" s="261">
        <f t="shared" si="47"/>
        <v>-328094.64227330056</v>
      </c>
      <c r="P89" s="261">
        <f t="shared" si="47"/>
        <v>-319064.48213365255</v>
      </c>
      <c r="Q89" s="261">
        <f t="shared" si="47"/>
        <v>-310130.24181284755</v>
      </c>
      <c r="R89" s="261">
        <f t="shared" si="47"/>
        <v>-301294.31930635707</v>
      </c>
      <c r="S89" s="261">
        <f t="shared" si="47"/>
        <v>-292559.17255953839</v>
      </c>
      <c r="T89" s="261">
        <f t="shared" si="47"/>
        <v>-862242.82801559218</v>
      </c>
      <c r="U89" s="261">
        <f t="shared" si="47"/>
        <v>-1429299.9729700028</v>
      </c>
      <c r="V89" s="261">
        <f t="shared" si="47"/>
        <v>-1435714.2010586406</v>
      </c>
      <c r="W89" s="261">
        <f t="shared" si="47"/>
        <v>-1442610.4586718287</v>
      </c>
      <c r="X89" s="261">
        <f t="shared" si="47"/>
        <v>-1450000.7965476809</v>
      </c>
      <c r="Y89" s="261">
        <f t="shared" si="47"/>
        <v>-1457897.5666927637</v>
      </c>
      <c r="Z89" s="261">
        <f t="shared" si="47"/>
        <v>-1466313.4299138081</v>
      </c>
      <c r="AA89" s="261">
        <f t="shared" si="47"/>
        <v>-437737.56718914001</v>
      </c>
      <c r="AB89" s="261">
        <f t="shared" si="47"/>
        <v>0</v>
      </c>
      <c r="AC89" s="261">
        <f t="shared" si="47"/>
        <v>0</v>
      </c>
      <c r="AD89" s="261">
        <f t="shared" si="47"/>
        <v>0</v>
      </c>
      <c r="AE89" s="261">
        <f t="shared" si="47"/>
        <v>0</v>
      </c>
      <c r="AF89" s="261">
        <f t="shared" si="47"/>
        <v>0</v>
      </c>
      <c r="AG89" s="261">
        <f t="shared" si="47"/>
        <v>0</v>
      </c>
      <c r="AH89" s="261">
        <f t="shared" si="47"/>
        <v>0</v>
      </c>
      <c r="AI89" s="261">
        <f t="shared" si="47"/>
        <v>0</v>
      </c>
      <c r="AJ89" s="261">
        <f t="shared" si="47"/>
        <v>0</v>
      </c>
      <c r="AK89" s="261">
        <f t="shared" si="47"/>
        <v>0</v>
      </c>
      <c r="AL89" s="261">
        <f t="shared" si="47"/>
        <v>0</v>
      </c>
      <c r="AM89" s="261">
        <f t="shared" si="47"/>
        <v>0</v>
      </c>
      <c r="AN89" s="261">
        <f t="shared" si="47"/>
        <v>0</v>
      </c>
      <c r="AO89" s="261">
        <f t="shared" si="47"/>
        <v>0</v>
      </c>
      <c r="AP89" s="261">
        <f t="shared" si="47"/>
        <v>0</v>
      </c>
    </row>
    <row r="90" spans="1:42" s="168" customFormat="1" x14ac:dyDescent="0.2">
      <c r="A90" s="163"/>
    </row>
    <row r="91" spans="1:42" x14ac:dyDescent="0.2">
      <c r="A91" s="163" t="s">
        <v>306</v>
      </c>
      <c r="B91" s="195">
        <f>ROUND(IF(ISERROR(IRR($B89:B$89)*100),0,IRR($B89:B$89*100)),4)</f>
        <v>0</v>
      </c>
      <c r="C91" s="195">
        <f>ROUND(IF(ISERROR(IRR($B89:C$89)),0,IRR($B89:C$89)*100),4)</f>
        <v>0</v>
      </c>
      <c r="D91" s="195">
        <f>ROUND(IF(ISERROR(IRR($B89:D$89)),0,IRR($B89:D$89)*100),4)</f>
        <v>0</v>
      </c>
      <c r="E91" s="195">
        <f>ROUND(IF(ISERROR(IRR($B89:E$89)),0,IRR($B89:E$89)*100),4)</f>
        <v>0</v>
      </c>
      <c r="F91" s="195">
        <f>ROUND(IF(ISERROR(IRR($B89:F$89)),0,IRR($B89:F$89)*100),4)</f>
        <v>0</v>
      </c>
      <c r="G91" s="195">
        <f>ROUND(IF(ISERROR(IRR($B89:G$89)),0,IRR($B89:G$89)*100),4)</f>
        <v>0</v>
      </c>
      <c r="H91" s="195">
        <f>ROUND(IF(ISERROR(IRR($B89:H$89)),0,IRR($B89:H$89)*100),4)</f>
        <v>0</v>
      </c>
      <c r="I91" s="195">
        <f>ROUND(IF(ISERROR(IRR($B89:I$89)),0,IRR($B89:I$89)*100),4)</f>
        <v>0</v>
      </c>
      <c r="J91" s="195">
        <f>ROUND(IF(ISERROR(IRR($B89:J$89)),0,IRR($B89:J$89)*100),4)</f>
        <v>0</v>
      </c>
      <c r="K91" s="195">
        <f>ROUND(IF(ISERROR(IRR($B89:K$89)),0,IRR($B89:K$89)*100),4)</f>
        <v>0</v>
      </c>
      <c r="L91" s="195">
        <f>ROUND(IF(ISERROR(IRR($B89:L$89)),0,IRR($B89:L$89)*100),4)</f>
        <v>0</v>
      </c>
      <c r="M91" s="195">
        <f>ROUND(IF(ISERROR(IRR($B89:M$89)),0,IRR($B89:M$89)*100),4)</f>
        <v>0</v>
      </c>
      <c r="N91" s="195">
        <f>ROUND(IF(ISERROR(IRR($B89:N$89)),0,IRR($B89:N$89)*100),4)</f>
        <v>0</v>
      </c>
      <c r="O91" s="195">
        <f>ROUND(IF(ISERROR(IRR($B89:O$89)),0,IRR($B89:O$89)*100),4)</f>
        <v>0</v>
      </c>
      <c r="P91" s="195">
        <f>ROUND(IF(ISERROR(IRR($B89:P$89)),0,IRR($B89:P$89)*100),4)</f>
        <v>0</v>
      </c>
      <c r="Q91" s="195">
        <f>ROUND(IF(ISERROR(IRR($B89:Q$89)),0,IRR($B89:Q$89)*100),4)</f>
        <v>0</v>
      </c>
      <c r="R91" s="195">
        <f>ROUND(IF(ISERROR(IRR($B89:R$89)),0,IRR($B89:R$89)*100),4)</f>
        <v>0</v>
      </c>
      <c r="S91" s="195">
        <f>ROUND(IF(ISERROR(IRR($B89:S$89)),0,IRR($B89:S$89)*100),4)</f>
        <v>0</v>
      </c>
      <c r="T91" s="195">
        <f>ROUND(IF(ISERROR(IRR($B89:T$89)),0,IRR($B89:T$89)*100),4)</f>
        <v>0</v>
      </c>
      <c r="U91" s="195">
        <f>ROUND(IF(ISERROR(IRR($B89:U$89)),0,IRR($B89:U$89)*100),4)</f>
        <v>0</v>
      </c>
      <c r="V91" s="195">
        <f>ROUND(IF(ISERROR(IRR($B89:V$89)),0,IRR($B89:V$89)*100),4)</f>
        <v>0</v>
      </c>
      <c r="W91" s="195">
        <f>ROUND(IF(ISERROR(IRR($B89:W$89)),0,IRR($B89:W$89)*100),4)</f>
        <v>0</v>
      </c>
      <c r="X91" s="195">
        <f>ROUND(IF(ISERROR(IRR($B89:X$89)),0,IRR($B89:X$89)*100),4)</f>
        <v>0</v>
      </c>
      <c r="Y91" s="195">
        <f>ROUND(IF(ISERROR(IRR($B89:Y$89)),0,IRR($B89:Y$89)*100),4)</f>
        <v>0</v>
      </c>
      <c r="Z91" s="195">
        <f>ROUND(IF(ISERROR(IRR($B89:Z$89)),0,IRR($B89:Z$89)*100),4)</f>
        <v>0</v>
      </c>
      <c r="AA91" s="195">
        <f>ROUND(IF(ISERROR(IRR($B89:AA$89)),0,IRR($B89:AA$89)*100),4)</f>
        <v>0</v>
      </c>
      <c r="AB91" s="195">
        <f>ROUND(IF(ISERROR(IRR($B89:AB$89)),0,IRR($B89:AB$89)*100),4)</f>
        <v>0</v>
      </c>
      <c r="AC91" s="195">
        <f>ROUND(IF(ISERROR(IRR($B89:AC$89)),0,IRR($B89:AC$89)*100),4)</f>
        <v>0</v>
      </c>
      <c r="AD91" s="195">
        <f>ROUND(IF(ISERROR(IRR($B89:AD$89)),0,IRR($B89:AD$89)*100),4)</f>
        <v>0</v>
      </c>
      <c r="AE91" s="195">
        <f>ROUND(IF(ISERROR(IRR($B89:AE$89)),0,IRR($B89:AE$89)*100),4)</f>
        <v>0</v>
      </c>
      <c r="AF91" s="195">
        <f>ROUND(IF(ISERROR(IRR($B89:AF$89)),0,IRR($B89:AF$89)*100),4)</f>
        <v>0</v>
      </c>
      <c r="AG91" s="195">
        <f>ROUND(IF(ISERROR(IRR($B89:AG$89)),0,IRR($B89:AG$89)*100),4)</f>
        <v>0</v>
      </c>
      <c r="AH91" s="195">
        <f>ROUND(IF(ISERROR(IRR($B89:AH$89)),0,IRR($B89:AH$89)*100),4)</f>
        <v>0</v>
      </c>
      <c r="AI91" s="195">
        <f>ROUND(IF(ISERROR(IRR($B89:AI$89)),0,IRR($B89:AI$89)*100),4)</f>
        <v>0</v>
      </c>
      <c r="AJ91" s="195">
        <f>ROUND(IF(ISERROR(IRR($B89:AJ$89)),0,IRR($B89:AJ$89)*100),4)</f>
        <v>0</v>
      </c>
      <c r="AK91" s="195">
        <f>ROUND(IF(ISERROR(IRR($B89:AK$89)),0,IRR($B89:AK$89)*100),4)</f>
        <v>0</v>
      </c>
      <c r="AL91" s="195">
        <f>ROUND(IF(ISERROR(IRR($B89:AL$89)),0,IRR($B89:AL$89)*100),4)</f>
        <v>0</v>
      </c>
      <c r="AM91" s="195">
        <f>ROUND(IF(ISERROR(IRR($B89:AM$89)),0,IRR($B89:AM$89)*100),4)</f>
        <v>0</v>
      </c>
      <c r="AN91" s="195">
        <f>ROUND(IF(ISERROR(IRR($B89:AN$89)),0,IRR($B89:AN$89)*100),4)</f>
        <v>0</v>
      </c>
      <c r="AO91" s="195">
        <f>ROUND(IF(ISERROR(IRR($B89:AO$89)),0,IRR($B89:AO$89)*100),4)</f>
        <v>0</v>
      </c>
      <c r="AP91" s="195">
        <f>ROUND(IF(ISERROR(IRR($B89:AP$89)),0,IRR($B89:AP$89)*100),4)</f>
        <v>0</v>
      </c>
    </row>
    <row r="92" spans="1:42" s="168" customFormat="1" x14ac:dyDescent="0.2">
      <c r="A92" s="29"/>
      <c r="G92" s="262"/>
      <c r="H92" s="262"/>
      <c r="I92" s="262"/>
      <c r="J92" s="262"/>
      <c r="K92" s="262"/>
      <c r="L92" s="262"/>
      <c r="M92" s="262"/>
      <c r="N92" s="262"/>
      <c r="O92" s="262"/>
      <c r="P92" s="262"/>
      <c r="Q92" s="262"/>
      <c r="R92" s="262"/>
      <c r="S92" s="262"/>
      <c r="T92" s="262"/>
      <c r="U92" s="262"/>
      <c r="V92" s="262"/>
      <c r="W92" s="262"/>
      <c r="X92" s="262"/>
      <c r="Y92" s="262"/>
      <c r="Z92" s="262"/>
      <c r="AA92" s="262"/>
      <c r="AB92" s="262"/>
      <c r="AC92" s="262"/>
      <c r="AD92" s="262"/>
      <c r="AE92" s="262"/>
      <c r="AF92" s="262"/>
      <c r="AG92" s="262"/>
      <c r="AH92" s="262"/>
      <c r="AI92" s="262"/>
      <c r="AJ92" s="262"/>
      <c r="AK92" s="262"/>
      <c r="AL92" s="262"/>
      <c r="AM92" s="262"/>
      <c r="AN92" s="262"/>
      <c r="AO92" s="262"/>
      <c r="AP92" s="262"/>
    </row>
    <row r="93" spans="1:42" s="168" customFormat="1" x14ac:dyDescent="0.2">
      <c r="A93" s="35" t="s">
        <v>116</v>
      </c>
      <c r="G93" s="262"/>
      <c r="H93" s="262"/>
      <c r="I93" s="262"/>
      <c r="J93" s="262"/>
      <c r="K93" s="262"/>
      <c r="L93" s="262"/>
      <c r="M93" s="262"/>
      <c r="N93" s="262"/>
      <c r="O93" s="262"/>
      <c r="P93" s="262"/>
      <c r="Q93" s="262"/>
      <c r="R93" s="262"/>
      <c r="S93" s="262"/>
      <c r="T93" s="262"/>
      <c r="U93" s="262"/>
      <c r="V93" s="262"/>
      <c r="W93" s="262"/>
      <c r="X93" s="262"/>
      <c r="Y93" s="262"/>
      <c r="Z93" s="262"/>
      <c r="AA93" s="262"/>
      <c r="AB93" s="262"/>
      <c r="AC93" s="262"/>
      <c r="AD93" s="262"/>
      <c r="AE93" s="262"/>
      <c r="AF93" s="262"/>
      <c r="AG93" s="262"/>
      <c r="AH93" s="262"/>
      <c r="AI93" s="262"/>
      <c r="AJ93" s="262"/>
      <c r="AK93" s="262"/>
      <c r="AL93" s="262"/>
      <c r="AM93" s="262"/>
      <c r="AN93" s="262"/>
      <c r="AO93" s="262"/>
      <c r="AP93" s="262"/>
    </row>
    <row r="94" spans="1:42" s="263" customFormat="1" x14ac:dyDescent="0.2">
      <c r="A94" s="164" t="s">
        <v>117</v>
      </c>
      <c r="G94" s="169"/>
      <c r="H94" s="169"/>
      <c r="I94" s="16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row>
    <row r="95" spans="1:42" x14ac:dyDescent="0.2">
      <c r="A95" s="165" t="s">
        <v>114</v>
      </c>
      <c r="B95" s="245">
        <f t="shared" ref="B95:AP95" si="48">B87</f>
        <v>-48420249.795342766</v>
      </c>
      <c r="C95" s="245">
        <f t="shared" si="48"/>
        <v>0</v>
      </c>
      <c r="D95" s="245">
        <f t="shared" si="48"/>
        <v>0</v>
      </c>
      <c r="E95" s="245">
        <f t="shared" si="48"/>
        <v>0</v>
      </c>
      <c r="F95" s="245">
        <f t="shared" si="48"/>
        <v>0</v>
      </c>
      <c r="G95" s="245">
        <f t="shared" si="48"/>
        <v>0</v>
      </c>
      <c r="H95" s="245">
        <f t="shared" si="48"/>
        <v>0</v>
      </c>
      <c r="I95" s="245">
        <f t="shared" si="48"/>
        <v>0</v>
      </c>
      <c r="J95" s="245">
        <f t="shared" si="48"/>
        <v>0</v>
      </c>
      <c r="K95" s="245">
        <f t="shared" si="48"/>
        <v>0</v>
      </c>
      <c r="L95" s="245">
        <f t="shared" si="48"/>
        <v>0</v>
      </c>
      <c r="M95" s="245">
        <f t="shared" si="48"/>
        <v>0</v>
      </c>
      <c r="N95" s="245">
        <f t="shared" si="48"/>
        <v>0</v>
      </c>
      <c r="O95" s="245">
        <f t="shared" si="48"/>
        <v>0</v>
      </c>
      <c r="P95" s="245">
        <f t="shared" si="48"/>
        <v>0</v>
      </c>
      <c r="Q95" s="245">
        <f t="shared" si="48"/>
        <v>0</v>
      </c>
      <c r="R95" s="245">
        <f t="shared" si="48"/>
        <v>0</v>
      </c>
      <c r="S95" s="245">
        <f t="shared" si="48"/>
        <v>0</v>
      </c>
      <c r="T95" s="245">
        <f t="shared" si="48"/>
        <v>0</v>
      </c>
      <c r="U95" s="245">
        <f t="shared" si="48"/>
        <v>0</v>
      </c>
      <c r="V95" s="245">
        <f t="shared" si="48"/>
        <v>0</v>
      </c>
      <c r="W95" s="245">
        <f t="shared" si="48"/>
        <v>0</v>
      </c>
      <c r="X95" s="245">
        <f t="shared" si="48"/>
        <v>0</v>
      </c>
      <c r="Y95" s="245">
        <f t="shared" si="48"/>
        <v>0</v>
      </c>
      <c r="Z95" s="245">
        <f t="shared" si="48"/>
        <v>0</v>
      </c>
      <c r="AA95" s="245">
        <f t="shared" si="48"/>
        <v>0</v>
      </c>
      <c r="AB95" s="245">
        <f t="shared" si="48"/>
        <v>0</v>
      </c>
      <c r="AC95" s="245">
        <f t="shared" si="48"/>
        <v>0</v>
      </c>
      <c r="AD95" s="245">
        <f t="shared" si="48"/>
        <v>0</v>
      </c>
      <c r="AE95" s="245">
        <f t="shared" si="48"/>
        <v>0</v>
      </c>
      <c r="AF95" s="245">
        <f t="shared" si="48"/>
        <v>0</v>
      </c>
      <c r="AG95" s="245">
        <f t="shared" si="48"/>
        <v>0</v>
      </c>
      <c r="AH95" s="245">
        <f t="shared" si="48"/>
        <v>0</v>
      </c>
      <c r="AI95" s="245">
        <f t="shared" si="48"/>
        <v>0</v>
      </c>
      <c r="AJ95" s="245">
        <f t="shared" si="48"/>
        <v>0</v>
      </c>
      <c r="AK95" s="245">
        <f t="shared" si="48"/>
        <v>0</v>
      </c>
      <c r="AL95" s="245">
        <f t="shared" si="48"/>
        <v>0</v>
      </c>
      <c r="AM95" s="245">
        <f t="shared" si="48"/>
        <v>0</v>
      </c>
      <c r="AN95" s="245">
        <f t="shared" si="48"/>
        <v>0</v>
      </c>
      <c r="AO95" s="245">
        <f t="shared" si="48"/>
        <v>0</v>
      </c>
      <c r="AP95" s="245">
        <f t="shared" si="48"/>
        <v>0</v>
      </c>
    </row>
    <row r="96" spans="1:42" x14ac:dyDescent="0.2">
      <c r="A96" s="165" t="s">
        <v>115</v>
      </c>
      <c r="B96" s="251">
        <f t="shared" ref="B96:AP96" si="49">B88</f>
        <v>0</v>
      </c>
      <c r="C96" s="251">
        <f t="shared" si="49"/>
        <v>-243956.70211414772</v>
      </c>
      <c r="D96" s="251">
        <f t="shared" si="49"/>
        <v>-237242.27339941094</v>
      </c>
      <c r="E96" s="251">
        <f t="shared" si="49"/>
        <v>-230599.16643046739</v>
      </c>
      <c r="F96" s="251">
        <f t="shared" si="49"/>
        <v>-224029.16425096197</v>
      </c>
      <c r="G96" s="251">
        <f t="shared" si="49"/>
        <v>-217534.09448063065</v>
      </c>
      <c r="H96" s="251">
        <f t="shared" si="49"/>
        <v>-211115.83042970253</v>
      </c>
      <c r="I96" s="251">
        <f t="shared" si="49"/>
        <v>-204776.29224116309</v>
      </c>
      <c r="J96" s="251">
        <f t="shared" si="49"/>
        <v>-198517.44806157198</v>
      </c>
      <c r="K96" s="251">
        <f t="shared" si="49"/>
        <v>-192341.3152411526</v>
      </c>
      <c r="L96" s="251">
        <f t="shared" si="49"/>
        <v>-186249.9615638844</v>
      </c>
      <c r="M96" s="251">
        <f t="shared" si="49"/>
        <v>-180245.50650834618</v>
      </c>
      <c r="N96" s="251">
        <f t="shared" si="49"/>
        <v>-101810.24678393814</v>
      </c>
      <c r="O96" s="251">
        <f t="shared" si="49"/>
        <v>-328094.64227330056</v>
      </c>
      <c r="P96" s="251">
        <f t="shared" si="49"/>
        <v>-319064.48213365255</v>
      </c>
      <c r="Q96" s="251">
        <f t="shared" si="49"/>
        <v>-310130.24181284755</v>
      </c>
      <c r="R96" s="251">
        <f t="shared" si="49"/>
        <v>-301294.31930635707</v>
      </c>
      <c r="S96" s="251">
        <f t="shared" si="49"/>
        <v>-292559.17255953839</v>
      </c>
      <c r="T96" s="251">
        <f t="shared" si="49"/>
        <v>-862242.82801559218</v>
      </c>
      <c r="U96" s="251">
        <f t="shared" si="49"/>
        <v>-1429299.9729700028</v>
      </c>
      <c r="V96" s="251">
        <f t="shared" si="49"/>
        <v>-1435714.2010586406</v>
      </c>
      <c r="W96" s="251">
        <f t="shared" si="49"/>
        <v>-1442610.4586718287</v>
      </c>
      <c r="X96" s="251">
        <f t="shared" si="49"/>
        <v>-1450000.7965476809</v>
      </c>
      <c r="Y96" s="251">
        <f t="shared" si="49"/>
        <v>-1457897.5666927637</v>
      </c>
      <c r="Z96" s="251">
        <f t="shared" si="49"/>
        <v>-1466313.4299138081</v>
      </c>
      <c r="AA96" s="251">
        <f t="shared" si="49"/>
        <v>-437737.56718914001</v>
      </c>
      <c r="AB96" s="251">
        <f t="shared" si="49"/>
        <v>0</v>
      </c>
      <c r="AC96" s="251">
        <f t="shared" si="49"/>
        <v>0</v>
      </c>
      <c r="AD96" s="251">
        <f t="shared" si="49"/>
        <v>0</v>
      </c>
      <c r="AE96" s="251">
        <f t="shared" si="49"/>
        <v>0</v>
      </c>
      <c r="AF96" s="251">
        <f t="shared" si="49"/>
        <v>0</v>
      </c>
      <c r="AG96" s="251">
        <f t="shared" si="49"/>
        <v>0</v>
      </c>
      <c r="AH96" s="251">
        <f t="shared" si="49"/>
        <v>0</v>
      </c>
      <c r="AI96" s="251">
        <f t="shared" si="49"/>
        <v>0</v>
      </c>
      <c r="AJ96" s="251">
        <f t="shared" si="49"/>
        <v>0</v>
      </c>
      <c r="AK96" s="251">
        <f t="shared" si="49"/>
        <v>0</v>
      </c>
      <c r="AL96" s="251">
        <f t="shared" si="49"/>
        <v>0</v>
      </c>
      <c r="AM96" s="251">
        <f t="shared" si="49"/>
        <v>0</v>
      </c>
      <c r="AN96" s="251">
        <f t="shared" si="49"/>
        <v>0</v>
      </c>
      <c r="AO96" s="251">
        <f t="shared" si="49"/>
        <v>0</v>
      </c>
      <c r="AP96" s="251">
        <f t="shared" si="49"/>
        <v>0</v>
      </c>
    </row>
    <row r="97" spans="1:42" x14ac:dyDescent="0.2">
      <c r="A97" s="165" t="s">
        <v>118</v>
      </c>
      <c r="B97" s="250">
        <f>SUM(B95:B96)</f>
        <v>-48420249.795342766</v>
      </c>
      <c r="C97" s="250">
        <f t="shared" ref="C97:AP97" si="50">SUM(C95:C96)</f>
        <v>-243956.70211414772</v>
      </c>
      <c r="D97" s="250">
        <f t="shared" si="50"/>
        <v>-237242.27339941094</v>
      </c>
      <c r="E97" s="250">
        <f t="shared" si="50"/>
        <v>-230599.16643046739</v>
      </c>
      <c r="F97" s="250">
        <f t="shared" si="50"/>
        <v>-224029.16425096197</v>
      </c>
      <c r="G97" s="250">
        <f t="shared" si="50"/>
        <v>-217534.09448063065</v>
      </c>
      <c r="H97" s="250">
        <f t="shared" si="50"/>
        <v>-211115.83042970253</v>
      </c>
      <c r="I97" s="250">
        <f t="shared" si="50"/>
        <v>-204776.29224116309</v>
      </c>
      <c r="J97" s="250">
        <f t="shared" si="50"/>
        <v>-198517.44806157198</v>
      </c>
      <c r="K97" s="250">
        <f t="shared" si="50"/>
        <v>-192341.3152411526</v>
      </c>
      <c r="L97" s="250">
        <f t="shared" si="50"/>
        <v>-186249.9615638844</v>
      </c>
      <c r="M97" s="250">
        <f t="shared" si="50"/>
        <v>-180245.50650834618</v>
      </c>
      <c r="N97" s="250">
        <f t="shared" si="50"/>
        <v>-101810.24678393814</v>
      </c>
      <c r="O97" s="250">
        <f t="shared" si="50"/>
        <v>-328094.64227330056</v>
      </c>
      <c r="P97" s="250">
        <f t="shared" si="50"/>
        <v>-319064.48213365255</v>
      </c>
      <c r="Q97" s="250">
        <f t="shared" si="50"/>
        <v>-310130.24181284755</v>
      </c>
      <c r="R97" s="250">
        <f t="shared" si="50"/>
        <v>-301294.31930635707</v>
      </c>
      <c r="S97" s="250">
        <f t="shared" si="50"/>
        <v>-292559.17255953839</v>
      </c>
      <c r="T97" s="250">
        <f t="shared" si="50"/>
        <v>-862242.82801559218</v>
      </c>
      <c r="U97" s="250">
        <f t="shared" si="50"/>
        <v>-1429299.9729700028</v>
      </c>
      <c r="V97" s="250">
        <f t="shared" si="50"/>
        <v>-1435714.2010586406</v>
      </c>
      <c r="W97" s="250">
        <f t="shared" si="50"/>
        <v>-1442610.4586718287</v>
      </c>
      <c r="X97" s="250">
        <f t="shared" si="50"/>
        <v>-1450000.7965476809</v>
      </c>
      <c r="Y97" s="250">
        <f t="shared" si="50"/>
        <v>-1457897.5666927637</v>
      </c>
      <c r="Z97" s="250">
        <f t="shared" si="50"/>
        <v>-1466313.4299138081</v>
      </c>
      <c r="AA97" s="250">
        <f t="shared" si="50"/>
        <v>-437737.56718914001</v>
      </c>
      <c r="AB97" s="250">
        <f t="shared" si="50"/>
        <v>0</v>
      </c>
      <c r="AC97" s="250">
        <f t="shared" si="50"/>
        <v>0</v>
      </c>
      <c r="AD97" s="250">
        <f t="shared" si="50"/>
        <v>0</v>
      </c>
      <c r="AE97" s="250">
        <f t="shared" si="50"/>
        <v>0</v>
      </c>
      <c r="AF97" s="250">
        <f t="shared" si="50"/>
        <v>0</v>
      </c>
      <c r="AG97" s="250">
        <f t="shared" si="50"/>
        <v>0</v>
      </c>
      <c r="AH97" s="250">
        <f t="shared" si="50"/>
        <v>0</v>
      </c>
      <c r="AI97" s="250">
        <f t="shared" si="50"/>
        <v>0</v>
      </c>
      <c r="AJ97" s="250">
        <f t="shared" si="50"/>
        <v>0</v>
      </c>
      <c r="AK97" s="250">
        <f t="shared" si="50"/>
        <v>0</v>
      </c>
      <c r="AL97" s="250">
        <f t="shared" si="50"/>
        <v>0</v>
      </c>
      <c r="AM97" s="250">
        <f t="shared" si="50"/>
        <v>0</v>
      </c>
      <c r="AN97" s="250">
        <f t="shared" si="50"/>
        <v>0</v>
      </c>
      <c r="AO97" s="250">
        <f t="shared" si="50"/>
        <v>0</v>
      </c>
      <c r="AP97" s="250">
        <f t="shared" si="50"/>
        <v>0</v>
      </c>
    </row>
    <row r="98" spans="1:42" s="168" customFormat="1" x14ac:dyDescent="0.2">
      <c r="A98" s="163" t="s">
        <v>4</v>
      </c>
      <c r="G98" s="262"/>
      <c r="H98" s="262"/>
      <c r="I98" s="262"/>
      <c r="J98" s="262"/>
      <c r="K98" s="262"/>
      <c r="L98" s="262"/>
      <c r="M98" s="262"/>
      <c r="N98" s="262"/>
      <c r="O98" s="262"/>
      <c r="P98" s="262"/>
      <c r="Q98" s="262"/>
      <c r="R98" s="262"/>
      <c r="S98" s="262"/>
      <c r="T98" s="262"/>
      <c r="U98" s="262"/>
      <c r="V98" s="262"/>
      <c r="W98" s="262"/>
      <c r="X98" s="262"/>
      <c r="Y98" s="262"/>
      <c r="Z98" s="262"/>
      <c r="AA98" s="262"/>
      <c r="AB98" s="262"/>
      <c r="AC98" s="262"/>
      <c r="AD98" s="262"/>
      <c r="AE98" s="262"/>
      <c r="AF98" s="262"/>
      <c r="AG98" s="262"/>
      <c r="AH98" s="262"/>
      <c r="AI98" s="262"/>
      <c r="AJ98" s="262"/>
      <c r="AK98" s="262"/>
      <c r="AL98" s="262"/>
      <c r="AM98" s="262"/>
      <c r="AN98" s="262"/>
      <c r="AO98" s="262"/>
      <c r="AP98" s="262"/>
    </row>
    <row r="99" spans="1:42" x14ac:dyDescent="0.2">
      <c r="A99" s="165" t="s">
        <v>7</v>
      </c>
      <c r="B99" s="250"/>
      <c r="C99" s="250">
        <f>I217+K217</f>
        <v>0</v>
      </c>
      <c r="D99" s="250"/>
      <c r="E99" s="250"/>
      <c r="F99" s="250"/>
      <c r="G99" s="250"/>
      <c r="H99" s="250"/>
      <c r="I99" s="250"/>
      <c r="J99" s="250"/>
      <c r="K99" s="250"/>
      <c r="L99" s="250"/>
      <c r="M99" s="250"/>
      <c r="N99" s="250"/>
      <c r="O99" s="250"/>
      <c r="P99" s="250"/>
      <c r="Q99" s="250"/>
      <c r="R99" s="250"/>
      <c r="S99" s="250"/>
      <c r="T99" s="250"/>
      <c r="U99" s="250"/>
      <c r="V99" s="250"/>
      <c r="W99" s="250"/>
      <c r="X99" s="250"/>
      <c r="Y99" s="250"/>
      <c r="Z99" s="250"/>
      <c r="AA99" s="250"/>
      <c r="AB99" s="250"/>
      <c r="AC99" s="250"/>
      <c r="AD99" s="250"/>
      <c r="AE99" s="250"/>
      <c r="AF99" s="250"/>
      <c r="AG99" s="250"/>
      <c r="AH99" s="250"/>
      <c r="AI99" s="250"/>
      <c r="AJ99" s="250"/>
      <c r="AK99" s="250"/>
      <c r="AL99" s="250"/>
      <c r="AM99" s="250"/>
      <c r="AN99" s="250"/>
      <c r="AO99" s="250"/>
      <c r="AP99" s="250"/>
    </row>
    <row r="100" spans="1:42" x14ac:dyDescent="0.2">
      <c r="A100" s="165" t="s">
        <v>6</v>
      </c>
      <c r="B100" s="251"/>
      <c r="C100" s="251">
        <f>I350+K350</f>
        <v>10623873.117934847</v>
      </c>
      <c r="D100" s="251"/>
      <c r="E100" s="251"/>
      <c r="F100" s="251"/>
      <c r="G100" s="251"/>
      <c r="H100" s="251"/>
      <c r="I100" s="251"/>
      <c r="J100" s="251"/>
      <c r="K100" s="251"/>
      <c r="L100" s="251"/>
      <c r="M100" s="251"/>
      <c r="N100" s="251"/>
      <c r="O100" s="251"/>
      <c r="P100" s="251"/>
      <c r="Q100" s="251"/>
      <c r="R100" s="251"/>
      <c r="S100" s="251"/>
      <c r="T100" s="251"/>
      <c r="U100" s="251"/>
      <c r="V100" s="251"/>
      <c r="W100" s="251"/>
      <c r="X100" s="251"/>
      <c r="Y100" s="251"/>
      <c r="Z100" s="251"/>
      <c r="AA100" s="251"/>
      <c r="AB100" s="251"/>
      <c r="AC100" s="251"/>
      <c r="AD100" s="251"/>
      <c r="AE100" s="251"/>
      <c r="AF100" s="251"/>
      <c r="AG100" s="251"/>
      <c r="AH100" s="251"/>
      <c r="AI100" s="251"/>
      <c r="AJ100" s="251"/>
      <c r="AK100" s="251"/>
      <c r="AL100" s="251"/>
      <c r="AM100" s="251"/>
      <c r="AN100" s="251"/>
      <c r="AO100" s="251"/>
      <c r="AP100" s="251"/>
    </row>
    <row r="101" spans="1:42" x14ac:dyDescent="0.2">
      <c r="A101" s="165" t="s">
        <v>18</v>
      </c>
      <c r="B101" s="250"/>
      <c r="C101" s="250">
        <f>SUM(C99:C100)</f>
        <v>10623873.117934847</v>
      </c>
      <c r="D101" s="250"/>
      <c r="E101" s="250"/>
      <c r="F101" s="250"/>
      <c r="G101" s="250"/>
      <c r="H101" s="250"/>
      <c r="I101" s="250"/>
      <c r="J101" s="250"/>
      <c r="K101" s="250"/>
      <c r="L101" s="250"/>
      <c r="M101" s="250"/>
      <c r="N101" s="250"/>
      <c r="O101" s="250"/>
      <c r="P101" s="250"/>
      <c r="Q101" s="250"/>
      <c r="R101" s="250"/>
      <c r="S101" s="250"/>
      <c r="T101" s="250"/>
      <c r="U101" s="250"/>
      <c r="V101" s="250"/>
      <c r="W101" s="250"/>
      <c r="X101" s="250"/>
      <c r="Y101" s="250"/>
      <c r="Z101" s="250"/>
      <c r="AA101" s="250"/>
      <c r="AB101" s="250"/>
      <c r="AC101" s="250"/>
      <c r="AD101" s="250"/>
      <c r="AE101" s="250"/>
      <c r="AF101" s="250"/>
      <c r="AG101" s="250"/>
      <c r="AH101" s="250"/>
      <c r="AI101" s="250"/>
      <c r="AJ101" s="250"/>
      <c r="AK101" s="250"/>
      <c r="AL101" s="250"/>
      <c r="AM101" s="250"/>
      <c r="AN101" s="250"/>
      <c r="AO101" s="250"/>
      <c r="AP101" s="250"/>
    </row>
    <row r="102" spans="1:42" s="168" customFormat="1" x14ac:dyDescent="0.2">
      <c r="A102" s="163" t="s">
        <v>8</v>
      </c>
      <c r="G102" s="262"/>
      <c r="H102" s="262"/>
      <c r="I102" s="262"/>
      <c r="J102" s="262"/>
      <c r="K102" s="262"/>
      <c r="L102" s="262"/>
      <c r="M102" s="262"/>
      <c r="N102" s="262"/>
      <c r="O102" s="262"/>
      <c r="P102" s="262"/>
      <c r="Q102" s="262"/>
      <c r="R102" s="262"/>
      <c r="S102" s="262"/>
      <c r="T102" s="262"/>
      <c r="U102" s="262"/>
      <c r="V102" s="262"/>
      <c r="W102" s="262"/>
      <c r="X102" s="262"/>
      <c r="Y102" s="262"/>
      <c r="Z102" s="262"/>
      <c r="AA102" s="262"/>
      <c r="AB102" s="262"/>
      <c r="AC102" s="262"/>
      <c r="AD102" s="262"/>
      <c r="AE102" s="262"/>
      <c r="AF102" s="262"/>
      <c r="AG102" s="262"/>
      <c r="AH102" s="262"/>
      <c r="AI102" s="262"/>
      <c r="AJ102" s="262"/>
      <c r="AK102" s="262"/>
      <c r="AL102" s="262"/>
      <c r="AM102" s="262"/>
      <c r="AN102" s="262"/>
      <c r="AO102" s="262"/>
      <c r="AP102" s="262"/>
    </row>
    <row r="103" spans="1:42" x14ac:dyDescent="0.2">
      <c r="A103" s="165" t="s">
        <v>7</v>
      </c>
      <c r="B103" s="250">
        <f>B481</f>
        <v>0</v>
      </c>
      <c r="C103" s="250">
        <f t="shared" ref="C103:AO103" si="51">C481</f>
        <v>0</v>
      </c>
      <c r="D103" s="250">
        <f t="shared" si="51"/>
        <v>0</v>
      </c>
      <c r="E103" s="250">
        <f t="shared" si="51"/>
        <v>0</v>
      </c>
      <c r="F103" s="250">
        <f t="shared" si="51"/>
        <v>0</v>
      </c>
      <c r="G103" s="250">
        <f t="shared" si="51"/>
        <v>0</v>
      </c>
      <c r="H103" s="250">
        <f t="shared" si="51"/>
        <v>0</v>
      </c>
      <c r="I103" s="250">
        <f t="shared" si="51"/>
        <v>0</v>
      </c>
      <c r="J103" s="250">
        <f t="shared" si="51"/>
        <v>0</v>
      </c>
      <c r="K103" s="250">
        <f t="shared" si="51"/>
        <v>0</v>
      </c>
      <c r="L103" s="250">
        <f t="shared" si="51"/>
        <v>0</v>
      </c>
      <c r="M103" s="250">
        <f t="shared" si="51"/>
        <v>0</v>
      </c>
      <c r="N103" s="250">
        <f t="shared" si="51"/>
        <v>0</v>
      </c>
      <c r="O103" s="250">
        <f t="shared" si="51"/>
        <v>0</v>
      </c>
      <c r="P103" s="250">
        <f t="shared" si="51"/>
        <v>0</v>
      </c>
      <c r="Q103" s="250">
        <f t="shared" si="51"/>
        <v>0</v>
      </c>
      <c r="R103" s="250">
        <f t="shared" si="51"/>
        <v>0</v>
      </c>
      <c r="S103" s="250">
        <f t="shared" si="51"/>
        <v>0</v>
      </c>
      <c r="T103" s="250">
        <f t="shared" si="51"/>
        <v>0</v>
      </c>
      <c r="U103" s="250">
        <f t="shared" si="51"/>
        <v>0</v>
      </c>
      <c r="V103" s="250">
        <f t="shared" si="51"/>
        <v>0</v>
      </c>
      <c r="W103" s="250">
        <f t="shared" si="51"/>
        <v>0</v>
      </c>
      <c r="X103" s="250">
        <f t="shared" si="51"/>
        <v>0</v>
      </c>
      <c r="Y103" s="250">
        <f t="shared" si="51"/>
        <v>0</v>
      </c>
      <c r="Z103" s="250">
        <f t="shared" si="51"/>
        <v>0</v>
      </c>
      <c r="AA103" s="250">
        <f t="shared" si="51"/>
        <v>0</v>
      </c>
      <c r="AB103" s="250">
        <f t="shared" si="51"/>
        <v>0</v>
      </c>
      <c r="AC103" s="250">
        <f t="shared" si="51"/>
        <v>0</v>
      </c>
      <c r="AD103" s="250">
        <f t="shared" si="51"/>
        <v>0</v>
      </c>
      <c r="AE103" s="250">
        <f t="shared" si="51"/>
        <v>0</v>
      </c>
      <c r="AF103" s="250">
        <f t="shared" si="51"/>
        <v>0</v>
      </c>
      <c r="AG103" s="250">
        <f t="shared" si="51"/>
        <v>0</v>
      </c>
      <c r="AH103" s="250">
        <f t="shared" si="51"/>
        <v>0</v>
      </c>
      <c r="AI103" s="250">
        <f t="shared" si="51"/>
        <v>0</v>
      </c>
      <c r="AJ103" s="250">
        <f t="shared" si="51"/>
        <v>0</v>
      </c>
      <c r="AK103" s="250">
        <f t="shared" si="51"/>
        <v>0</v>
      </c>
      <c r="AL103" s="250">
        <f t="shared" si="51"/>
        <v>0</v>
      </c>
      <c r="AM103" s="250">
        <f t="shared" si="51"/>
        <v>0</v>
      </c>
      <c r="AN103" s="250">
        <f t="shared" si="51"/>
        <v>0</v>
      </c>
      <c r="AO103" s="250">
        <f t="shared" si="51"/>
        <v>0</v>
      </c>
      <c r="AP103" s="250">
        <f>AP481</f>
        <v>0</v>
      </c>
    </row>
    <row r="104" spans="1:42" x14ac:dyDescent="0.2">
      <c r="A104" s="165" t="s">
        <v>6</v>
      </c>
      <c r="B104" s="251">
        <f>B487</f>
        <v>0</v>
      </c>
      <c r="C104" s="251">
        <f t="shared" ref="C104:AO104" si="52">C487</f>
        <v>0</v>
      </c>
      <c r="D104" s="251">
        <f t="shared" si="52"/>
        <v>0</v>
      </c>
      <c r="E104" s="251">
        <f t="shared" si="52"/>
        <v>0</v>
      </c>
      <c r="F104" s="251">
        <f t="shared" si="52"/>
        <v>0</v>
      </c>
      <c r="G104" s="251">
        <f t="shared" si="52"/>
        <v>0</v>
      </c>
      <c r="H104" s="251">
        <f t="shared" si="52"/>
        <v>0</v>
      </c>
      <c r="I104" s="251">
        <f t="shared" si="52"/>
        <v>0</v>
      </c>
      <c r="J104" s="251">
        <f t="shared" si="52"/>
        <v>0</v>
      </c>
      <c r="K104" s="251">
        <f t="shared" si="52"/>
        <v>0</v>
      </c>
      <c r="L104" s="251">
        <f t="shared" si="52"/>
        <v>0</v>
      </c>
      <c r="M104" s="251">
        <f t="shared" si="52"/>
        <v>0</v>
      </c>
      <c r="N104" s="251">
        <f t="shared" si="52"/>
        <v>0</v>
      </c>
      <c r="O104" s="251">
        <f t="shared" si="52"/>
        <v>0</v>
      </c>
      <c r="P104" s="251">
        <f t="shared" si="52"/>
        <v>0</v>
      </c>
      <c r="Q104" s="251">
        <f t="shared" si="52"/>
        <v>0</v>
      </c>
      <c r="R104" s="251">
        <f t="shared" si="52"/>
        <v>0</v>
      </c>
      <c r="S104" s="251">
        <f t="shared" si="52"/>
        <v>0</v>
      </c>
      <c r="T104" s="251">
        <f t="shared" si="52"/>
        <v>0</v>
      </c>
      <c r="U104" s="251">
        <f t="shared" si="52"/>
        <v>0</v>
      </c>
      <c r="V104" s="251">
        <f t="shared" si="52"/>
        <v>0</v>
      </c>
      <c r="W104" s="251">
        <f t="shared" si="52"/>
        <v>0</v>
      </c>
      <c r="X104" s="251">
        <f t="shared" si="52"/>
        <v>0</v>
      </c>
      <c r="Y104" s="251">
        <f t="shared" si="52"/>
        <v>0</v>
      </c>
      <c r="Z104" s="251">
        <f t="shared" si="52"/>
        <v>0</v>
      </c>
      <c r="AA104" s="251">
        <f t="shared" si="52"/>
        <v>0</v>
      </c>
      <c r="AB104" s="251">
        <f t="shared" si="52"/>
        <v>0</v>
      </c>
      <c r="AC104" s="251">
        <f t="shared" si="52"/>
        <v>0</v>
      </c>
      <c r="AD104" s="251">
        <f t="shared" si="52"/>
        <v>0</v>
      </c>
      <c r="AE104" s="251">
        <f t="shared" si="52"/>
        <v>0</v>
      </c>
      <c r="AF104" s="251">
        <f t="shared" si="52"/>
        <v>0</v>
      </c>
      <c r="AG104" s="251">
        <f t="shared" si="52"/>
        <v>0</v>
      </c>
      <c r="AH104" s="251">
        <f t="shared" si="52"/>
        <v>0</v>
      </c>
      <c r="AI104" s="251">
        <f t="shared" si="52"/>
        <v>0</v>
      </c>
      <c r="AJ104" s="251">
        <f t="shared" si="52"/>
        <v>0</v>
      </c>
      <c r="AK104" s="251">
        <f t="shared" si="52"/>
        <v>0</v>
      </c>
      <c r="AL104" s="251">
        <f t="shared" si="52"/>
        <v>0</v>
      </c>
      <c r="AM104" s="251">
        <f t="shared" si="52"/>
        <v>0</v>
      </c>
      <c r="AN104" s="251">
        <f t="shared" si="52"/>
        <v>0</v>
      </c>
      <c r="AO104" s="251">
        <f t="shared" si="52"/>
        <v>0</v>
      </c>
      <c r="AP104" s="251">
        <f>AP487</f>
        <v>0</v>
      </c>
    </row>
    <row r="105" spans="1:42" x14ac:dyDescent="0.2">
      <c r="A105" s="165" t="s">
        <v>18</v>
      </c>
      <c r="B105" s="250">
        <f>SUM(B103:B104)</f>
        <v>0</v>
      </c>
      <c r="C105" s="250">
        <f>SUM(C103:C104)</f>
        <v>0</v>
      </c>
      <c r="D105" s="250">
        <f>SUM(D103:D104)</f>
        <v>0</v>
      </c>
      <c r="E105" s="250">
        <f t="shared" ref="E105:AP105" si="53">SUM(E103:E104)</f>
        <v>0</v>
      </c>
      <c r="F105" s="250">
        <f t="shared" si="53"/>
        <v>0</v>
      </c>
      <c r="G105" s="250">
        <f t="shared" si="53"/>
        <v>0</v>
      </c>
      <c r="H105" s="250">
        <f t="shared" si="53"/>
        <v>0</v>
      </c>
      <c r="I105" s="250">
        <f t="shared" si="53"/>
        <v>0</v>
      </c>
      <c r="J105" s="250">
        <f t="shared" si="53"/>
        <v>0</v>
      </c>
      <c r="K105" s="250">
        <f t="shared" si="53"/>
        <v>0</v>
      </c>
      <c r="L105" s="250">
        <f t="shared" si="53"/>
        <v>0</v>
      </c>
      <c r="M105" s="250">
        <f t="shared" si="53"/>
        <v>0</v>
      </c>
      <c r="N105" s="250">
        <f t="shared" si="53"/>
        <v>0</v>
      </c>
      <c r="O105" s="250">
        <f t="shared" si="53"/>
        <v>0</v>
      </c>
      <c r="P105" s="250">
        <f t="shared" si="53"/>
        <v>0</v>
      </c>
      <c r="Q105" s="250">
        <f t="shared" si="53"/>
        <v>0</v>
      </c>
      <c r="R105" s="250">
        <f t="shared" si="53"/>
        <v>0</v>
      </c>
      <c r="S105" s="250">
        <f t="shared" si="53"/>
        <v>0</v>
      </c>
      <c r="T105" s="250">
        <f t="shared" si="53"/>
        <v>0</v>
      </c>
      <c r="U105" s="250">
        <f t="shared" si="53"/>
        <v>0</v>
      </c>
      <c r="V105" s="250">
        <f t="shared" si="53"/>
        <v>0</v>
      </c>
      <c r="W105" s="250">
        <f t="shared" si="53"/>
        <v>0</v>
      </c>
      <c r="X105" s="250">
        <f t="shared" si="53"/>
        <v>0</v>
      </c>
      <c r="Y105" s="250">
        <f t="shared" si="53"/>
        <v>0</v>
      </c>
      <c r="Z105" s="250">
        <f t="shared" si="53"/>
        <v>0</v>
      </c>
      <c r="AA105" s="250">
        <f t="shared" si="53"/>
        <v>0</v>
      </c>
      <c r="AB105" s="250">
        <f t="shared" si="53"/>
        <v>0</v>
      </c>
      <c r="AC105" s="250">
        <f t="shared" si="53"/>
        <v>0</v>
      </c>
      <c r="AD105" s="250">
        <f t="shared" si="53"/>
        <v>0</v>
      </c>
      <c r="AE105" s="250">
        <f t="shared" si="53"/>
        <v>0</v>
      </c>
      <c r="AF105" s="250">
        <f t="shared" si="53"/>
        <v>0</v>
      </c>
      <c r="AG105" s="250">
        <f t="shared" si="53"/>
        <v>0</v>
      </c>
      <c r="AH105" s="250">
        <f t="shared" si="53"/>
        <v>0</v>
      </c>
      <c r="AI105" s="250">
        <f t="shared" si="53"/>
        <v>0</v>
      </c>
      <c r="AJ105" s="250">
        <f t="shared" si="53"/>
        <v>0</v>
      </c>
      <c r="AK105" s="250">
        <f t="shared" si="53"/>
        <v>0</v>
      </c>
      <c r="AL105" s="250">
        <f t="shared" si="53"/>
        <v>0</v>
      </c>
      <c r="AM105" s="250">
        <f t="shared" si="53"/>
        <v>0</v>
      </c>
      <c r="AN105" s="250">
        <f t="shared" si="53"/>
        <v>0</v>
      </c>
      <c r="AO105" s="250">
        <f t="shared" si="53"/>
        <v>0</v>
      </c>
      <c r="AP105" s="250">
        <f t="shared" si="53"/>
        <v>0</v>
      </c>
    </row>
    <row r="106" spans="1:42" s="168" customFormat="1" x14ac:dyDescent="0.2">
      <c r="A106" s="163" t="s">
        <v>119</v>
      </c>
    </row>
    <row r="107" spans="1:42" x14ac:dyDescent="0.2">
      <c r="A107" s="165" t="s">
        <v>7</v>
      </c>
      <c r="B107" s="250">
        <f>B166</f>
        <v>0</v>
      </c>
      <c r="C107" s="250">
        <f>C166</f>
        <v>418055.97202481783</v>
      </c>
      <c r="D107" s="250">
        <f t="shared" ref="D107:AP107" si="54">D166</f>
        <v>678125.30907635111</v>
      </c>
      <c r="E107" s="250">
        <f t="shared" si="54"/>
        <v>409148.77407620085</v>
      </c>
      <c r="F107" s="250">
        <f t="shared" si="54"/>
        <v>248228.66954062603</v>
      </c>
      <c r="G107" s="250">
        <f t="shared" si="54"/>
        <v>249307.20076972898</v>
      </c>
      <c r="H107" s="250">
        <f t="shared" si="54"/>
        <v>129200.46918745682</v>
      </c>
      <c r="I107" s="250">
        <f t="shared" si="54"/>
        <v>9410.4599340084969</v>
      </c>
      <c r="J107" s="250">
        <f t="shared" si="54"/>
        <v>11299.456066035074</v>
      </c>
      <c r="K107" s="250">
        <f t="shared" si="54"/>
        <v>13380.628563923434</v>
      </c>
      <c r="L107" s="250">
        <f t="shared" si="54"/>
        <v>15654.969433399665</v>
      </c>
      <c r="M107" s="250">
        <f t="shared" si="54"/>
        <v>18153.333864987777</v>
      </c>
      <c r="N107" s="250">
        <f t="shared" si="54"/>
        <v>112713.71396772955</v>
      </c>
      <c r="O107" s="250">
        <f t="shared" si="54"/>
        <v>178930.58591386821</v>
      </c>
      <c r="P107" s="250">
        <f t="shared" si="54"/>
        <v>123855.74123935826</v>
      </c>
      <c r="Q107" s="250">
        <f t="shared" si="54"/>
        <v>92645.038868467775</v>
      </c>
      <c r="R107" s="250">
        <f t="shared" si="54"/>
        <v>93534.934384811786</v>
      </c>
      <c r="S107" s="250">
        <f t="shared" si="54"/>
        <v>68362.582985283603</v>
      </c>
      <c r="T107" s="250">
        <f t="shared" si="54"/>
        <v>47111.595698382065</v>
      </c>
      <c r="U107" s="250">
        <f t="shared" si="54"/>
        <v>52042.372613073756</v>
      </c>
      <c r="V107" s="250">
        <f t="shared" si="54"/>
        <v>52474.560575931704</v>
      </c>
      <c r="W107" s="250">
        <f t="shared" si="54"/>
        <v>50874.317299159375</v>
      </c>
      <c r="X107" s="250">
        <f t="shared" si="54"/>
        <v>49308.228935687781</v>
      </c>
      <c r="Y107" s="250">
        <f t="shared" si="54"/>
        <v>49842.902464614548</v>
      </c>
      <c r="Z107" s="250">
        <f t="shared" si="54"/>
        <v>173936.20777569982</v>
      </c>
      <c r="AA107" s="250">
        <f t="shared" si="54"/>
        <v>259465.43551260009</v>
      </c>
      <c r="AB107" s="250">
        <f t="shared" si="54"/>
        <v>0</v>
      </c>
      <c r="AC107" s="250">
        <f t="shared" si="54"/>
        <v>0</v>
      </c>
      <c r="AD107" s="250">
        <f t="shared" si="54"/>
        <v>0</v>
      </c>
      <c r="AE107" s="250">
        <f t="shared" si="54"/>
        <v>0</v>
      </c>
      <c r="AF107" s="250">
        <f t="shared" si="54"/>
        <v>0</v>
      </c>
      <c r="AG107" s="250">
        <f t="shared" si="54"/>
        <v>0</v>
      </c>
      <c r="AH107" s="250">
        <f t="shared" si="54"/>
        <v>0</v>
      </c>
      <c r="AI107" s="250">
        <f t="shared" si="54"/>
        <v>0</v>
      </c>
      <c r="AJ107" s="250">
        <f t="shared" si="54"/>
        <v>0</v>
      </c>
      <c r="AK107" s="250">
        <f t="shared" si="54"/>
        <v>0</v>
      </c>
      <c r="AL107" s="250">
        <f t="shared" si="54"/>
        <v>0</v>
      </c>
      <c r="AM107" s="250">
        <f t="shared" si="54"/>
        <v>0</v>
      </c>
      <c r="AN107" s="250">
        <f t="shared" si="54"/>
        <v>0</v>
      </c>
      <c r="AO107" s="250">
        <f t="shared" si="54"/>
        <v>0</v>
      </c>
      <c r="AP107" s="250">
        <f t="shared" si="54"/>
        <v>0</v>
      </c>
    </row>
    <row r="108" spans="1:42" x14ac:dyDescent="0.2">
      <c r="A108" s="165" t="s">
        <v>6</v>
      </c>
      <c r="B108" s="245">
        <f>B205</f>
        <v>0</v>
      </c>
      <c r="C108" s="245">
        <f>C205</f>
        <v>1943960.2699154029</v>
      </c>
      <c r="D108" s="245">
        <f t="shared" ref="D108:AP108" si="55">D205</f>
        <v>3153282.6872050329</v>
      </c>
      <c r="E108" s="245">
        <f t="shared" si="55"/>
        <v>1902541.7994543342</v>
      </c>
      <c r="F108" s="245">
        <f t="shared" si="55"/>
        <v>1154263.3133639111</v>
      </c>
      <c r="G108" s="245">
        <f t="shared" si="55"/>
        <v>1159278.4835792398</v>
      </c>
      <c r="H108" s="245">
        <f t="shared" si="55"/>
        <v>600782.18172167416</v>
      </c>
      <c r="I108" s="245">
        <f t="shared" si="55"/>
        <v>43758.63869313951</v>
      </c>
      <c r="J108" s="245">
        <f t="shared" si="55"/>
        <v>52542.470707063098</v>
      </c>
      <c r="K108" s="245">
        <f t="shared" si="55"/>
        <v>62219.922822243956</v>
      </c>
      <c r="L108" s="245">
        <f t="shared" si="55"/>
        <v>72795.607865308441</v>
      </c>
      <c r="M108" s="245">
        <f t="shared" si="55"/>
        <v>84413.00247219317</v>
      </c>
      <c r="N108" s="245">
        <f t="shared" si="55"/>
        <v>524118.76994994236</v>
      </c>
      <c r="O108" s="245">
        <f t="shared" si="55"/>
        <v>832027.22449948709</v>
      </c>
      <c r="P108" s="245">
        <f t="shared" si="55"/>
        <v>575929.19676301593</v>
      </c>
      <c r="Q108" s="245">
        <f t="shared" si="55"/>
        <v>430799.43073837511</v>
      </c>
      <c r="R108" s="245">
        <f t="shared" si="55"/>
        <v>434937.44488937489</v>
      </c>
      <c r="S108" s="245">
        <f t="shared" si="55"/>
        <v>317886.01088156877</v>
      </c>
      <c r="T108" s="245">
        <f t="shared" si="55"/>
        <v>219068.91999747662</v>
      </c>
      <c r="U108" s="245">
        <f t="shared" si="55"/>
        <v>241997.03265079294</v>
      </c>
      <c r="V108" s="245">
        <f t="shared" si="55"/>
        <v>244006.70667808241</v>
      </c>
      <c r="W108" s="245">
        <f t="shared" si="55"/>
        <v>236565.57544109106</v>
      </c>
      <c r="X108" s="245">
        <f t="shared" si="55"/>
        <v>229283.26455094822</v>
      </c>
      <c r="Y108" s="245">
        <f t="shared" si="55"/>
        <v>231769.49646045762</v>
      </c>
      <c r="Z108" s="245">
        <f t="shared" si="55"/>
        <v>808803.36615700426</v>
      </c>
      <c r="AA108" s="245">
        <f t="shared" si="55"/>
        <v>1206514.2751335902</v>
      </c>
      <c r="AB108" s="245">
        <f t="shared" si="55"/>
        <v>0</v>
      </c>
      <c r="AC108" s="245">
        <f t="shared" si="55"/>
        <v>0</v>
      </c>
      <c r="AD108" s="245">
        <f t="shared" si="55"/>
        <v>0</v>
      </c>
      <c r="AE108" s="245">
        <f t="shared" si="55"/>
        <v>0</v>
      </c>
      <c r="AF108" s="245">
        <f t="shared" si="55"/>
        <v>0</v>
      </c>
      <c r="AG108" s="245">
        <f t="shared" si="55"/>
        <v>0</v>
      </c>
      <c r="AH108" s="245">
        <f t="shared" si="55"/>
        <v>0</v>
      </c>
      <c r="AI108" s="245">
        <f t="shared" si="55"/>
        <v>0</v>
      </c>
      <c r="AJ108" s="245">
        <f t="shared" si="55"/>
        <v>0</v>
      </c>
      <c r="AK108" s="245">
        <f t="shared" si="55"/>
        <v>0</v>
      </c>
      <c r="AL108" s="245">
        <f t="shared" si="55"/>
        <v>0</v>
      </c>
      <c r="AM108" s="245">
        <f t="shared" si="55"/>
        <v>0</v>
      </c>
      <c r="AN108" s="245">
        <f t="shared" si="55"/>
        <v>0</v>
      </c>
      <c r="AO108" s="245">
        <f t="shared" si="55"/>
        <v>0</v>
      </c>
      <c r="AP108" s="245">
        <f t="shared" si="55"/>
        <v>0</v>
      </c>
    </row>
    <row r="109" spans="1:42" x14ac:dyDescent="0.2">
      <c r="A109" s="165" t="s">
        <v>18</v>
      </c>
      <c r="B109" s="245">
        <f>SUM(B107:B108)</f>
        <v>0</v>
      </c>
      <c r="C109" s="245">
        <f>SUM(C107:C108)</f>
        <v>2362016.2419402208</v>
      </c>
      <c r="D109" s="245">
        <f>SUM(D107:D108)</f>
        <v>3831407.996281384</v>
      </c>
      <c r="E109" s="245">
        <f t="shared" ref="E109:AP109" si="56">SUM(E107:E108)</f>
        <v>2311690.5735305352</v>
      </c>
      <c r="F109" s="245">
        <f t="shared" si="56"/>
        <v>1402491.9829045371</v>
      </c>
      <c r="G109" s="245">
        <f t="shared" si="56"/>
        <v>1408585.6843489688</v>
      </c>
      <c r="H109" s="245">
        <f t="shared" si="56"/>
        <v>729982.65090913093</v>
      </c>
      <c r="I109" s="245">
        <f t="shared" si="56"/>
        <v>53169.098627148007</v>
      </c>
      <c r="J109" s="245">
        <f t="shared" si="56"/>
        <v>63841.926773098174</v>
      </c>
      <c r="K109" s="245">
        <f t="shared" si="56"/>
        <v>75600.551386167383</v>
      </c>
      <c r="L109" s="245">
        <f t="shared" si="56"/>
        <v>88450.5772987081</v>
      </c>
      <c r="M109" s="245">
        <f t="shared" si="56"/>
        <v>102566.33633718095</v>
      </c>
      <c r="N109" s="245">
        <f t="shared" si="56"/>
        <v>636832.48391767195</v>
      </c>
      <c r="O109" s="245">
        <f t="shared" si="56"/>
        <v>1010957.8104133552</v>
      </c>
      <c r="P109" s="245">
        <f t="shared" si="56"/>
        <v>699784.93800237426</v>
      </c>
      <c r="Q109" s="245">
        <f t="shared" si="56"/>
        <v>523444.4696068429</v>
      </c>
      <c r="R109" s="245">
        <f t="shared" si="56"/>
        <v>528472.37927418668</v>
      </c>
      <c r="S109" s="245">
        <f t="shared" si="56"/>
        <v>386248.59386685234</v>
      </c>
      <c r="T109" s="245">
        <f t="shared" si="56"/>
        <v>266180.51569585869</v>
      </c>
      <c r="U109" s="245">
        <f t="shared" si="56"/>
        <v>294039.40526386671</v>
      </c>
      <c r="V109" s="245">
        <f t="shared" si="56"/>
        <v>296481.26725401409</v>
      </c>
      <c r="W109" s="245">
        <f t="shared" si="56"/>
        <v>287439.89274025045</v>
      </c>
      <c r="X109" s="245">
        <f t="shared" si="56"/>
        <v>278591.49348663603</v>
      </c>
      <c r="Y109" s="245">
        <f t="shared" si="56"/>
        <v>281612.39892507216</v>
      </c>
      <c r="Z109" s="245">
        <f t="shared" si="56"/>
        <v>982739.57393270405</v>
      </c>
      <c r="AA109" s="245">
        <f t="shared" si="56"/>
        <v>1465979.7106461902</v>
      </c>
      <c r="AB109" s="245">
        <f t="shared" si="56"/>
        <v>0</v>
      </c>
      <c r="AC109" s="245">
        <f t="shared" si="56"/>
        <v>0</v>
      </c>
      <c r="AD109" s="245">
        <f t="shared" si="56"/>
        <v>0</v>
      </c>
      <c r="AE109" s="245">
        <f t="shared" si="56"/>
        <v>0</v>
      </c>
      <c r="AF109" s="245">
        <f t="shared" si="56"/>
        <v>0</v>
      </c>
      <c r="AG109" s="245">
        <f t="shared" si="56"/>
        <v>0</v>
      </c>
      <c r="AH109" s="245">
        <f t="shared" si="56"/>
        <v>0</v>
      </c>
      <c r="AI109" s="245">
        <f t="shared" si="56"/>
        <v>0</v>
      </c>
      <c r="AJ109" s="245">
        <f t="shared" si="56"/>
        <v>0</v>
      </c>
      <c r="AK109" s="245">
        <f t="shared" si="56"/>
        <v>0</v>
      </c>
      <c r="AL109" s="245">
        <f t="shared" si="56"/>
        <v>0</v>
      </c>
      <c r="AM109" s="245">
        <f t="shared" si="56"/>
        <v>0</v>
      </c>
      <c r="AN109" s="245">
        <f t="shared" si="56"/>
        <v>0</v>
      </c>
      <c r="AO109" s="245">
        <f t="shared" si="56"/>
        <v>0</v>
      </c>
      <c r="AP109" s="245">
        <f t="shared" si="56"/>
        <v>0</v>
      </c>
    </row>
    <row r="110" spans="1:42" x14ac:dyDescent="0.2">
      <c r="A110" s="351" t="s">
        <v>18</v>
      </c>
      <c r="B110" s="261">
        <f>B97+B101+B105+B109</f>
        <v>-48420249.795342766</v>
      </c>
      <c r="C110" s="261">
        <f>C97+C101+C105+C109</f>
        <v>12741932.65776092</v>
      </c>
      <c r="D110" s="261">
        <f t="shared" ref="D110:AP110" si="57">D97+D101+D105+D109</f>
        <v>3594165.7228819733</v>
      </c>
      <c r="E110" s="261">
        <f t="shared" si="57"/>
        <v>2081091.4071000679</v>
      </c>
      <c r="F110" s="261">
        <f t="shared" si="57"/>
        <v>1178462.8186535751</v>
      </c>
      <c r="G110" s="261">
        <f t="shared" si="57"/>
        <v>1191051.5898683381</v>
      </c>
      <c r="H110" s="261">
        <f t="shared" si="57"/>
        <v>518866.8204794284</v>
      </c>
      <c r="I110" s="261">
        <f t="shared" si="57"/>
        <v>-151607.19361401506</v>
      </c>
      <c r="J110" s="261">
        <f t="shared" si="57"/>
        <v>-134675.5212884738</v>
      </c>
      <c r="K110" s="261">
        <f t="shared" si="57"/>
        <v>-116740.76385498521</v>
      </c>
      <c r="L110" s="261">
        <f t="shared" si="57"/>
        <v>-97799.384265176297</v>
      </c>
      <c r="M110" s="261">
        <f t="shared" si="57"/>
        <v>-77679.170171165228</v>
      </c>
      <c r="N110" s="261">
        <f t="shared" si="57"/>
        <v>535022.23713373381</v>
      </c>
      <c r="O110" s="261">
        <f t="shared" si="57"/>
        <v>682863.16814005468</v>
      </c>
      <c r="P110" s="261">
        <f t="shared" si="57"/>
        <v>380720.45586872171</v>
      </c>
      <c r="Q110" s="261">
        <f t="shared" si="57"/>
        <v>213314.22779399535</v>
      </c>
      <c r="R110" s="261">
        <f t="shared" si="57"/>
        <v>227178.05996782961</v>
      </c>
      <c r="S110" s="261">
        <f t="shared" si="57"/>
        <v>93689.421307313954</v>
      </c>
      <c r="T110" s="261">
        <f t="shared" si="57"/>
        <v>-596062.31231973344</v>
      </c>
      <c r="U110" s="261">
        <f t="shared" si="57"/>
        <v>-1135260.567706136</v>
      </c>
      <c r="V110" s="261">
        <f t="shared" si="57"/>
        <v>-1139232.9338046266</v>
      </c>
      <c r="W110" s="261">
        <f t="shared" si="57"/>
        <v>-1155170.5659315782</v>
      </c>
      <c r="X110" s="261">
        <f t="shared" si="57"/>
        <v>-1171409.3030610448</v>
      </c>
      <c r="Y110" s="261">
        <f t="shared" si="57"/>
        <v>-1176285.1677676914</v>
      </c>
      <c r="Z110" s="261">
        <f t="shared" si="57"/>
        <v>-483573.85598110408</v>
      </c>
      <c r="AA110" s="261">
        <f t="shared" si="57"/>
        <v>1028242.1434570502</v>
      </c>
      <c r="AB110" s="261">
        <f t="shared" si="57"/>
        <v>0</v>
      </c>
      <c r="AC110" s="261">
        <f t="shared" si="57"/>
        <v>0</v>
      </c>
      <c r="AD110" s="261">
        <f t="shared" si="57"/>
        <v>0</v>
      </c>
      <c r="AE110" s="261">
        <f t="shared" si="57"/>
        <v>0</v>
      </c>
      <c r="AF110" s="261">
        <f t="shared" si="57"/>
        <v>0</v>
      </c>
      <c r="AG110" s="261">
        <f t="shared" si="57"/>
        <v>0</v>
      </c>
      <c r="AH110" s="261">
        <f t="shared" si="57"/>
        <v>0</v>
      </c>
      <c r="AI110" s="261">
        <f t="shared" si="57"/>
        <v>0</v>
      </c>
      <c r="AJ110" s="261">
        <f t="shared" si="57"/>
        <v>0</v>
      </c>
      <c r="AK110" s="261">
        <f t="shared" si="57"/>
        <v>0</v>
      </c>
      <c r="AL110" s="261">
        <f t="shared" si="57"/>
        <v>0</v>
      </c>
      <c r="AM110" s="261">
        <f t="shared" si="57"/>
        <v>0</v>
      </c>
      <c r="AN110" s="261">
        <f t="shared" si="57"/>
        <v>0</v>
      </c>
      <c r="AO110" s="261">
        <f t="shared" si="57"/>
        <v>0</v>
      </c>
      <c r="AP110" s="261">
        <f t="shared" si="57"/>
        <v>0</v>
      </c>
    </row>
    <row r="111" spans="1:42" s="168" customFormat="1" x14ac:dyDescent="0.2">
      <c r="A111" s="165"/>
    </row>
    <row r="112" spans="1:42" x14ac:dyDescent="0.2">
      <c r="A112" s="163" t="s">
        <v>307</v>
      </c>
      <c r="B112" s="195">
        <f>ROUND(IF(ISERROR(IRR($B110:B110)),0,IRR($B110:B110)*100),4)</f>
        <v>0</v>
      </c>
      <c r="C112" s="195">
        <f>ROUND(IF(ISERROR(IRR($B110:C110)),0,IRR($B110:C110)*100),4)</f>
        <v>-73.684700000000007</v>
      </c>
      <c r="D112" s="195">
        <f>ROUND(IF(ISERROR(IRR($B110:D110)),0,IRR($B110:D110)*100),4)</f>
        <v>-56.586599999999997</v>
      </c>
      <c r="E112" s="195">
        <f>ROUND(IF(ISERROR(IRR($B110:E110)),0,IRR($B110:E110)*100),4)</f>
        <v>-45.553100000000001</v>
      </c>
      <c r="F112" s="195">
        <f>ROUND(IF(ISERROR(IRR($B110:F110)),0,IRR($B110:F110)*100),4)</f>
        <v>-39.115200000000002</v>
      </c>
      <c r="G112" s="195">
        <f>ROUND(IF(ISERROR(IRR($B110:G110)),0,IRR($B110:G110)*100),4)</f>
        <v>-32.894500000000001</v>
      </c>
      <c r="H112" s="195">
        <f>ROUND(IF(ISERROR(IRR($B110:H110)),0,IRR($B110:H110)*100),4)</f>
        <v>-30.2148</v>
      </c>
      <c r="I112" s="195">
        <f>ROUND(IF(ISERROR(IRR($B110:I110)),0,IRR($B110:I110)*100),4)</f>
        <v>-31.2623</v>
      </c>
      <c r="J112" s="195">
        <f>ROUND(IF(ISERROR(IRR($B110:J110)),0,IRR($B110:J110)*100),4)</f>
        <v>-32.934199999999997</v>
      </c>
      <c r="K112" s="195">
        <f>ROUND(IF(ISERROR(IRR($B110:K110)),0,IRR($B110:K110)*100),4)</f>
        <v>-46.737499999999997</v>
      </c>
      <c r="L112" s="195">
        <f>ROUND(IF(ISERROR(IRR($B110:L110)),0,IRR($B110:L110)*100),4)</f>
        <v>0</v>
      </c>
      <c r="M112" s="195">
        <f>ROUND(IF(ISERROR(IRR($B110:M110)),0,IRR($B110:M110)*100),4)</f>
        <v>0</v>
      </c>
      <c r="N112" s="195">
        <f>ROUND(IF(ISERROR(IRR($B110:N110)),0,IRR($B110:N110)*100),4)</f>
        <v>-24.729900000000001</v>
      </c>
      <c r="O112" s="195">
        <f>ROUND(IF(ISERROR(IRR($B110:O110)),0,IRR($B110:O110)*100),4)</f>
        <v>-19.534199999999998</v>
      </c>
      <c r="P112" s="195">
        <f>ROUND(IF(ISERROR(IRR($B110:P110)),0,IRR($B110:P110)*100),4)</f>
        <v>-17.646999999999998</v>
      </c>
      <c r="Q112" s="195">
        <f>ROUND(IF(ISERROR(IRR($B110:Q110)),0,IRR($B110:Q110)*100),4)</f>
        <v>-16.681999999999999</v>
      </c>
      <c r="R112" s="195">
        <f>ROUND(IF(ISERROR(IRR($B110:R110)),0,IRR($B110:R110)*100),4)</f>
        <v>-15.689399999999999</v>
      </c>
      <c r="S112" s="195">
        <f>ROUND(IF(ISERROR(IRR($B110:S110)),0,IRR($B110:S110)*100),4)</f>
        <v>-15.2765</v>
      </c>
      <c r="T112" s="195">
        <f>ROUND(IF(ISERROR(IRR($B110:T110)),0,IRR($B110:T110)*100),4)</f>
        <v>0</v>
      </c>
      <c r="U112" s="195">
        <f>ROUND(IF(ISERROR(IRR($B110:U110)),0,IRR($B110:U110)*100),4)</f>
        <v>0</v>
      </c>
      <c r="V112" s="195">
        <f>ROUND(IF(ISERROR(IRR($B110:V110)),0,IRR($B110:V110)*100),4)</f>
        <v>0</v>
      </c>
      <c r="W112" s="195">
        <f>ROUND(IF(ISERROR(IRR($B110:W110)),0,IRR($B110:W110)*100),4)</f>
        <v>0</v>
      </c>
      <c r="X112" s="195">
        <f>ROUND(IF(ISERROR(IRR($B110:X110)),0,IRR($B110:X110)*100),4)</f>
        <v>0</v>
      </c>
      <c r="Y112" s="195">
        <f>ROUND(IF(ISERROR(IRR($B110:Y110)),0,IRR($B110:Y110)*100),4)</f>
        <v>0</v>
      </c>
      <c r="Z112" s="195">
        <f>ROUND(IF(ISERROR(IRR($B110:Z110)),0,IRR($B110:Z110)*100),4)</f>
        <v>0</v>
      </c>
      <c r="AA112" s="195">
        <f>ROUND(IF(ISERROR(IRR($B110:AA110)),0,IRR($B110:AA110)*100),4)</f>
        <v>0</v>
      </c>
      <c r="AB112" s="195">
        <f>ROUND(IF(ISERROR(IRR($B110:AB110)),0,IRR($B110:AB110)*100),4)</f>
        <v>0</v>
      </c>
      <c r="AC112" s="195">
        <f>ROUND(IF(ISERROR(IRR($B110:AC110)),0,IRR($B110:AC110)*100),4)</f>
        <v>0</v>
      </c>
      <c r="AD112" s="195">
        <f>ROUND(IF(ISERROR(IRR($B110:AD110)),0,IRR($B110:AD110)*100),4)</f>
        <v>0</v>
      </c>
      <c r="AE112" s="195">
        <f>ROUND(IF(ISERROR(IRR($B110:AE110)),0,IRR($B110:AE110)*100),4)</f>
        <v>0</v>
      </c>
      <c r="AF112" s="195">
        <f>ROUND(IF(ISERROR(IRR($B110:AF110)),0,IRR($B110:AF110)*100),4)</f>
        <v>0</v>
      </c>
      <c r="AG112" s="195">
        <f>ROUND(IF(ISERROR(IRR($B110:AG110)),0,IRR($B110:AG110)*100),4)</f>
        <v>0</v>
      </c>
      <c r="AH112" s="195">
        <f>ROUND(IF(ISERROR(IRR($B110:AH110)),0,IRR($B110:AH110)*100),4)</f>
        <v>0</v>
      </c>
      <c r="AI112" s="195">
        <f>ROUND(IF(ISERROR(IRR($B110:AI110)),0,IRR($B110:AI110)*100),4)</f>
        <v>0</v>
      </c>
      <c r="AJ112" s="195">
        <f>ROUND(IF(ISERROR(IRR($B110:AJ110)),0,IRR($B110:AJ110)*100),4)</f>
        <v>0</v>
      </c>
      <c r="AK112" s="195">
        <f>ROUND(IF(ISERROR(IRR($B110:AK110)),0,IRR($B110:AK110)*100),4)</f>
        <v>0</v>
      </c>
      <c r="AL112" s="195">
        <f>ROUND(IF(ISERROR(IRR($B110:AL110)),0,IRR($B110:AL110)*100),4)</f>
        <v>0</v>
      </c>
      <c r="AM112" s="195">
        <f>ROUND(IF(ISERROR(IRR($B110:AM110)),0,IRR($B110:AM110)*100),4)</f>
        <v>0</v>
      </c>
      <c r="AN112" s="195">
        <f>ROUND(IF(ISERROR(IRR($B110:AN110)),0,IRR($B110:AN110)*100),4)</f>
        <v>0</v>
      </c>
      <c r="AO112" s="195">
        <f>ROUND(IF(ISERROR(IRR($B110:AO110)),0,IRR($B110:AO110)*100),4)</f>
        <v>0</v>
      </c>
      <c r="AP112" s="195">
        <f>ROUND(IF(ISERROR(IRR($B110:AP110)),0,IRR($B110:AP110)*100),4)</f>
        <v>0</v>
      </c>
    </row>
    <row r="113" spans="1:42" s="21" customFormat="1" x14ac:dyDescent="0.2">
      <c r="A113" s="50" t="s">
        <v>10</v>
      </c>
      <c r="B113" s="337">
        <f>MAX($B$112:B112)</f>
        <v>0</v>
      </c>
      <c r="C113" s="337">
        <f>MAX($B$112:C112)</f>
        <v>0</v>
      </c>
      <c r="D113" s="337">
        <f>MAX($B$112:D112)</f>
        <v>0</v>
      </c>
      <c r="E113" s="337">
        <f>MAX($B$112:E112)</f>
        <v>0</v>
      </c>
      <c r="F113" s="337">
        <f>MAX($B$112:F112)</f>
        <v>0</v>
      </c>
      <c r="G113" s="337">
        <f>MAX($B$112:G112)</f>
        <v>0</v>
      </c>
      <c r="H113" s="337">
        <f>MAX($B$112:H112)</f>
        <v>0</v>
      </c>
      <c r="I113" s="337">
        <f>MAX($B$112:I112)</f>
        <v>0</v>
      </c>
      <c r="J113" s="337">
        <f>MAX($B$112:J112)</f>
        <v>0</v>
      </c>
      <c r="K113" s="337">
        <f>MAX($B$112:K112)</f>
        <v>0</v>
      </c>
      <c r="L113" s="337">
        <f>MAX($B$112:L112)</f>
        <v>0</v>
      </c>
      <c r="M113" s="337">
        <f>MAX($B$112:M112)</f>
        <v>0</v>
      </c>
      <c r="N113" s="337">
        <f>MAX($B$112:N112)</f>
        <v>0</v>
      </c>
      <c r="O113" s="337">
        <f>MAX($B$112:O112)</f>
        <v>0</v>
      </c>
      <c r="P113" s="337">
        <f>MAX($B$112:P112)</f>
        <v>0</v>
      </c>
      <c r="Q113" s="337">
        <f>MAX($B$112:Q112)</f>
        <v>0</v>
      </c>
      <c r="R113" s="337">
        <f>MAX($B$112:R112)</f>
        <v>0</v>
      </c>
      <c r="S113" s="337">
        <f>MAX($B$112:S112)</f>
        <v>0</v>
      </c>
      <c r="T113" s="337">
        <f>MAX($B$112:T112)</f>
        <v>0</v>
      </c>
      <c r="U113" s="337">
        <f>MAX($B$112:U112)</f>
        <v>0</v>
      </c>
      <c r="V113" s="337">
        <f>MAX($B$112:V112)</f>
        <v>0</v>
      </c>
      <c r="W113" s="337">
        <f>MAX($B$112:W112)</f>
        <v>0</v>
      </c>
      <c r="X113" s="337">
        <f>MAX($B$112:X112)</f>
        <v>0</v>
      </c>
      <c r="Y113" s="337">
        <f>MAX($B$112:Y112)</f>
        <v>0</v>
      </c>
      <c r="Z113" s="337">
        <f>MAX($B$112:Z112)</f>
        <v>0</v>
      </c>
      <c r="AA113" s="337">
        <f>MAX($B$112:AA112)</f>
        <v>0</v>
      </c>
      <c r="AB113" s="337">
        <f>MAX($B$112:AB112)</f>
        <v>0</v>
      </c>
      <c r="AC113" s="337">
        <f>MAX($B$112:AC112)</f>
        <v>0</v>
      </c>
      <c r="AD113" s="337">
        <f>MAX($B$112:AD112)</f>
        <v>0</v>
      </c>
      <c r="AE113" s="337">
        <f>MAX($B$112:AE112)</f>
        <v>0</v>
      </c>
      <c r="AF113" s="337">
        <f>MAX($B$112:AF112)</f>
        <v>0</v>
      </c>
      <c r="AG113" s="337">
        <f>MAX($B$112:AG112)</f>
        <v>0</v>
      </c>
      <c r="AH113" s="337">
        <f>MAX($B$112:AH112)</f>
        <v>0</v>
      </c>
      <c r="AI113" s="337">
        <f>MAX($B$112:AI112)</f>
        <v>0</v>
      </c>
      <c r="AJ113" s="337">
        <f>MAX($B$112:AJ112)</f>
        <v>0</v>
      </c>
      <c r="AK113" s="337">
        <f>MAX($B$112:AK112)</f>
        <v>0</v>
      </c>
      <c r="AL113" s="337">
        <f>MAX($B$112:AL112)</f>
        <v>0</v>
      </c>
      <c r="AM113" s="337">
        <f>MAX($B$112:AM112)</f>
        <v>0</v>
      </c>
      <c r="AN113" s="337">
        <f>MAX($B$112:AN112)</f>
        <v>0</v>
      </c>
      <c r="AO113" s="337">
        <f>MAX($B$112:AO112)</f>
        <v>0</v>
      </c>
      <c r="AP113" s="337">
        <f>MAX($B$112:AP112)</f>
        <v>0</v>
      </c>
    </row>
    <row r="114" spans="1:42" x14ac:dyDescent="0.2">
      <c r="A114" s="163" t="s">
        <v>308</v>
      </c>
      <c r="B114" s="264">
        <f>SUM(C114:AP114)</f>
        <v>0</v>
      </c>
      <c r="C114" s="257">
        <f t="shared" ref="C114:AP114" si="58">IF(AND(B113&lt;flip_target_percent,C113&gt;=flip_target_percent),C$2,0)</f>
        <v>0</v>
      </c>
      <c r="D114" s="257">
        <f t="shared" si="58"/>
        <v>0</v>
      </c>
      <c r="E114" s="257">
        <f t="shared" si="58"/>
        <v>0</v>
      </c>
      <c r="F114" s="257">
        <f t="shared" si="58"/>
        <v>0</v>
      </c>
      <c r="G114" s="257">
        <f t="shared" si="58"/>
        <v>0</v>
      </c>
      <c r="H114" s="257">
        <f t="shared" si="58"/>
        <v>0</v>
      </c>
      <c r="I114" s="257">
        <f t="shared" si="58"/>
        <v>0</v>
      </c>
      <c r="J114" s="257">
        <f t="shared" si="58"/>
        <v>0</v>
      </c>
      <c r="K114" s="257">
        <f t="shared" si="58"/>
        <v>0</v>
      </c>
      <c r="L114" s="257">
        <f t="shared" si="58"/>
        <v>0</v>
      </c>
      <c r="M114" s="257">
        <f t="shared" si="58"/>
        <v>0</v>
      </c>
      <c r="N114" s="257">
        <f>IF(AND(M113&lt;flip_target_percent,N113&gt;=flip_target_percent),N$2,0)</f>
        <v>0</v>
      </c>
      <c r="O114" s="257">
        <f t="shared" si="58"/>
        <v>0</v>
      </c>
      <c r="P114" s="257">
        <f t="shared" si="58"/>
        <v>0</v>
      </c>
      <c r="Q114" s="257">
        <f t="shared" si="58"/>
        <v>0</v>
      </c>
      <c r="R114" s="257">
        <f t="shared" si="58"/>
        <v>0</v>
      </c>
      <c r="S114" s="257">
        <f t="shared" si="58"/>
        <v>0</v>
      </c>
      <c r="T114" s="257">
        <f t="shared" si="58"/>
        <v>0</v>
      </c>
      <c r="U114" s="257">
        <f t="shared" si="58"/>
        <v>0</v>
      </c>
      <c r="V114" s="257">
        <f t="shared" si="58"/>
        <v>0</v>
      </c>
      <c r="W114" s="257">
        <f t="shared" si="58"/>
        <v>0</v>
      </c>
      <c r="X114" s="257">
        <f t="shared" si="58"/>
        <v>0</v>
      </c>
      <c r="Y114" s="257">
        <f t="shared" si="58"/>
        <v>0</v>
      </c>
      <c r="Z114" s="257">
        <f t="shared" si="58"/>
        <v>0</v>
      </c>
      <c r="AA114" s="257">
        <f t="shared" si="58"/>
        <v>0</v>
      </c>
      <c r="AB114" s="257">
        <f t="shared" si="58"/>
        <v>0</v>
      </c>
      <c r="AC114" s="257">
        <f t="shared" si="58"/>
        <v>0</v>
      </c>
      <c r="AD114" s="257">
        <f t="shared" si="58"/>
        <v>0</v>
      </c>
      <c r="AE114" s="257">
        <f t="shared" si="58"/>
        <v>0</v>
      </c>
      <c r="AF114" s="257">
        <f t="shared" si="58"/>
        <v>0</v>
      </c>
      <c r="AG114" s="257">
        <f t="shared" si="58"/>
        <v>0</v>
      </c>
      <c r="AH114" s="257">
        <f t="shared" si="58"/>
        <v>0</v>
      </c>
      <c r="AI114" s="257">
        <f t="shared" si="58"/>
        <v>0</v>
      </c>
      <c r="AJ114" s="257">
        <f t="shared" si="58"/>
        <v>0</v>
      </c>
      <c r="AK114" s="257">
        <f t="shared" si="58"/>
        <v>0</v>
      </c>
      <c r="AL114" s="257">
        <f t="shared" si="58"/>
        <v>0</v>
      </c>
      <c r="AM114" s="257">
        <f t="shared" si="58"/>
        <v>0</v>
      </c>
      <c r="AN114" s="257">
        <f t="shared" si="58"/>
        <v>0</v>
      </c>
      <c r="AO114" s="257">
        <f t="shared" si="58"/>
        <v>0</v>
      </c>
      <c r="AP114" s="257">
        <f t="shared" si="58"/>
        <v>0</v>
      </c>
    </row>
    <row r="115" spans="1:42" x14ac:dyDescent="0.2">
      <c r="A115" s="163"/>
      <c r="B115" s="266"/>
      <c r="C115" s="257"/>
      <c r="D115" s="257"/>
      <c r="E115" s="257"/>
      <c r="F115" s="257"/>
      <c r="G115" s="257"/>
      <c r="H115" s="257"/>
      <c r="I115" s="257"/>
      <c r="J115" s="257"/>
      <c r="K115" s="257"/>
      <c r="L115" s="257"/>
      <c r="M115" s="257"/>
      <c r="N115" s="257"/>
      <c r="O115" s="257"/>
      <c r="P115" s="257"/>
      <c r="Q115" s="257"/>
      <c r="R115" s="257"/>
      <c r="S115" s="257"/>
      <c r="T115" s="257"/>
      <c r="U115" s="257"/>
      <c r="V115" s="257"/>
      <c r="W115" s="257"/>
      <c r="X115" s="257"/>
      <c r="Y115" s="257"/>
      <c r="Z115" s="257"/>
      <c r="AA115" s="257"/>
      <c r="AB115" s="257"/>
      <c r="AC115" s="257"/>
      <c r="AD115" s="257"/>
      <c r="AE115" s="257"/>
      <c r="AF115" s="257"/>
      <c r="AG115" s="257"/>
      <c r="AH115" s="257"/>
      <c r="AI115" s="257"/>
      <c r="AJ115" s="257"/>
      <c r="AK115" s="257"/>
      <c r="AL115" s="257"/>
      <c r="AM115" s="257"/>
      <c r="AN115" s="257"/>
      <c r="AO115" s="257"/>
      <c r="AP115" s="257"/>
    </row>
    <row r="116" spans="1:42" x14ac:dyDescent="0.2">
      <c r="A116" s="163" t="s">
        <v>312</v>
      </c>
      <c r="B116" s="296">
        <f>NPV(NominalDiscountRate/100,B110:AP110)</f>
        <v>-28083410.313583203</v>
      </c>
      <c r="C116" s="257"/>
      <c r="D116" s="257"/>
      <c r="E116" s="257"/>
      <c r="F116" s="257"/>
      <c r="G116" s="257"/>
      <c r="H116" s="257"/>
      <c r="I116" s="257"/>
      <c r="J116" s="257"/>
      <c r="K116" s="257"/>
      <c r="L116" s="257"/>
      <c r="M116" s="257"/>
      <c r="N116" s="257"/>
      <c r="O116" s="257"/>
      <c r="P116" s="257"/>
      <c r="Q116" s="257"/>
      <c r="R116" s="257"/>
      <c r="S116" s="257"/>
      <c r="T116" s="257"/>
      <c r="U116" s="257"/>
      <c r="V116" s="257"/>
      <c r="W116" s="257"/>
      <c r="X116" s="257"/>
      <c r="Y116" s="257"/>
      <c r="Z116" s="257"/>
      <c r="AA116" s="257"/>
      <c r="AB116" s="257"/>
      <c r="AC116" s="257"/>
      <c r="AD116" s="257"/>
      <c r="AE116" s="257"/>
      <c r="AF116" s="257"/>
      <c r="AG116" s="257"/>
      <c r="AH116" s="257"/>
      <c r="AI116" s="257"/>
      <c r="AJ116" s="257"/>
      <c r="AK116" s="257"/>
      <c r="AL116" s="257"/>
      <c r="AM116" s="257"/>
      <c r="AN116" s="257"/>
      <c r="AO116" s="257"/>
      <c r="AP116" s="257"/>
    </row>
    <row r="117" spans="1:42" s="168" customFormat="1" x14ac:dyDescent="0.2">
      <c r="A117" s="7"/>
      <c r="B117" s="262"/>
    </row>
    <row r="118" spans="1:42" s="168" customFormat="1" x14ac:dyDescent="0.2">
      <c r="A118" s="154" t="s">
        <v>314</v>
      </c>
      <c r="B118" s="359"/>
      <c r="C118" s="359"/>
      <c r="D118" s="359"/>
      <c r="E118" s="359"/>
      <c r="F118" s="359"/>
      <c r="G118" s="359"/>
      <c r="H118" s="359"/>
      <c r="I118" s="359"/>
      <c r="J118" s="359"/>
      <c r="K118" s="359"/>
      <c r="L118" s="359"/>
      <c r="M118" s="359"/>
      <c r="N118" s="359"/>
      <c r="O118" s="359"/>
      <c r="P118" s="359"/>
      <c r="Q118" s="359"/>
      <c r="R118" s="359"/>
      <c r="S118" s="359"/>
      <c r="T118" s="359"/>
      <c r="U118" s="359"/>
      <c r="V118" s="359"/>
      <c r="W118" s="359"/>
      <c r="X118" s="359"/>
      <c r="Y118" s="359"/>
      <c r="Z118" s="359"/>
      <c r="AA118" s="359"/>
      <c r="AB118" s="359"/>
      <c r="AC118" s="359"/>
      <c r="AD118" s="359"/>
      <c r="AE118" s="359"/>
      <c r="AF118" s="359"/>
      <c r="AG118" s="359"/>
      <c r="AH118" s="359"/>
      <c r="AI118" s="359"/>
      <c r="AJ118" s="359"/>
      <c r="AK118" s="359"/>
      <c r="AL118" s="359"/>
      <c r="AM118" s="359"/>
      <c r="AN118" s="359"/>
      <c r="AO118" s="359"/>
      <c r="AP118" s="359"/>
    </row>
    <row r="119" spans="1:42" x14ac:dyDescent="0.2">
      <c r="A119" s="29" t="s">
        <v>299</v>
      </c>
      <c r="B119" s="301">
        <f>B72</f>
        <v>-39347678.214573517</v>
      </c>
      <c r="C119" s="250">
        <f>C528+C166+C205-C36-C532</f>
        <v>2668868.3758508828</v>
      </c>
      <c r="D119" s="250">
        <f t="shared" ref="D119:AP119" si="59">D528+D166+D205-D36-D532</f>
        <v>4135417.9186535846</v>
      </c>
      <c r="E119" s="250">
        <f t="shared" si="59"/>
        <v>2612787.2290758127</v>
      </c>
      <c r="F119" s="250">
        <f t="shared" si="59"/>
        <v>1700602.5399522185</v>
      </c>
      <c r="G119" s="250">
        <f t="shared" si="59"/>
        <v>1703635.490436614</v>
      </c>
      <c r="H119" s="250">
        <f t="shared" si="59"/>
        <v>1021895.1872627394</v>
      </c>
      <c r="I119" s="250">
        <f t="shared" si="59"/>
        <v>341865.93350336858</v>
      </c>
      <c r="J119" s="250">
        <f t="shared" si="59"/>
        <v>349242.66763499612</v>
      </c>
      <c r="K119" s="250">
        <f t="shared" si="59"/>
        <v>357622.79588338465</v>
      </c>
      <c r="L119" s="250">
        <f t="shared" si="59"/>
        <v>367009.86302212777</v>
      </c>
      <c r="M119" s="250">
        <f t="shared" si="59"/>
        <v>377576.08931745787</v>
      </c>
      <c r="N119" s="250">
        <f t="shared" si="59"/>
        <v>908203.96583622787</v>
      </c>
      <c r="O119" s="250">
        <f t="shared" si="59"/>
        <v>1423639.8160059331</v>
      </c>
      <c r="P119" s="250">
        <f t="shared" si="59"/>
        <v>1108644.4850607314</v>
      </c>
      <c r="Q119" s="250">
        <f t="shared" si="59"/>
        <v>928385.99666762375</v>
      </c>
      <c r="R119" s="250">
        <f t="shared" si="59"/>
        <v>929397.93583745172</v>
      </c>
      <c r="S119" s="250">
        <f t="shared" si="59"/>
        <v>783057.7806701638</v>
      </c>
      <c r="T119" s="250">
        <f t="shared" si="59"/>
        <v>658770.42349521769</v>
      </c>
      <c r="U119" s="250">
        <f t="shared" si="59"/>
        <v>-474326.46201424248</v>
      </c>
      <c r="V119" s="250">
        <f t="shared" si="59"/>
        <v>-491093.74670604785</v>
      </c>
      <c r="W119" s="250">
        <f t="shared" si="59"/>
        <v>-519824.49656881287</v>
      </c>
      <c r="X119" s="250">
        <f t="shared" si="59"/>
        <v>-548854.50555515382</v>
      </c>
      <c r="Y119" s="250">
        <f t="shared" si="59"/>
        <v>-566519.75009276241</v>
      </c>
      <c r="Z119" s="250">
        <f t="shared" si="59"/>
        <v>113404.1211894236</v>
      </c>
      <c r="AA119" s="250">
        <f t="shared" si="59"/>
        <v>574910.87158432766</v>
      </c>
      <c r="AB119" s="250">
        <f t="shared" si="59"/>
        <v>0</v>
      </c>
      <c r="AC119" s="250">
        <f t="shared" si="59"/>
        <v>0</v>
      </c>
      <c r="AD119" s="250">
        <f t="shared" si="59"/>
        <v>0</v>
      </c>
      <c r="AE119" s="250">
        <f t="shared" si="59"/>
        <v>0</v>
      </c>
      <c r="AF119" s="250">
        <f t="shared" si="59"/>
        <v>0</v>
      </c>
      <c r="AG119" s="250">
        <f t="shared" si="59"/>
        <v>0</v>
      </c>
      <c r="AH119" s="250">
        <f t="shared" si="59"/>
        <v>0</v>
      </c>
      <c r="AI119" s="250">
        <f t="shared" si="59"/>
        <v>0</v>
      </c>
      <c r="AJ119" s="250">
        <f t="shared" si="59"/>
        <v>0</v>
      </c>
      <c r="AK119" s="250">
        <f t="shared" si="59"/>
        <v>0</v>
      </c>
      <c r="AL119" s="250">
        <f t="shared" si="59"/>
        <v>0</v>
      </c>
      <c r="AM119" s="250">
        <f t="shared" si="59"/>
        <v>0</v>
      </c>
      <c r="AN119" s="250">
        <f t="shared" si="59"/>
        <v>0</v>
      </c>
      <c r="AO119" s="250">
        <f t="shared" si="59"/>
        <v>0</v>
      </c>
      <c r="AP119" s="250">
        <f t="shared" si="59"/>
        <v>0</v>
      </c>
    </row>
    <row r="120" spans="1:42" x14ac:dyDescent="0.2">
      <c r="A120" s="29" t="s">
        <v>317</v>
      </c>
      <c r="B120" s="301"/>
      <c r="C120" s="250">
        <f>C12</f>
        <v>0</v>
      </c>
      <c r="D120" s="250">
        <f t="shared" ref="D120:AP120" si="60">D12</f>
        <v>0</v>
      </c>
      <c r="E120" s="250">
        <f t="shared" si="60"/>
        <v>0</v>
      </c>
      <c r="F120" s="250">
        <f t="shared" si="60"/>
        <v>0</v>
      </c>
      <c r="G120" s="250">
        <f t="shared" si="60"/>
        <v>0</v>
      </c>
      <c r="H120" s="250">
        <f t="shared" si="60"/>
        <v>0</v>
      </c>
      <c r="I120" s="250">
        <f t="shared" si="60"/>
        <v>0</v>
      </c>
      <c r="J120" s="250">
        <f t="shared" si="60"/>
        <v>0</v>
      </c>
      <c r="K120" s="250">
        <f t="shared" si="60"/>
        <v>0</v>
      </c>
      <c r="L120" s="250">
        <f t="shared" si="60"/>
        <v>0</v>
      </c>
      <c r="M120" s="250">
        <f t="shared" si="60"/>
        <v>0</v>
      </c>
      <c r="N120" s="250">
        <f t="shared" si="60"/>
        <v>0</v>
      </c>
      <c r="O120" s="250">
        <f t="shared" si="60"/>
        <v>0</v>
      </c>
      <c r="P120" s="250">
        <f t="shared" si="60"/>
        <v>0</v>
      </c>
      <c r="Q120" s="250">
        <f t="shared" si="60"/>
        <v>0</v>
      </c>
      <c r="R120" s="250">
        <f t="shared" si="60"/>
        <v>0</v>
      </c>
      <c r="S120" s="250">
        <f t="shared" si="60"/>
        <v>0</v>
      </c>
      <c r="T120" s="250">
        <f t="shared" si="60"/>
        <v>0</v>
      </c>
      <c r="U120" s="250">
        <f t="shared" si="60"/>
        <v>0</v>
      </c>
      <c r="V120" s="250">
        <f t="shared" si="60"/>
        <v>0</v>
      </c>
      <c r="W120" s="250">
        <f t="shared" si="60"/>
        <v>0</v>
      </c>
      <c r="X120" s="250">
        <f t="shared" si="60"/>
        <v>0</v>
      </c>
      <c r="Y120" s="250">
        <f t="shared" si="60"/>
        <v>0</v>
      </c>
      <c r="Z120" s="250">
        <f t="shared" si="60"/>
        <v>0</v>
      </c>
      <c r="AA120" s="250">
        <f t="shared" si="60"/>
        <v>0</v>
      </c>
      <c r="AB120" s="250">
        <f t="shared" si="60"/>
        <v>0</v>
      </c>
      <c r="AC120" s="250">
        <f t="shared" si="60"/>
        <v>0</v>
      </c>
      <c r="AD120" s="250">
        <f t="shared" si="60"/>
        <v>0</v>
      </c>
      <c r="AE120" s="250">
        <f t="shared" si="60"/>
        <v>0</v>
      </c>
      <c r="AF120" s="250">
        <f t="shared" si="60"/>
        <v>0</v>
      </c>
      <c r="AG120" s="250">
        <f t="shared" si="60"/>
        <v>0</v>
      </c>
      <c r="AH120" s="250">
        <f t="shared" si="60"/>
        <v>0</v>
      </c>
      <c r="AI120" s="250">
        <f t="shared" si="60"/>
        <v>0</v>
      </c>
      <c r="AJ120" s="250">
        <f t="shared" si="60"/>
        <v>0</v>
      </c>
      <c r="AK120" s="250">
        <f t="shared" si="60"/>
        <v>0</v>
      </c>
      <c r="AL120" s="250">
        <f t="shared" si="60"/>
        <v>0</v>
      </c>
      <c r="AM120" s="250">
        <f t="shared" si="60"/>
        <v>0</v>
      </c>
      <c r="AN120" s="250">
        <f t="shared" si="60"/>
        <v>0</v>
      </c>
      <c r="AO120" s="250">
        <f t="shared" si="60"/>
        <v>0</v>
      </c>
      <c r="AP120" s="250">
        <f t="shared" si="60"/>
        <v>0</v>
      </c>
    </row>
    <row r="121" spans="1:42" x14ac:dyDescent="0.2">
      <c r="A121" s="29" t="s">
        <v>300</v>
      </c>
      <c r="B121" s="301"/>
      <c r="C121" s="250">
        <f t="shared" ref="C121:AP121" si="61">C5</f>
        <v>0</v>
      </c>
      <c r="D121" s="250">
        <f t="shared" si="61"/>
        <v>0</v>
      </c>
      <c r="E121" s="250">
        <f t="shared" si="61"/>
        <v>0</v>
      </c>
      <c r="F121" s="250">
        <f t="shared" si="61"/>
        <v>0</v>
      </c>
      <c r="G121" s="250">
        <f t="shared" si="61"/>
        <v>0</v>
      </c>
      <c r="H121" s="250">
        <f t="shared" si="61"/>
        <v>0</v>
      </c>
      <c r="I121" s="250">
        <f t="shared" si="61"/>
        <v>0</v>
      </c>
      <c r="J121" s="250">
        <f t="shared" si="61"/>
        <v>0</v>
      </c>
      <c r="K121" s="250">
        <f t="shared" si="61"/>
        <v>0</v>
      </c>
      <c r="L121" s="250">
        <f t="shared" si="61"/>
        <v>0</v>
      </c>
      <c r="M121" s="250">
        <f t="shared" si="61"/>
        <v>0</v>
      </c>
      <c r="N121" s="250">
        <f t="shared" si="61"/>
        <v>0</v>
      </c>
      <c r="O121" s="250">
        <f t="shared" si="61"/>
        <v>0</v>
      </c>
      <c r="P121" s="250">
        <f t="shared" si="61"/>
        <v>0</v>
      </c>
      <c r="Q121" s="250">
        <f t="shared" si="61"/>
        <v>0</v>
      </c>
      <c r="R121" s="250">
        <f t="shared" si="61"/>
        <v>0</v>
      </c>
      <c r="S121" s="250">
        <f t="shared" si="61"/>
        <v>0</v>
      </c>
      <c r="T121" s="250">
        <f t="shared" si="61"/>
        <v>0</v>
      </c>
      <c r="U121" s="250">
        <f t="shared" si="61"/>
        <v>0</v>
      </c>
      <c r="V121" s="250">
        <f t="shared" si="61"/>
        <v>0</v>
      </c>
      <c r="W121" s="250">
        <f t="shared" si="61"/>
        <v>0</v>
      </c>
      <c r="X121" s="250">
        <f t="shared" si="61"/>
        <v>0</v>
      </c>
      <c r="Y121" s="250">
        <f t="shared" si="61"/>
        <v>0</v>
      </c>
      <c r="Z121" s="250">
        <f t="shared" si="61"/>
        <v>0</v>
      </c>
      <c r="AA121" s="250">
        <f t="shared" si="61"/>
        <v>0</v>
      </c>
      <c r="AB121" s="250">
        <f t="shared" si="61"/>
        <v>0</v>
      </c>
      <c r="AC121" s="250">
        <f t="shared" si="61"/>
        <v>0</v>
      </c>
      <c r="AD121" s="250">
        <f t="shared" si="61"/>
        <v>0</v>
      </c>
      <c r="AE121" s="250">
        <f t="shared" si="61"/>
        <v>0</v>
      </c>
      <c r="AF121" s="250">
        <f t="shared" si="61"/>
        <v>0</v>
      </c>
      <c r="AG121" s="250">
        <f t="shared" si="61"/>
        <v>0</v>
      </c>
      <c r="AH121" s="250">
        <f t="shared" si="61"/>
        <v>0</v>
      </c>
      <c r="AI121" s="250">
        <f t="shared" si="61"/>
        <v>0</v>
      </c>
      <c r="AJ121" s="250">
        <f t="shared" si="61"/>
        <v>0</v>
      </c>
      <c r="AK121" s="250">
        <f t="shared" si="61"/>
        <v>0</v>
      </c>
      <c r="AL121" s="250">
        <f t="shared" si="61"/>
        <v>0</v>
      </c>
      <c r="AM121" s="250">
        <f t="shared" si="61"/>
        <v>0</v>
      </c>
      <c r="AN121" s="250">
        <f t="shared" si="61"/>
        <v>0</v>
      </c>
      <c r="AO121" s="250">
        <f t="shared" si="61"/>
        <v>0</v>
      </c>
      <c r="AP121" s="250">
        <f t="shared" si="61"/>
        <v>0</v>
      </c>
    </row>
    <row r="122" spans="1:42" s="168" customFormat="1" x14ac:dyDescent="0.2">
      <c r="A122" s="7"/>
      <c r="G122" s="262"/>
      <c r="H122" s="262"/>
      <c r="I122" s="262"/>
      <c r="J122" s="262"/>
      <c r="K122" s="262"/>
      <c r="L122" s="262"/>
      <c r="M122" s="262"/>
      <c r="N122" s="262"/>
      <c r="O122" s="262"/>
      <c r="P122" s="262"/>
      <c r="Q122" s="262"/>
      <c r="R122" s="262"/>
      <c r="S122" s="262"/>
      <c r="T122" s="262"/>
      <c r="U122" s="262"/>
      <c r="V122" s="262"/>
      <c r="W122" s="262"/>
      <c r="X122" s="262"/>
      <c r="Y122" s="262"/>
      <c r="Z122" s="262"/>
      <c r="AA122" s="262"/>
      <c r="AB122" s="262"/>
      <c r="AC122" s="262"/>
      <c r="AD122" s="262"/>
      <c r="AE122" s="262"/>
      <c r="AF122" s="262"/>
      <c r="AG122" s="262"/>
      <c r="AH122" s="262"/>
      <c r="AI122" s="262"/>
      <c r="AJ122" s="262"/>
      <c r="AK122" s="262"/>
      <c r="AL122" s="262"/>
      <c r="AM122" s="262"/>
      <c r="AN122" s="262"/>
      <c r="AO122" s="262"/>
      <c r="AP122" s="262"/>
    </row>
    <row r="123" spans="1:42" s="168" customFormat="1" x14ac:dyDescent="0.2">
      <c r="A123" s="7" t="s">
        <v>298</v>
      </c>
      <c r="B123" s="253">
        <f>NPV(NominalDiscountRate/100,C119:AP119)-B119</f>
        <v>51691443.521985486</v>
      </c>
      <c r="C123" s="250"/>
      <c r="D123" s="250"/>
      <c r="G123" s="262"/>
      <c r="H123" s="262"/>
      <c r="I123" s="262"/>
      <c r="J123" s="262"/>
      <c r="K123" s="262"/>
      <c r="L123" s="262"/>
      <c r="M123" s="262"/>
      <c r="N123" s="262"/>
      <c r="O123" s="262"/>
      <c r="P123" s="262"/>
      <c r="Q123" s="262"/>
      <c r="R123" s="262"/>
      <c r="S123" s="262"/>
      <c r="T123" s="262"/>
      <c r="U123" s="262"/>
      <c r="V123" s="262"/>
      <c r="W123" s="262"/>
      <c r="X123" s="262"/>
      <c r="Y123" s="262"/>
      <c r="Z123" s="262"/>
      <c r="AA123" s="262"/>
      <c r="AB123" s="262"/>
      <c r="AC123" s="262"/>
      <c r="AD123" s="262"/>
      <c r="AE123" s="262"/>
      <c r="AF123" s="262"/>
      <c r="AG123" s="262"/>
      <c r="AH123" s="262"/>
      <c r="AI123" s="262"/>
      <c r="AJ123" s="262"/>
      <c r="AK123" s="262"/>
      <c r="AL123" s="262"/>
      <c r="AM123" s="262"/>
      <c r="AN123" s="262"/>
      <c r="AO123" s="262"/>
      <c r="AP123" s="262"/>
    </row>
    <row r="124" spans="1:42" s="168" customFormat="1" x14ac:dyDescent="0.2">
      <c r="A124" s="7" t="s">
        <v>297</v>
      </c>
      <c r="B124" s="253">
        <f>NPV(NominalDiscountRate/100,C121:AP121)</f>
        <v>0</v>
      </c>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c r="AD124" s="262"/>
      <c r="AE124" s="262"/>
      <c r="AF124" s="262"/>
      <c r="AG124" s="262"/>
      <c r="AH124" s="262"/>
      <c r="AI124" s="262"/>
      <c r="AJ124" s="262"/>
      <c r="AK124" s="262"/>
      <c r="AL124" s="262"/>
      <c r="AM124" s="262"/>
      <c r="AN124" s="262"/>
      <c r="AO124" s="262"/>
      <c r="AP124" s="262"/>
    </row>
    <row r="125" spans="1:42" s="168" customFormat="1" x14ac:dyDescent="0.2">
      <c r="A125" s="7" t="s">
        <v>309</v>
      </c>
      <c r="B125" s="352" t="e">
        <f>B123/B124*100</f>
        <v>#DIV/0!</v>
      </c>
      <c r="G125" s="262"/>
      <c r="H125" s="262"/>
      <c r="I125" s="262"/>
      <c r="J125" s="262"/>
      <c r="K125" s="262"/>
      <c r="L125" s="262"/>
      <c r="M125" s="262"/>
      <c r="N125" s="262"/>
      <c r="O125" s="262"/>
      <c r="P125" s="262"/>
      <c r="Q125" s="262"/>
      <c r="R125" s="262"/>
      <c r="S125" s="262"/>
      <c r="T125" s="262"/>
      <c r="U125" s="262"/>
      <c r="V125" s="262"/>
      <c r="W125" s="262"/>
      <c r="X125" s="262"/>
      <c r="Y125" s="262"/>
      <c r="Z125" s="262"/>
      <c r="AA125" s="262"/>
      <c r="AB125" s="262"/>
      <c r="AC125" s="262"/>
      <c r="AD125" s="262"/>
      <c r="AE125" s="262"/>
      <c r="AF125" s="262"/>
      <c r="AG125" s="262"/>
      <c r="AH125" s="262"/>
      <c r="AI125" s="262"/>
      <c r="AJ125" s="262"/>
      <c r="AK125" s="262"/>
      <c r="AL125" s="262"/>
      <c r="AM125" s="262"/>
      <c r="AN125" s="262"/>
      <c r="AO125" s="262"/>
      <c r="AP125" s="262"/>
    </row>
    <row r="126" spans="1:42" s="168" customFormat="1" x14ac:dyDescent="0.2">
      <c r="A126" s="7"/>
      <c r="B126" s="336"/>
      <c r="G126" s="262"/>
      <c r="H126" s="262"/>
      <c r="I126" s="262"/>
      <c r="J126" s="262"/>
      <c r="K126" s="262"/>
      <c r="L126" s="262"/>
      <c r="M126" s="262"/>
      <c r="N126" s="262"/>
      <c r="O126" s="262"/>
      <c r="P126" s="262"/>
      <c r="Q126" s="262"/>
      <c r="R126" s="262"/>
      <c r="S126" s="262"/>
      <c r="T126" s="262"/>
      <c r="U126" s="262"/>
      <c r="V126" s="262"/>
      <c r="W126" s="262"/>
      <c r="X126" s="262"/>
      <c r="Y126" s="262"/>
      <c r="Z126" s="262"/>
      <c r="AA126" s="262"/>
      <c r="AB126" s="262"/>
      <c r="AC126" s="262"/>
      <c r="AD126" s="262"/>
      <c r="AE126" s="262"/>
      <c r="AF126" s="262"/>
      <c r="AG126" s="262"/>
      <c r="AH126" s="262"/>
      <c r="AI126" s="262"/>
      <c r="AJ126" s="262"/>
      <c r="AK126" s="262"/>
      <c r="AL126" s="262"/>
      <c r="AM126" s="262"/>
      <c r="AN126" s="262"/>
      <c r="AO126" s="262"/>
      <c r="AP126" s="262"/>
    </row>
    <row r="127" spans="1:42" s="168" customFormat="1" x14ac:dyDescent="0.2">
      <c r="A127" s="7" t="s">
        <v>318</v>
      </c>
      <c r="B127" s="253">
        <f>NPV(NominalDiscountRate/100,C120:AP120)</f>
        <v>0</v>
      </c>
      <c r="G127" s="262"/>
      <c r="H127" s="262"/>
      <c r="I127" s="262"/>
      <c r="J127" s="262"/>
      <c r="K127" s="262"/>
      <c r="L127" s="262"/>
      <c r="M127" s="262"/>
      <c r="N127" s="262"/>
      <c r="O127" s="262"/>
      <c r="P127" s="262"/>
      <c r="Q127" s="262"/>
      <c r="R127" s="262"/>
      <c r="S127" s="262"/>
      <c r="T127" s="262"/>
      <c r="U127" s="262"/>
      <c r="V127" s="262"/>
      <c r="W127" s="262"/>
      <c r="X127" s="262"/>
      <c r="Y127" s="262"/>
      <c r="Z127" s="262"/>
      <c r="AA127" s="262"/>
      <c r="AB127" s="262"/>
      <c r="AC127" s="262"/>
      <c r="AD127" s="262"/>
      <c r="AE127" s="262"/>
      <c r="AF127" s="262"/>
      <c r="AG127" s="262"/>
      <c r="AH127" s="262"/>
      <c r="AI127" s="262"/>
      <c r="AJ127" s="262"/>
      <c r="AK127" s="262"/>
      <c r="AL127" s="262"/>
      <c r="AM127" s="262"/>
      <c r="AN127" s="262"/>
      <c r="AO127" s="262"/>
      <c r="AP127" s="262"/>
    </row>
    <row r="128" spans="1:42" s="168" customFormat="1" x14ac:dyDescent="0.2">
      <c r="A128" s="7" t="s">
        <v>297</v>
      </c>
      <c r="B128" s="253">
        <f>B124</f>
        <v>0</v>
      </c>
      <c r="G128" s="262"/>
      <c r="H128" s="262"/>
      <c r="I128" s="262"/>
      <c r="J128" s="262"/>
      <c r="K128" s="262"/>
      <c r="L128" s="262"/>
      <c r="M128" s="262"/>
      <c r="N128" s="262"/>
      <c r="O128" s="262"/>
      <c r="P128" s="262"/>
      <c r="Q128" s="262"/>
      <c r="R128" s="262"/>
      <c r="S128" s="262"/>
      <c r="T128" s="262"/>
      <c r="U128" s="262"/>
      <c r="V128" s="262"/>
      <c r="W128" s="262"/>
      <c r="X128" s="262"/>
      <c r="Y128" s="262"/>
      <c r="Z128" s="262"/>
      <c r="AA128" s="262"/>
      <c r="AB128" s="262"/>
      <c r="AC128" s="262"/>
      <c r="AD128" s="262"/>
      <c r="AE128" s="262"/>
      <c r="AF128" s="262"/>
      <c r="AG128" s="262"/>
      <c r="AH128" s="262"/>
      <c r="AI128" s="262"/>
      <c r="AJ128" s="262"/>
      <c r="AK128" s="262"/>
      <c r="AL128" s="262"/>
      <c r="AM128" s="262"/>
      <c r="AN128" s="262"/>
      <c r="AO128" s="262"/>
      <c r="AP128" s="262"/>
    </row>
    <row r="129" spans="1:42" s="168" customFormat="1" x14ac:dyDescent="0.2">
      <c r="A129" s="7" t="s">
        <v>310</v>
      </c>
      <c r="B129" s="352" t="e">
        <f>B127/B128*100</f>
        <v>#DIV/0!</v>
      </c>
      <c r="G129" s="262"/>
      <c r="H129" s="262"/>
      <c r="I129" s="262"/>
      <c r="J129" s="262"/>
      <c r="K129" s="262"/>
      <c r="L129" s="262"/>
      <c r="M129" s="262"/>
      <c r="N129" s="262"/>
      <c r="O129" s="262"/>
      <c r="P129" s="262"/>
      <c r="Q129" s="262"/>
      <c r="R129" s="262"/>
      <c r="S129" s="262"/>
      <c r="T129" s="262"/>
      <c r="U129" s="262"/>
      <c r="V129" s="262"/>
      <c r="W129" s="262"/>
      <c r="X129" s="262"/>
      <c r="Y129" s="262"/>
      <c r="Z129" s="262"/>
      <c r="AA129" s="262"/>
      <c r="AB129" s="262"/>
      <c r="AC129" s="262"/>
      <c r="AD129" s="262"/>
      <c r="AE129" s="262"/>
      <c r="AF129" s="262"/>
      <c r="AG129" s="262"/>
      <c r="AH129" s="262"/>
      <c r="AI129" s="262"/>
      <c r="AJ129" s="262"/>
      <c r="AK129" s="262"/>
      <c r="AL129" s="262"/>
      <c r="AM129" s="262"/>
      <c r="AN129" s="262"/>
      <c r="AO129" s="262"/>
      <c r="AP129" s="262"/>
    </row>
    <row r="130" spans="1:42" s="168" customFormat="1" x14ac:dyDescent="0.2">
      <c r="A130" s="7"/>
      <c r="G130" s="262"/>
      <c r="H130" s="262"/>
      <c r="I130" s="262"/>
      <c r="J130" s="262"/>
      <c r="K130" s="262"/>
      <c r="L130" s="262"/>
      <c r="M130" s="262"/>
      <c r="N130" s="262"/>
      <c r="O130" s="262"/>
      <c r="P130" s="262"/>
      <c r="Q130" s="262"/>
      <c r="R130" s="262"/>
      <c r="S130" s="262"/>
      <c r="T130" s="262"/>
      <c r="U130" s="262"/>
      <c r="V130" s="262"/>
      <c r="W130" s="262"/>
      <c r="X130" s="262"/>
      <c r="Y130" s="262"/>
      <c r="Z130" s="262"/>
      <c r="AA130" s="262"/>
      <c r="AB130" s="262"/>
      <c r="AC130" s="262"/>
      <c r="AD130" s="262"/>
      <c r="AE130" s="262"/>
      <c r="AF130" s="262"/>
      <c r="AG130" s="262"/>
      <c r="AH130" s="262"/>
      <c r="AI130" s="262"/>
      <c r="AJ130" s="262"/>
      <c r="AK130" s="262"/>
      <c r="AL130" s="262"/>
      <c r="AM130" s="262"/>
      <c r="AN130" s="262"/>
      <c r="AO130" s="262"/>
      <c r="AP130" s="262"/>
    </row>
    <row r="131" spans="1:42" s="168" customFormat="1" x14ac:dyDescent="0.2">
      <c r="A131" s="154" t="s">
        <v>45</v>
      </c>
      <c r="B131" s="359"/>
      <c r="C131" s="359"/>
      <c r="D131" s="359"/>
      <c r="E131" s="359"/>
      <c r="F131" s="359"/>
      <c r="G131" s="359"/>
      <c r="H131" s="359"/>
      <c r="I131" s="359"/>
      <c r="J131" s="359"/>
      <c r="K131" s="359"/>
      <c r="L131" s="359"/>
      <c r="M131" s="359"/>
      <c r="N131" s="359"/>
      <c r="O131" s="359"/>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row>
    <row r="132" spans="1:42" s="263" customFormat="1" x14ac:dyDescent="0.2">
      <c r="A132" s="35" t="s">
        <v>59</v>
      </c>
    </row>
    <row r="133" spans="1:42" s="21" customFormat="1" x14ac:dyDescent="0.2">
      <c r="A133" s="164" t="s">
        <v>46</v>
      </c>
      <c r="B133" s="263"/>
      <c r="C133" s="244">
        <f t="shared" ref="C133:AP133" si="62">C38</f>
        <v>-492650</v>
      </c>
      <c r="D133" s="244">
        <f t="shared" si="62"/>
        <v>-504966.24999999988</v>
      </c>
      <c r="E133" s="244">
        <f t="shared" si="62"/>
        <v>-517590.40625</v>
      </c>
      <c r="F133" s="244">
        <f t="shared" si="62"/>
        <v>-530530.16640624986</v>
      </c>
      <c r="G133" s="244">
        <f t="shared" si="62"/>
        <v>-543793.4205664061</v>
      </c>
      <c r="H133" s="244">
        <f t="shared" si="62"/>
        <v>-557388.25608056621</v>
      </c>
      <c r="I133" s="244">
        <f t="shared" si="62"/>
        <v>-571322.96248258033</v>
      </c>
      <c r="J133" s="244">
        <f t="shared" si="62"/>
        <v>-585606.03654464486</v>
      </c>
      <c r="K133" s="244">
        <f t="shared" si="62"/>
        <v>-600246.18745826092</v>
      </c>
      <c r="L133" s="244">
        <f t="shared" si="62"/>
        <v>-615252.34214471735</v>
      </c>
      <c r="M133" s="244">
        <f t="shared" si="62"/>
        <v>-630633.65069833538</v>
      </c>
      <c r="N133" s="244">
        <f t="shared" si="62"/>
        <v>-646399.49196579377</v>
      </c>
      <c r="O133" s="244">
        <f t="shared" si="62"/>
        <v>-662559.47926493851</v>
      </c>
      <c r="P133" s="244">
        <f t="shared" si="62"/>
        <v>-679123.46624656185</v>
      </c>
      <c r="Q133" s="244">
        <f t="shared" si="62"/>
        <v>-696101.55290272599</v>
      </c>
      <c r="R133" s="244">
        <f t="shared" si="62"/>
        <v>-713504.09172529413</v>
      </c>
      <c r="S133" s="244">
        <f t="shared" si="62"/>
        <v>-731341.69401842647</v>
      </c>
      <c r="T133" s="244">
        <f t="shared" si="62"/>
        <v>-749625.23636888689</v>
      </c>
      <c r="U133" s="244">
        <f t="shared" si="62"/>
        <v>-768365.86727810919</v>
      </c>
      <c r="V133" s="244">
        <f t="shared" si="62"/>
        <v>-787575.01396006194</v>
      </c>
      <c r="W133" s="244">
        <f t="shared" si="62"/>
        <v>-807264.38930906332</v>
      </c>
      <c r="X133" s="244">
        <f t="shared" si="62"/>
        <v>-827445.99904178991</v>
      </c>
      <c r="Y133" s="244">
        <f t="shared" si="62"/>
        <v>-848132.14901783457</v>
      </c>
      <c r="Z133" s="244">
        <f t="shared" si="62"/>
        <v>-869335.45274328045</v>
      </c>
      <c r="AA133" s="244">
        <f t="shared" si="62"/>
        <v>-891068.83906186256</v>
      </c>
      <c r="AB133" s="244">
        <f t="shared" si="62"/>
        <v>0</v>
      </c>
      <c r="AC133" s="244">
        <f t="shared" si="62"/>
        <v>0</v>
      </c>
      <c r="AD133" s="244">
        <f t="shared" si="62"/>
        <v>0</v>
      </c>
      <c r="AE133" s="244">
        <f t="shared" si="62"/>
        <v>0</v>
      </c>
      <c r="AF133" s="244">
        <f t="shared" si="62"/>
        <v>0</v>
      </c>
      <c r="AG133" s="244">
        <f t="shared" si="62"/>
        <v>0</v>
      </c>
      <c r="AH133" s="244">
        <f t="shared" si="62"/>
        <v>0</v>
      </c>
      <c r="AI133" s="244">
        <f t="shared" si="62"/>
        <v>0</v>
      </c>
      <c r="AJ133" s="244">
        <f t="shared" si="62"/>
        <v>0</v>
      </c>
      <c r="AK133" s="244">
        <f t="shared" si="62"/>
        <v>0</v>
      </c>
      <c r="AL133" s="244">
        <f t="shared" si="62"/>
        <v>0</v>
      </c>
      <c r="AM133" s="244">
        <f t="shared" si="62"/>
        <v>0</v>
      </c>
      <c r="AN133" s="244">
        <f t="shared" si="62"/>
        <v>0</v>
      </c>
      <c r="AO133" s="244">
        <f t="shared" si="62"/>
        <v>0</v>
      </c>
      <c r="AP133" s="244">
        <f t="shared" si="62"/>
        <v>0</v>
      </c>
    </row>
    <row r="134" spans="1:42" s="21" customFormat="1" x14ac:dyDescent="0.2">
      <c r="A134" s="164" t="s">
        <v>55</v>
      </c>
      <c r="B134" s="263"/>
      <c r="C134" s="244">
        <f t="shared" ref="C134:AP134" si="63">C656</f>
        <v>-2684.9561717182937</v>
      </c>
      <c r="D134" s="244">
        <f t="shared" si="63"/>
        <v>6907.2117257108084</v>
      </c>
      <c r="E134" s="244">
        <f t="shared" si="63"/>
        <v>16500.001356913952</v>
      </c>
      <c r="F134" s="244">
        <f t="shared" si="63"/>
        <v>26093.428265235481</v>
      </c>
      <c r="G134" s="244">
        <f t="shared" si="63"/>
        <v>35687.508382603359</v>
      </c>
      <c r="H134" s="244">
        <f t="shared" si="63"/>
        <v>45282.258039243745</v>
      </c>
      <c r="I134" s="244">
        <f t="shared" si="63"/>
        <v>54877.693973638452</v>
      </c>
      <c r="J134" s="244">
        <f t="shared" si="63"/>
        <v>64473.833342731334</v>
      </c>
      <c r="K134" s="244">
        <f t="shared" si="63"/>
        <v>74070.69373238986</v>
      </c>
      <c r="L134" s="244">
        <f t="shared" si="63"/>
        <v>83668.293168128163</v>
      </c>
      <c r="M134" s="244">
        <f t="shared" si="63"/>
        <v>93266.650126098233</v>
      </c>
      <c r="N134" s="244">
        <f t="shared" si="63"/>
        <v>102865.78354435586</v>
      </c>
      <c r="O134" s="244">
        <f t="shared" si="63"/>
        <v>-3610.9675489350561</v>
      </c>
      <c r="P134" s="244">
        <f t="shared" si="63"/>
        <v>9289.4318566114525</v>
      </c>
      <c r="Q134" s="244">
        <f t="shared" si="63"/>
        <v>22190.667424962321</v>
      </c>
      <c r="R134" s="244">
        <f t="shared" si="63"/>
        <v>35092.760060187655</v>
      </c>
      <c r="S134" s="244">
        <f t="shared" si="63"/>
        <v>47995.73118895934</v>
      </c>
      <c r="T134" s="244">
        <f t="shared" si="63"/>
        <v>60899.602773615996</v>
      </c>
      <c r="U134" s="244">
        <f t="shared" si="63"/>
        <v>83924.918698915921</v>
      </c>
      <c r="V134" s="244">
        <f t="shared" si="63"/>
        <v>96959.951625755071</v>
      </c>
      <c r="W134" s="244">
        <f t="shared" si="63"/>
        <v>109999.18655343092</v>
      </c>
      <c r="X134" s="244">
        <f t="shared" si="63"/>
        <v>123042.72853196433</v>
      </c>
      <c r="Y134" s="244">
        <f t="shared" si="63"/>
        <v>136090.68523762681</v>
      </c>
      <c r="Z134" s="244">
        <f t="shared" si="63"/>
        <v>149143.16703859653</v>
      </c>
      <c r="AA134" s="244">
        <f t="shared" si="63"/>
        <v>7796.8523417912975</v>
      </c>
      <c r="AB134" s="244">
        <f t="shared" si="63"/>
        <v>0</v>
      </c>
      <c r="AC134" s="244">
        <f t="shared" si="63"/>
        <v>0</v>
      </c>
      <c r="AD134" s="244">
        <f t="shared" si="63"/>
        <v>0</v>
      </c>
      <c r="AE134" s="244">
        <f t="shared" si="63"/>
        <v>0</v>
      </c>
      <c r="AF134" s="244">
        <f t="shared" si="63"/>
        <v>0</v>
      </c>
      <c r="AG134" s="244">
        <f t="shared" si="63"/>
        <v>0</v>
      </c>
      <c r="AH134" s="244">
        <f t="shared" si="63"/>
        <v>0</v>
      </c>
      <c r="AI134" s="244">
        <f t="shared" si="63"/>
        <v>0</v>
      </c>
      <c r="AJ134" s="244">
        <f t="shared" si="63"/>
        <v>0</v>
      </c>
      <c r="AK134" s="244">
        <f t="shared" si="63"/>
        <v>0</v>
      </c>
      <c r="AL134" s="244">
        <f t="shared" si="63"/>
        <v>0</v>
      </c>
      <c r="AM134" s="244">
        <f t="shared" si="63"/>
        <v>0</v>
      </c>
      <c r="AN134" s="244">
        <f t="shared" si="63"/>
        <v>0</v>
      </c>
      <c r="AO134" s="244">
        <f t="shared" si="63"/>
        <v>0</v>
      </c>
      <c r="AP134" s="244">
        <f t="shared" si="63"/>
        <v>0</v>
      </c>
    </row>
    <row r="135" spans="1:42" s="21" customFormat="1" x14ac:dyDescent="0.2">
      <c r="A135" s="164" t="s">
        <v>47</v>
      </c>
      <c r="B135" s="263"/>
      <c r="C135" s="244">
        <f t="shared" ref="C135:AP135" si="64">-C533</f>
        <v>635080.01065384725</v>
      </c>
      <c r="D135" s="244">
        <f t="shared" si="64"/>
        <v>623570.4620258701</v>
      </c>
      <c r="E135" s="244">
        <f t="shared" si="64"/>
        <v>610592.06230162713</v>
      </c>
      <c r="F135" s="244">
        <f t="shared" si="64"/>
        <v>596025.4123370715</v>
      </c>
      <c r="G135" s="244">
        <f t="shared" si="64"/>
        <v>579742.3405588913</v>
      </c>
      <c r="H135" s="244">
        <f t="shared" si="64"/>
        <v>561605.27853223006</v>
      </c>
      <c r="I135" s="244">
        <f t="shared" si="64"/>
        <v>541466.59255909396</v>
      </c>
      <c r="J135" s="244">
        <f t="shared" si="64"/>
        <v>519167.86822311446</v>
      </c>
      <c r="K135" s="244">
        <f t="shared" si="64"/>
        <v>494539.14458027453</v>
      </c>
      <c r="L135" s="244">
        <f t="shared" si="64"/>
        <v>467398.09446401033</v>
      </c>
      <c r="M135" s="244">
        <f t="shared" si="64"/>
        <v>437549.14712572144</v>
      </c>
      <c r="N135" s="244">
        <f t="shared" si="64"/>
        <v>404782.54916701908</v>
      </c>
      <c r="O135" s="244">
        <f t="shared" si="64"/>
        <v>368873.35943680594</v>
      </c>
      <c r="P135" s="244">
        <f t="shared" si="64"/>
        <v>319427.5906573562</v>
      </c>
      <c r="Q135" s="244">
        <f t="shared" si="64"/>
        <v>265628.71107202681</v>
      </c>
      <c r="R135" s="244">
        <f t="shared" si="64"/>
        <v>207149.70524962316</v>
      </c>
      <c r="S135" s="244">
        <f t="shared" si="64"/>
        <v>143640.10923689767</v>
      </c>
      <c r="T135" s="244">
        <f t="shared" si="64"/>
        <v>74724.355225958832</v>
      </c>
      <c r="U135" s="244">
        <f t="shared" si="64"/>
        <v>0</v>
      </c>
      <c r="V135" s="244">
        <f t="shared" si="64"/>
        <v>0</v>
      </c>
      <c r="W135" s="244">
        <f t="shared" si="64"/>
        <v>0</v>
      </c>
      <c r="X135" s="244">
        <f t="shared" si="64"/>
        <v>0</v>
      </c>
      <c r="Y135" s="244">
        <f t="shared" si="64"/>
        <v>0</v>
      </c>
      <c r="Z135" s="244">
        <f t="shared" si="64"/>
        <v>0</v>
      </c>
      <c r="AA135" s="244">
        <f t="shared" si="64"/>
        <v>0</v>
      </c>
      <c r="AB135" s="244">
        <f t="shared" si="64"/>
        <v>0</v>
      </c>
      <c r="AC135" s="244">
        <f t="shared" si="64"/>
        <v>0</v>
      </c>
      <c r="AD135" s="244">
        <f t="shared" si="64"/>
        <v>0</v>
      </c>
      <c r="AE135" s="244">
        <f t="shared" si="64"/>
        <v>0</v>
      </c>
      <c r="AF135" s="244">
        <f t="shared" si="64"/>
        <v>0</v>
      </c>
      <c r="AG135" s="244">
        <f t="shared" si="64"/>
        <v>0</v>
      </c>
      <c r="AH135" s="244">
        <f t="shared" si="64"/>
        <v>0</v>
      </c>
      <c r="AI135" s="244">
        <f t="shared" si="64"/>
        <v>0</v>
      </c>
      <c r="AJ135" s="244">
        <f t="shared" si="64"/>
        <v>0</v>
      </c>
      <c r="AK135" s="244">
        <f t="shared" si="64"/>
        <v>0</v>
      </c>
      <c r="AL135" s="244">
        <f t="shared" si="64"/>
        <v>0</v>
      </c>
      <c r="AM135" s="244">
        <f t="shared" si="64"/>
        <v>0</v>
      </c>
      <c r="AN135" s="244">
        <f t="shared" si="64"/>
        <v>0</v>
      </c>
      <c r="AO135" s="244">
        <f t="shared" si="64"/>
        <v>0</v>
      </c>
      <c r="AP135" s="244">
        <f t="shared" si="64"/>
        <v>0</v>
      </c>
    </row>
    <row r="136" spans="1:42" s="12" customFormat="1" x14ac:dyDescent="0.2">
      <c r="A136" s="164" t="s">
        <v>50</v>
      </c>
      <c r="B136" s="263"/>
      <c r="C136" s="219">
        <f t="shared" ref="C136:AP136" si="65">IF(C$2&lt;=analysis_period,-C257-C287-C313-C339,0)</f>
        <v>-6111973.2262652405</v>
      </c>
      <c r="D136" s="219">
        <f t="shared" si="65"/>
        <v>-9813015.8391280249</v>
      </c>
      <c r="E136" s="219">
        <f t="shared" si="65"/>
        <v>-5954484.1442114105</v>
      </c>
      <c r="F136" s="219">
        <f t="shared" si="65"/>
        <v>-3637712.5247764289</v>
      </c>
      <c r="G136" s="219">
        <f t="shared" si="65"/>
        <v>-3633167.8679426457</v>
      </c>
      <c r="H136" s="219">
        <f t="shared" si="65"/>
        <v>-1895220.2688831477</v>
      </c>
      <c r="I136" s="219">
        <f t="shared" si="65"/>
        <v>-159456.46596455917</v>
      </c>
      <c r="J136" s="219">
        <f t="shared" si="65"/>
        <v>-159456.46596455917</v>
      </c>
      <c r="K136" s="219">
        <f t="shared" si="65"/>
        <v>-159515.48748188105</v>
      </c>
      <c r="L136" s="219">
        <f t="shared" si="65"/>
        <v>-159456.46596455917</v>
      </c>
      <c r="M136" s="219">
        <f t="shared" si="65"/>
        <v>-159515.48748188105</v>
      </c>
      <c r="N136" s="219">
        <f t="shared" si="65"/>
        <v>-1471444.7545702888</v>
      </c>
      <c r="O136" s="219">
        <f t="shared" si="65"/>
        <v>-2258854.1399639067</v>
      </c>
      <c r="P136" s="219">
        <f t="shared" si="65"/>
        <v>-1418961.2882582382</v>
      </c>
      <c r="Q136" s="219">
        <f t="shared" si="65"/>
        <v>-915218.38085808838</v>
      </c>
      <c r="R136" s="219">
        <f t="shared" si="65"/>
        <v>-864951.72193897073</v>
      </c>
      <c r="S136" s="219">
        <f t="shared" si="65"/>
        <v>-436902.47476862493</v>
      </c>
      <c r="T136" s="219">
        <f t="shared" si="65"/>
        <v>-59021.517321860279</v>
      </c>
      <c r="U136" s="219">
        <f t="shared" si="65"/>
        <v>-59021.517321860279</v>
      </c>
      <c r="V136" s="219">
        <f t="shared" si="65"/>
        <v>-59021.517321860279</v>
      </c>
      <c r="W136" s="219">
        <f t="shared" si="65"/>
        <v>-29510.75866093014</v>
      </c>
      <c r="X136" s="219">
        <f t="shared" si="65"/>
        <v>0</v>
      </c>
      <c r="Y136" s="219">
        <f t="shared" si="65"/>
        <v>0</v>
      </c>
      <c r="Z136" s="219">
        <f t="shared" si="65"/>
        <v>-1764610.6825195991</v>
      </c>
      <c r="AA136" s="219">
        <f t="shared" si="65"/>
        <v>-2823377.0920313587</v>
      </c>
      <c r="AB136" s="219">
        <f t="shared" si="65"/>
        <v>0</v>
      </c>
      <c r="AC136" s="219">
        <f t="shared" si="65"/>
        <v>0</v>
      </c>
      <c r="AD136" s="219">
        <f t="shared" si="65"/>
        <v>0</v>
      </c>
      <c r="AE136" s="219">
        <f t="shared" si="65"/>
        <v>0</v>
      </c>
      <c r="AF136" s="219">
        <f t="shared" si="65"/>
        <v>0</v>
      </c>
      <c r="AG136" s="219">
        <f t="shared" si="65"/>
        <v>0</v>
      </c>
      <c r="AH136" s="219">
        <f t="shared" si="65"/>
        <v>0</v>
      </c>
      <c r="AI136" s="219">
        <f t="shared" si="65"/>
        <v>0</v>
      </c>
      <c r="AJ136" s="219">
        <f t="shared" si="65"/>
        <v>0</v>
      </c>
      <c r="AK136" s="219">
        <f t="shared" si="65"/>
        <v>0</v>
      </c>
      <c r="AL136" s="219">
        <f t="shared" si="65"/>
        <v>0</v>
      </c>
      <c r="AM136" s="219">
        <f t="shared" si="65"/>
        <v>0</v>
      </c>
      <c r="AN136" s="219">
        <f t="shared" si="65"/>
        <v>0</v>
      </c>
      <c r="AO136" s="219">
        <f t="shared" si="65"/>
        <v>0</v>
      </c>
      <c r="AP136" s="219">
        <f t="shared" si="65"/>
        <v>0</v>
      </c>
    </row>
    <row r="137" spans="1:42" s="21" customFormat="1" x14ac:dyDescent="0.2">
      <c r="A137" s="164" t="s">
        <v>259</v>
      </c>
      <c r="B137" s="263"/>
      <c r="C137" s="244">
        <f t="shared" ref="C137:AP137" si="66">SUM(C133:C136)</f>
        <v>-5972228.171783112</v>
      </c>
      <c r="D137" s="244">
        <f t="shared" si="66"/>
        <v>-9687504.4153764434</v>
      </c>
      <c r="E137" s="244">
        <f t="shared" si="66"/>
        <v>-5844982.4868028695</v>
      </c>
      <c r="F137" s="244">
        <f t="shared" si="66"/>
        <v>-3546123.8505803719</v>
      </c>
      <c r="G137" s="244">
        <f t="shared" si="66"/>
        <v>-3561531.4395675571</v>
      </c>
      <c r="H137" s="244">
        <f t="shared" si="66"/>
        <v>-1845720.9883922401</v>
      </c>
      <c r="I137" s="244">
        <f t="shared" si="66"/>
        <v>-134435.14191440708</v>
      </c>
      <c r="J137" s="244">
        <f t="shared" si="66"/>
        <v>-161420.80094335822</v>
      </c>
      <c r="K137" s="244">
        <f t="shared" si="66"/>
        <v>-191151.83662747761</v>
      </c>
      <c r="L137" s="244">
        <f t="shared" si="66"/>
        <v>-223642.42047713808</v>
      </c>
      <c r="M137" s="244">
        <f t="shared" si="66"/>
        <v>-259333.34092839679</v>
      </c>
      <c r="N137" s="244">
        <f t="shared" si="66"/>
        <v>-1610195.9138247077</v>
      </c>
      <c r="O137" s="244">
        <f t="shared" si="66"/>
        <v>-2556151.2273409744</v>
      </c>
      <c r="P137" s="244">
        <f t="shared" si="66"/>
        <v>-1769367.7319908324</v>
      </c>
      <c r="Q137" s="244">
        <f t="shared" si="66"/>
        <v>-1323500.5552638252</v>
      </c>
      <c r="R137" s="244">
        <f t="shared" si="66"/>
        <v>-1336213.3483544542</v>
      </c>
      <c r="S137" s="244">
        <f t="shared" si="66"/>
        <v>-976608.32836119435</v>
      </c>
      <c r="T137" s="244">
        <f t="shared" si="66"/>
        <v>-673022.79569117236</v>
      </c>
      <c r="U137" s="244">
        <f t="shared" si="66"/>
        <v>-743462.46590105363</v>
      </c>
      <c r="V137" s="244">
        <f t="shared" si="66"/>
        <v>-749636.57965616719</v>
      </c>
      <c r="W137" s="244">
        <f t="shared" si="66"/>
        <v>-726775.96141656244</v>
      </c>
      <c r="X137" s="244">
        <f t="shared" si="66"/>
        <v>-704403.27050982555</v>
      </c>
      <c r="Y137" s="244">
        <f t="shared" si="66"/>
        <v>-712041.46378020779</v>
      </c>
      <c r="Z137" s="244">
        <f t="shared" si="66"/>
        <v>-2484802.9682242833</v>
      </c>
      <c r="AA137" s="244">
        <f t="shared" si="66"/>
        <v>-3706649.0787514299</v>
      </c>
      <c r="AB137" s="244">
        <f t="shared" si="66"/>
        <v>0</v>
      </c>
      <c r="AC137" s="244">
        <f t="shared" si="66"/>
        <v>0</v>
      </c>
      <c r="AD137" s="244">
        <f t="shared" si="66"/>
        <v>0</v>
      </c>
      <c r="AE137" s="244">
        <f t="shared" si="66"/>
        <v>0</v>
      </c>
      <c r="AF137" s="244">
        <f t="shared" si="66"/>
        <v>0</v>
      </c>
      <c r="AG137" s="244">
        <f t="shared" si="66"/>
        <v>0</v>
      </c>
      <c r="AH137" s="244">
        <f t="shared" si="66"/>
        <v>0</v>
      </c>
      <c r="AI137" s="244">
        <f t="shared" si="66"/>
        <v>0</v>
      </c>
      <c r="AJ137" s="244">
        <f t="shared" si="66"/>
        <v>0</v>
      </c>
      <c r="AK137" s="244">
        <f t="shared" si="66"/>
        <v>0</v>
      </c>
      <c r="AL137" s="244">
        <f t="shared" si="66"/>
        <v>0</v>
      </c>
      <c r="AM137" s="244">
        <f t="shared" si="66"/>
        <v>0</v>
      </c>
      <c r="AN137" s="244">
        <f t="shared" si="66"/>
        <v>0</v>
      </c>
      <c r="AO137" s="244">
        <f t="shared" si="66"/>
        <v>0</v>
      </c>
      <c r="AP137" s="244">
        <f t="shared" si="66"/>
        <v>0</v>
      </c>
    </row>
    <row r="138" spans="1:42" s="21" customFormat="1" x14ac:dyDescent="0.2">
      <c r="A138" s="164" t="str">
        <f>Inputs!B98</f>
        <v>Investment Based Incentive (IBI)</v>
      </c>
      <c r="B138" s="263"/>
    </row>
    <row r="139" spans="1:42" s="21" customFormat="1" x14ac:dyDescent="0.2">
      <c r="A139" s="166" t="str">
        <f>Inputs!B99</f>
        <v>As fixed amount</v>
      </c>
      <c r="B139" s="263"/>
    </row>
    <row r="140" spans="1:42" s="263" customFormat="1" x14ac:dyDescent="0.2">
      <c r="A140" s="152" t="s">
        <v>6</v>
      </c>
      <c r="C140" s="244">
        <f>IF(ibi_fed_amount_tax_sta="Yes",C491,0)</f>
        <v>0</v>
      </c>
    </row>
    <row r="141" spans="1:42" s="263" customFormat="1" x14ac:dyDescent="0.2">
      <c r="A141" s="152" t="s">
        <v>7</v>
      </c>
      <c r="C141" s="244">
        <f>IF(ibi_sta_amount_tax_sta="Yes",C492,0)</f>
        <v>0</v>
      </c>
    </row>
    <row r="142" spans="1:42" s="263" customFormat="1" x14ac:dyDescent="0.2">
      <c r="A142" s="152" t="s">
        <v>257</v>
      </c>
      <c r="C142" s="244">
        <f>IF(ibi_uti_amount_tax_sta="Yes",C493,0)</f>
        <v>0</v>
      </c>
    </row>
    <row r="143" spans="1:42" s="168" customFormat="1" x14ac:dyDescent="0.2">
      <c r="A143" s="152" t="s">
        <v>258</v>
      </c>
      <c r="C143" s="219">
        <f>IF(ibi_oth_amount_tax_sta="Yes",C494,0)</f>
        <v>0</v>
      </c>
      <c r="D143" s="262"/>
      <c r="E143" s="262"/>
      <c r="F143" s="262"/>
      <c r="G143" s="262"/>
      <c r="H143" s="262"/>
      <c r="I143" s="262"/>
      <c r="J143" s="262"/>
      <c r="K143" s="262"/>
      <c r="L143" s="262"/>
      <c r="M143" s="262"/>
      <c r="N143" s="262"/>
      <c r="O143" s="262"/>
      <c r="P143" s="262"/>
      <c r="Q143" s="262"/>
      <c r="R143" s="262"/>
      <c r="S143" s="262"/>
      <c r="T143" s="262"/>
      <c r="U143" s="262"/>
      <c r="V143" s="262"/>
      <c r="W143" s="262"/>
      <c r="X143" s="262"/>
      <c r="Y143" s="262"/>
      <c r="Z143" s="262"/>
      <c r="AA143" s="262"/>
      <c r="AB143" s="262"/>
      <c r="AC143" s="262"/>
      <c r="AD143" s="262"/>
      <c r="AE143" s="262"/>
      <c r="AF143" s="262"/>
      <c r="AG143" s="262"/>
      <c r="AH143" s="262"/>
      <c r="AI143" s="262"/>
      <c r="AJ143" s="262"/>
      <c r="AK143" s="262"/>
      <c r="AL143" s="262"/>
      <c r="AM143" s="262"/>
      <c r="AN143" s="262"/>
      <c r="AO143" s="262"/>
      <c r="AP143" s="262"/>
    </row>
    <row r="144" spans="1:42" s="168" customFormat="1" x14ac:dyDescent="0.2">
      <c r="A144" s="152" t="s">
        <v>18</v>
      </c>
      <c r="C144" s="245">
        <f>SUM(C140:C143)</f>
        <v>0</v>
      </c>
      <c r="D144" s="262"/>
      <c r="E144" s="262"/>
      <c r="F144" s="262"/>
      <c r="G144" s="262"/>
      <c r="H144" s="262"/>
      <c r="I144" s="262"/>
      <c r="J144" s="262"/>
      <c r="K144" s="262"/>
      <c r="L144" s="262"/>
      <c r="M144" s="262"/>
      <c r="N144" s="262"/>
      <c r="O144" s="262"/>
      <c r="P144" s="262"/>
      <c r="Q144" s="262"/>
      <c r="R144" s="262"/>
      <c r="S144" s="262"/>
      <c r="T144" s="262"/>
      <c r="U144" s="262"/>
      <c r="V144" s="262"/>
      <c r="W144" s="262"/>
      <c r="X144" s="262"/>
      <c r="Y144" s="262"/>
      <c r="Z144" s="262"/>
      <c r="AA144" s="262"/>
      <c r="AB144" s="262"/>
      <c r="AC144" s="262"/>
      <c r="AD144" s="262"/>
      <c r="AE144" s="262"/>
      <c r="AF144" s="262"/>
      <c r="AG144" s="262"/>
      <c r="AH144" s="262"/>
      <c r="AI144" s="262"/>
      <c r="AJ144" s="262"/>
      <c r="AK144" s="262"/>
      <c r="AL144" s="262"/>
      <c r="AM144" s="262"/>
      <c r="AN144" s="262"/>
      <c r="AO144" s="262"/>
      <c r="AP144" s="262"/>
    </row>
    <row r="145" spans="1:42" s="168" customFormat="1" x14ac:dyDescent="0.2">
      <c r="A145" s="166" t="str">
        <f>Inputs!B104</f>
        <v>As percentage</v>
      </c>
      <c r="C145" s="34"/>
      <c r="D145" s="262"/>
      <c r="E145" s="262"/>
      <c r="F145" s="262"/>
      <c r="G145" s="262"/>
      <c r="H145" s="262"/>
      <c r="I145" s="262"/>
      <c r="J145" s="262"/>
      <c r="K145" s="262"/>
      <c r="L145" s="262"/>
      <c r="M145" s="262"/>
      <c r="N145" s="262"/>
      <c r="O145" s="262"/>
      <c r="P145" s="262"/>
      <c r="Q145" s="262"/>
      <c r="R145" s="262"/>
      <c r="S145" s="262"/>
      <c r="T145" s="262"/>
      <c r="U145" s="262"/>
      <c r="V145" s="262"/>
      <c r="W145" s="262"/>
      <c r="X145" s="262"/>
      <c r="Y145" s="262"/>
      <c r="Z145" s="262"/>
      <c r="AA145" s="262"/>
      <c r="AB145" s="262"/>
      <c r="AC145" s="262"/>
      <c r="AD145" s="262"/>
      <c r="AE145" s="262"/>
      <c r="AF145" s="262"/>
      <c r="AG145" s="262"/>
      <c r="AH145" s="262"/>
      <c r="AI145" s="262"/>
      <c r="AJ145" s="262"/>
      <c r="AK145" s="262"/>
      <c r="AL145" s="262"/>
      <c r="AM145" s="262"/>
      <c r="AN145" s="262"/>
      <c r="AO145" s="262"/>
      <c r="AP145" s="262"/>
    </row>
    <row r="146" spans="1:42" s="168" customFormat="1" x14ac:dyDescent="0.2">
      <c r="A146" s="152" t="s">
        <v>6</v>
      </c>
      <c r="C146" s="244">
        <f>IF(ibi_fed_percent_tax_sta="Yes",C497,0)</f>
        <v>0</v>
      </c>
      <c r="D146" s="262"/>
      <c r="E146" s="262"/>
      <c r="F146" s="262"/>
      <c r="G146" s="262"/>
      <c r="H146" s="262"/>
      <c r="I146" s="262"/>
      <c r="J146" s="262"/>
      <c r="K146" s="262"/>
      <c r="L146" s="262"/>
      <c r="M146" s="262"/>
      <c r="N146" s="262"/>
      <c r="O146" s="262"/>
      <c r="P146" s="262"/>
      <c r="Q146" s="262"/>
      <c r="R146" s="262"/>
      <c r="S146" s="262"/>
      <c r="T146" s="262"/>
      <c r="U146" s="262"/>
      <c r="V146" s="262"/>
      <c r="W146" s="262"/>
      <c r="X146" s="262"/>
      <c r="Y146" s="262"/>
      <c r="Z146" s="262"/>
      <c r="AA146" s="262"/>
      <c r="AB146" s="262"/>
      <c r="AC146" s="262"/>
      <c r="AD146" s="262"/>
      <c r="AE146" s="262"/>
      <c r="AF146" s="262"/>
      <c r="AG146" s="262"/>
      <c r="AH146" s="262"/>
      <c r="AI146" s="262"/>
      <c r="AJ146" s="262"/>
      <c r="AK146" s="262"/>
      <c r="AL146" s="262"/>
      <c r="AM146" s="262"/>
      <c r="AN146" s="262"/>
      <c r="AO146" s="262"/>
      <c r="AP146" s="262"/>
    </row>
    <row r="147" spans="1:42" s="168" customFormat="1" x14ac:dyDescent="0.2">
      <c r="A147" s="152" t="s">
        <v>7</v>
      </c>
      <c r="C147" s="244">
        <f>IF(ibi_fed_percent_tax_sta="Yes",C498,0)</f>
        <v>0</v>
      </c>
      <c r="D147" s="262"/>
      <c r="E147" s="262"/>
      <c r="F147" s="262"/>
      <c r="G147" s="262"/>
      <c r="H147" s="262"/>
      <c r="I147" s="262"/>
      <c r="J147" s="262"/>
      <c r="K147" s="262"/>
      <c r="L147" s="262"/>
      <c r="M147" s="262"/>
      <c r="N147" s="262"/>
      <c r="O147" s="262"/>
      <c r="P147" s="262"/>
      <c r="Q147" s="262"/>
      <c r="R147" s="262"/>
      <c r="S147" s="262"/>
      <c r="T147" s="262"/>
      <c r="U147" s="262"/>
      <c r="V147" s="262"/>
      <c r="W147" s="262"/>
      <c r="X147" s="262"/>
      <c r="Y147" s="262"/>
      <c r="Z147" s="262"/>
      <c r="AA147" s="262"/>
      <c r="AB147" s="262"/>
      <c r="AC147" s="262"/>
      <c r="AD147" s="262"/>
      <c r="AE147" s="262"/>
      <c r="AF147" s="262"/>
      <c r="AG147" s="262"/>
      <c r="AH147" s="262"/>
      <c r="AI147" s="262"/>
      <c r="AJ147" s="262"/>
      <c r="AK147" s="262"/>
      <c r="AL147" s="262"/>
      <c r="AM147" s="262"/>
      <c r="AN147" s="262"/>
      <c r="AO147" s="262"/>
      <c r="AP147" s="262"/>
    </row>
    <row r="148" spans="1:42" s="168" customFormat="1" x14ac:dyDescent="0.2">
      <c r="A148" s="152" t="s">
        <v>257</v>
      </c>
      <c r="C148" s="244">
        <f>IF(ibi_fed_percent_tax_sta="Yes",C499,0)</f>
        <v>0</v>
      </c>
      <c r="D148" s="262"/>
      <c r="E148" s="262"/>
      <c r="F148" s="262"/>
      <c r="G148" s="262"/>
      <c r="H148" s="262"/>
      <c r="I148" s="262"/>
      <c r="J148" s="262"/>
      <c r="K148" s="262"/>
      <c r="L148" s="262"/>
      <c r="M148" s="262"/>
      <c r="N148" s="262"/>
      <c r="O148" s="262"/>
      <c r="P148" s="262"/>
      <c r="Q148" s="262"/>
      <c r="R148" s="262"/>
      <c r="S148" s="262"/>
      <c r="T148" s="262"/>
      <c r="U148" s="262"/>
      <c r="V148" s="262"/>
      <c r="W148" s="262"/>
      <c r="X148" s="262"/>
      <c r="Y148" s="262"/>
      <c r="Z148" s="262"/>
      <c r="AA148" s="262"/>
      <c r="AB148" s="262"/>
      <c r="AC148" s="262"/>
      <c r="AD148" s="262"/>
      <c r="AE148" s="262"/>
      <c r="AF148" s="262"/>
      <c r="AG148" s="262"/>
      <c r="AH148" s="262"/>
      <c r="AI148" s="262"/>
      <c r="AJ148" s="262"/>
      <c r="AK148" s="262"/>
      <c r="AL148" s="262"/>
      <c r="AM148" s="262"/>
      <c r="AN148" s="262"/>
      <c r="AO148" s="262"/>
      <c r="AP148" s="262"/>
    </row>
    <row r="149" spans="1:42" s="168" customFormat="1" x14ac:dyDescent="0.2">
      <c r="A149" s="152" t="s">
        <v>258</v>
      </c>
      <c r="C149" s="219">
        <f>IF(ibi_fed_percent_tax_sta="Yes",C500,0)</f>
        <v>0</v>
      </c>
      <c r="D149" s="262"/>
      <c r="E149" s="262"/>
      <c r="F149" s="262"/>
      <c r="G149" s="262"/>
      <c r="H149" s="262"/>
      <c r="I149" s="262"/>
      <c r="J149" s="262"/>
      <c r="K149" s="262"/>
      <c r="L149" s="262"/>
      <c r="M149" s="262"/>
      <c r="N149" s="262"/>
      <c r="O149" s="262"/>
      <c r="P149" s="262"/>
      <c r="Q149" s="262"/>
      <c r="R149" s="262"/>
      <c r="S149" s="262"/>
      <c r="T149" s="262"/>
      <c r="U149" s="262"/>
      <c r="V149" s="262"/>
      <c r="W149" s="262"/>
      <c r="X149" s="262"/>
      <c r="Y149" s="262"/>
      <c r="Z149" s="262"/>
      <c r="AA149" s="262"/>
      <c r="AB149" s="262"/>
      <c r="AC149" s="262"/>
      <c r="AD149" s="262"/>
      <c r="AE149" s="262"/>
      <c r="AF149" s="262"/>
      <c r="AG149" s="262"/>
      <c r="AH149" s="262"/>
      <c r="AI149" s="262"/>
      <c r="AJ149" s="262"/>
      <c r="AK149" s="262"/>
      <c r="AL149" s="262"/>
      <c r="AM149" s="262"/>
      <c r="AN149" s="262"/>
      <c r="AO149" s="262"/>
      <c r="AP149" s="262"/>
    </row>
    <row r="150" spans="1:42" s="168" customFormat="1" x14ac:dyDescent="0.2">
      <c r="A150" s="152" t="s">
        <v>18</v>
      </c>
      <c r="C150" s="245">
        <f>SUM(C146:C149)</f>
        <v>0</v>
      </c>
      <c r="D150" s="262"/>
      <c r="E150" s="262"/>
      <c r="F150" s="262"/>
      <c r="G150" s="262"/>
      <c r="H150" s="262"/>
      <c r="I150" s="262"/>
      <c r="J150" s="262"/>
      <c r="K150" s="262"/>
      <c r="L150" s="262"/>
      <c r="M150" s="262"/>
      <c r="N150" s="262"/>
      <c r="O150" s="262"/>
      <c r="P150" s="262"/>
      <c r="Q150" s="262"/>
      <c r="R150" s="262"/>
      <c r="S150" s="262"/>
      <c r="T150" s="262"/>
      <c r="U150" s="262"/>
      <c r="V150" s="262"/>
      <c r="W150" s="262"/>
      <c r="X150" s="262"/>
      <c r="Y150" s="262"/>
      <c r="Z150" s="262"/>
      <c r="AA150" s="262"/>
      <c r="AB150" s="262"/>
      <c r="AC150" s="262"/>
      <c r="AD150" s="262"/>
      <c r="AE150" s="262"/>
      <c r="AF150" s="262"/>
      <c r="AG150" s="262"/>
      <c r="AH150" s="262"/>
      <c r="AI150" s="262"/>
      <c r="AJ150" s="262"/>
      <c r="AK150" s="262"/>
      <c r="AL150" s="262"/>
      <c r="AM150" s="262"/>
      <c r="AN150" s="262"/>
      <c r="AO150" s="262"/>
      <c r="AP150" s="262"/>
    </row>
    <row r="151" spans="1:42" s="168" customFormat="1" x14ac:dyDescent="0.2">
      <c r="A151" s="164" t="str">
        <f>Inputs!B109</f>
        <v>Capacity Based Incentive (CBI)</v>
      </c>
      <c r="C151" s="262"/>
      <c r="D151" s="262"/>
      <c r="E151" s="262"/>
      <c r="F151" s="262"/>
      <c r="G151" s="262"/>
      <c r="H151" s="262"/>
      <c r="I151" s="262"/>
      <c r="J151" s="262"/>
      <c r="K151" s="262"/>
      <c r="L151" s="262"/>
      <c r="M151" s="262"/>
      <c r="N151" s="262"/>
      <c r="O151" s="262"/>
      <c r="P151" s="262"/>
      <c r="Q151" s="262"/>
      <c r="R151" s="262"/>
      <c r="S151" s="262"/>
      <c r="T151" s="262"/>
      <c r="U151" s="262"/>
      <c r="V151" s="262"/>
      <c r="W151" s="262"/>
      <c r="X151" s="262"/>
      <c r="Y151" s="262"/>
      <c r="Z151" s="262"/>
      <c r="AA151" s="262"/>
      <c r="AB151" s="262"/>
      <c r="AC151" s="262"/>
      <c r="AD151" s="262"/>
      <c r="AE151" s="262"/>
      <c r="AF151" s="262"/>
      <c r="AG151" s="262"/>
      <c r="AH151" s="262"/>
      <c r="AI151" s="262"/>
      <c r="AJ151" s="262"/>
      <c r="AK151" s="262"/>
      <c r="AL151" s="262"/>
      <c r="AM151" s="262"/>
      <c r="AN151" s="262"/>
      <c r="AO151" s="262"/>
      <c r="AP151" s="262"/>
    </row>
    <row r="152" spans="1:42" s="168" customFormat="1" x14ac:dyDescent="0.2">
      <c r="A152" s="166" t="s">
        <v>6</v>
      </c>
      <c r="C152" s="218">
        <f>IF(cbi_fed_tax_sta="Yes",C504,0)</f>
        <v>0</v>
      </c>
      <c r="D152" s="262"/>
      <c r="E152" s="262"/>
      <c r="F152" s="262"/>
      <c r="G152" s="262"/>
      <c r="H152" s="262"/>
      <c r="I152" s="262"/>
      <c r="J152" s="262"/>
      <c r="K152" s="262"/>
      <c r="L152" s="262"/>
      <c r="M152" s="262"/>
      <c r="N152" s="262"/>
      <c r="O152" s="262"/>
      <c r="P152" s="262"/>
      <c r="Q152" s="262"/>
      <c r="R152" s="262"/>
      <c r="S152" s="262"/>
      <c r="T152" s="262"/>
      <c r="U152" s="262"/>
      <c r="V152" s="262"/>
      <c r="W152" s="262"/>
      <c r="X152" s="262"/>
      <c r="Y152" s="262"/>
      <c r="Z152" s="262"/>
      <c r="AA152" s="262"/>
      <c r="AB152" s="262"/>
      <c r="AC152" s="262"/>
      <c r="AD152" s="262"/>
      <c r="AE152" s="262"/>
      <c r="AF152" s="262"/>
      <c r="AG152" s="262"/>
      <c r="AH152" s="262"/>
      <c r="AI152" s="262"/>
      <c r="AJ152" s="262"/>
      <c r="AK152" s="262"/>
      <c r="AL152" s="262"/>
      <c r="AM152" s="262"/>
      <c r="AN152" s="262"/>
      <c r="AO152" s="262"/>
      <c r="AP152" s="262"/>
    </row>
    <row r="153" spans="1:42" s="168" customFormat="1" x14ac:dyDescent="0.2">
      <c r="A153" s="166" t="s">
        <v>7</v>
      </c>
      <c r="C153" s="218">
        <f>IF(cbi_fed_tax_sta="Yes",C505,0)</f>
        <v>0</v>
      </c>
      <c r="D153" s="262"/>
      <c r="E153" s="262"/>
      <c r="F153" s="262"/>
      <c r="G153" s="262"/>
      <c r="H153" s="262"/>
      <c r="I153" s="262"/>
      <c r="J153" s="262"/>
      <c r="K153" s="262"/>
      <c r="L153" s="262"/>
      <c r="M153" s="262"/>
      <c r="N153" s="262"/>
      <c r="O153" s="262"/>
      <c r="P153" s="262"/>
      <c r="Q153" s="262"/>
      <c r="R153" s="262"/>
      <c r="S153" s="262"/>
      <c r="T153" s="262"/>
      <c r="U153" s="262"/>
      <c r="V153" s="262"/>
      <c r="W153" s="262"/>
      <c r="X153" s="262"/>
      <c r="Y153" s="262"/>
      <c r="Z153" s="262"/>
      <c r="AA153" s="262"/>
      <c r="AB153" s="262"/>
      <c r="AC153" s="262"/>
      <c r="AD153" s="262"/>
      <c r="AE153" s="262"/>
      <c r="AF153" s="262"/>
      <c r="AG153" s="262"/>
      <c r="AH153" s="262"/>
      <c r="AI153" s="262"/>
      <c r="AJ153" s="262"/>
      <c r="AK153" s="262"/>
      <c r="AL153" s="262"/>
      <c r="AM153" s="262"/>
      <c r="AN153" s="262"/>
      <c r="AO153" s="262"/>
      <c r="AP153" s="262"/>
    </row>
    <row r="154" spans="1:42" s="168" customFormat="1" x14ac:dyDescent="0.2">
      <c r="A154" s="166" t="s">
        <v>257</v>
      </c>
      <c r="C154" s="218">
        <f>IF(cbi_fed_tax_sta="Yes",C506,0)</f>
        <v>0</v>
      </c>
      <c r="D154" s="262"/>
      <c r="E154" s="262"/>
      <c r="F154" s="262"/>
      <c r="G154" s="262"/>
      <c r="H154" s="262"/>
      <c r="I154" s="262"/>
      <c r="J154" s="262"/>
      <c r="K154" s="262"/>
      <c r="L154" s="262"/>
      <c r="M154" s="262"/>
      <c r="N154" s="262"/>
      <c r="O154" s="262"/>
      <c r="P154" s="262"/>
      <c r="Q154" s="262"/>
      <c r="R154" s="262"/>
      <c r="S154" s="262"/>
      <c r="T154" s="262"/>
      <c r="U154" s="262"/>
      <c r="V154" s="262"/>
      <c r="W154" s="262"/>
      <c r="X154" s="262"/>
      <c r="Y154" s="262"/>
      <c r="Z154" s="262"/>
      <c r="AA154" s="262"/>
      <c r="AB154" s="262"/>
      <c r="AC154" s="262"/>
      <c r="AD154" s="262"/>
      <c r="AE154" s="262"/>
      <c r="AF154" s="262"/>
      <c r="AG154" s="262"/>
      <c r="AH154" s="262"/>
      <c r="AI154" s="262"/>
      <c r="AJ154" s="262"/>
      <c r="AK154" s="262"/>
      <c r="AL154" s="262"/>
      <c r="AM154" s="262"/>
      <c r="AN154" s="262"/>
      <c r="AO154" s="262"/>
      <c r="AP154" s="262"/>
    </row>
    <row r="155" spans="1:42" s="168" customFormat="1" x14ac:dyDescent="0.2">
      <c r="A155" s="166" t="s">
        <v>258</v>
      </c>
      <c r="C155" s="219">
        <f>IF(cbi_fed_tax_sta="Yes",C507,0)</f>
        <v>0</v>
      </c>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row>
    <row r="156" spans="1:42" s="168" customFormat="1" x14ac:dyDescent="0.2">
      <c r="A156" s="166" t="s">
        <v>18</v>
      </c>
      <c r="C156" s="245">
        <f>SUM(C152:C155)</f>
        <v>0</v>
      </c>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row>
    <row r="157" spans="1:42" s="168" customFormat="1" x14ac:dyDescent="0.2">
      <c r="A157" s="164" t="str">
        <f>Inputs!B114</f>
        <v>Production Based Incentive (PBI)</v>
      </c>
      <c r="C157" s="34"/>
      <c r="D157" s="262"/>
      <c r="E157" s="262"/>
      <c r="F157" s="262"/>
      <c r="G157" s="262"/>
      <c r="H157" s="262"/>
      <c r="I157" s="262"/>
      <c r="J157" s="262"/>
      <c r="K157" s="262"/>
      <c r="L157" s="262"/>
      <c r="M157" s="262"/>
      <c r="N157" s="262"/>
      <c r="O157" s="262"/>
      <c r="P157" s="262"/>
      <c r="Q157" s="262"/>
      <c r="R157" s="262"/>
      <c r="S157" s="262"/>
      <c r="T157" s="262"/>
      <c r="U157" s="262"/>
      <c r="V157" s="262"/>
      <c r="W157" s="262"/>
      <c r="X157" s="262"/>
      <c r="Y157" s="262"/>
      <c r="Z157" s="262"/>
      <c r="AA157" s="262"/>
      <c r="AB157" s="262"/>
      <c r="AC157" s="262"/>
      <c r="AD157" s="262"/>
      <c r="AE157" s="262"/>
      <c r="AF157" s="262"/>
      <c r="AG157" s="262"/>
      <c r="AH157" s="262"/>
      <c r="AI157" s="262"/>
      <c r="AJ157" s="262"/>
      <c r="AK157" s="262"/>
      <c r="AL157" s="262"/>
      <c r="AM157" s="262"/>
      <c r="AN157" s="262"/>
      <c r="AO157" s="262"/>
      <c r="AP157" s="262"/>
    </row>
    <row r="158" spans="1:42" x14ac:dyDescent="0.2">
      <c r="A158" s="166" t="s">
        <v>6</v>
      </c>
      <c r="B158" s="168"/>
      <c r="C158" s="218">
        <f t="shared" ref="C158:AP158" si="67">IF(AND(pbi_fed_tax_sta="Yes",pbi_fed_for_ds="No"),C514,0)</f>
        <v>0</v>
      </c>
      <c r="D158" s="218">
        <f t="shared" si="67"/>
        <v>0</v>
      </c>
      <c r="E158" s="218">
        <f t="shared" si="67"/>
        <v>0</v>
      </c>
      <c r="F158" s="218">
        <f t="shared" si="67"/>
        <v>0</v>
      </c>
      <c r="G158" s="218">
        <f t="shared" si="67"/>
        <v>0</v>
      </c>
      <c r="H158" s="218">
        <f t="shared" si="67"/>
        <v>0</v>
      </c>
      <c r="I158" s="218">
        <f t="shared" si="67"/>
        <v>0</v>
      </c>
      <c r="J158" s="218">
        <f t="shared" si="67"/>
        <v>0</v>
      </c>
      <c r="K158" s="218">
        <f t="shared" si="67"/>
        <v>0</v>
      </c>
      <c r="L158" s="218">
        <f t="shared" si="67"/>
        <v>0</v>
      </c>
      <c r="M158" s="218">
        <f t="shared" si="67"/>
        <v>0</v>
      </c>
      <c r="N158" s="218">
        <f t="shared" si="67"/>
        <v>0</v>
      </c>
      <c r="O158" s="218">
        <f t="shared" si="67"/>
        <v>0</v>
      </c>
      <c r="P158" s="218">
        <f t="shared" si="67"/>
        <v>0</v>
      </c>
      <c r="Q158" s="218">
        <f t="shared" si="67"/>
        <v>0</v>
      </c>
      <c r="R158" s="218">
        <f t="shared" si="67"/>
        <v>0</v>
      </c>
      <c r="S158" s="218">
        <f t="shared" si="67"/>
        <v>0</v>
      </c>
      <c r="T158" s="218">
        <f t="shared" si="67"/>
        <v>0</v>
      </c>
      <c r="U158" s="218">
        <f t="shared" si="67"/>
        <v>0</v>
      </c>
      <c r="V158" s="218">
        <f t="shared" si="67"/>
        <v>0</v>
      </c>
      <c r="W158" s="218">
        <f t="shared" si="67"/>
        <v>0</v>
      </c>
      <c r="X158" s="218">
        <f t="shared" si="67"/>
        <v>0</v>
      </c>
      <c r="Y158" s="218">
        <f t="shared" si="67"/>
        <v>0</v>
      </c>
      <c r="Z158" s="218">
        <f t="shared" si="67"/>
        <v>0</v>
      </c>
      <c r="AA158" s="218">
        <f t="shared" si="67"/>
        <v>0</v>
      </c>
      <c r="AB158" s="218">
        <f t="shared" si="67"/>
        <v>0</v>
      </c>
      <c r="AC158" s="218">
        <f t="shared" si="67"/>
        <v>0</v>
      </c>
      <c r="AD158" s="218">
        <f t="shared" si="67"/>
        <v>0</v>
      </c>
      <c r="AE158" s="218">
        <f t="shared" si="67"/>
        <v>0</v>
      </c>
      <c r="AF158" s="218">
        <f t="shared" si="67"/>
        <v>0</v>
      </c>
      <c r="AG158" s="218">
        <f t="shared" si="67"/>
        <v>0</v>
      </c>
      <c r="AH158" s="218">
        <f t="shared" si="67"/>
        <v>0</v>
      </c>
      <c r="AI158" s="218">
        <f t="shared" si="67"/>
        <v>0</v>
      </c>
      <c r="AJ158" s="218">
        <f t="shared" si="67"/>
        <v>0</v>
      </c>
      <c r="AK158" s="218">
        <f t="shared" si="67"/>
        <v>0</v>
      </c>
      <c r="AL158" s="218">
        <f t="shared" si="67"/>
        <v>0</v>
      </c>
      <c r="AM158" s="218">
        <f t="shared" si="67"/>
        <v>0</v>
      </c>
      <c r="AN158" s="218">
        <f t="shared" si="67"/>
        <v>0</v>
      </c>
      <c r="AO158" s="218">
        <f t="shared" si="67"/>
        <v>0</v>
      </c>
      <c r="AP158" s="218">
        <f t="shared" si="67"/>
        <v>0</v>
      </c>
    </row>
    <row r="159" spans="1:42" x14ac:dyDescent="0.2">
      <c r="A159" s="166" t="s">
        <v>7</v>
      </c>
      <c r="B159" s="168"/>
      <c r="C159" s="218">
        <f t="shared" ref="C159:AP159" si="68">IF(AND(pbi_sta_tax_sta="Yes",pbi_sta_for_ds="No"),C518,0)</f>
        <v>0</v>
      </c>
      <c r="D159" s="218">
        <f t="shared" si="68"/>
        <v>0</v>
      </c>
      <c r="E159" s="218">
        <f t="shared" si="68"/>
        <v>0</v>
      </c>
      <c r="F159" s="218">
        <f t="shared" si="68"/>
        <v>0</v>
      </c>
      <c r="G159" s="218">
        <f t="shared" si="68"/>
        <v>0</v>
      </c>
      <c r="H159" s="218">
        <f t="shared" si="68"/>
        <v>0</v>
      </c>
      <c r="I159" s="218">
        <f t="shared" si="68"/>
        <v>0</v>
      </c>
      <c r="J159" s="218">
        <f t="shared" si="68"/>
        <v>0</v>
      </c>
      <c r="K159" s="218">
        <f t="shared" si="68"/>
        <v>0</v>
      </c>
      <c r="L159" s="218">
        <f t="shared" si="68"/>
        <v>0</v>
      </c>
      <c r="M159" s="218">
        <f t="shared" si="68"/>
        <v>0</v>
      </c>
      <c r="N159" s="218">
        <f t="shared" si="68"/>
        <v>0</v>
      </c>
      <c r="O159" s="218">
        <f t="shared" si="68"/>
        <v>0</v>
      </c>
      <c r="P159" s="218">
        <f t="shared" si="68"/>
        <v>0</v>
      </c>
      <c r="Q159" s="218">
        <f t="shared" si="68"/>
        <v>0</v>
      </c>
      <c r="R159" s="218">
        <f t="shared" si="68"/>
        <v>0</v>
      </c>
      <c r="S159" s="218">
        <f t="shared" si="68"/>
        <v>0</v>
      </c>
      <c r="T159" s="218">
        <f t="shared" si="68"/>
        <v>0</v>
      </c>
      <c r="U159" s="218">
        <f t="shared" si="68"/>
        <v>0</v>
      </c>
      <c r="V159" s="218">
        <f t="shared" si="68"/>
        <v>0</v>
      </c>
      <c r="W159" s="218">
        <f t="shared" si="68"/>
        <v>0</v>
      </c>
      <c r="X159" s="218">
        <f t="shared" si="68"/>
        <v>0</v>
      </c>
      <c r="Y159" s="218">
        <f t="shared" si="68"/>
        <v>0</v>
      </c>
      <c r="Z159" s="218">
        <f t="shared" si="68"/>
        <v>0</v>
      </c>
      <c r="AA159" s="218">
        <f t="shared" si="68"/>
        <v>0</v>
      </c>
      <c r="AB159" s="218">
        <f t="shared" si="68"/>
        <v>0</v>
      </c>
      <c r="AC159" s="218">
        <f t="shared" si="68"/>
        <v>0</v>
      </c>
      <c r="AD159" s="218">
        <f t="shared" si="68"/>
        <v>0</v>
      </c>
      <c r="AE159" s="218">
        <f t="shared" si="68"/>
        <v>0</v>
      </c>
      <c r="AF159" s="218">
        <f t="shared" si="68"/>
        <v>0</v>
      </c>
      <c r="AG159" s="218">
        <f t="shared" si="68"/>
        <v>0</v>
      </c>
      <c r="AH159" s="218">
        <f t="shared" si="68"/>
        <v>0</v>
      </c>
      <c r="AI159" s="218">
        <f t="shared" si="68"/>
        <v>0</v>
      </c>
      <c r="AJ159" s="218">
        <f t="shared" si="68"/>
        <v>0</v>
      </c>
      <c r="AK159" s="218">
        <f t="shared" si="68"/>
        <v>0</v>
      </c>
      <c r="AL159" s="218">
        <f t="shared" si="68"/>
        <v>0</v>
      </c>
      <c r="AM159" s="218">
        <f t="shared" si="68"/>
        <v>0</v>
      </c>
      <c r="AN159" s="218">
        <f t="shared" si="68"/>
        <v>0</v>
      </c>
      <c r="AO159" s="218">
        <f t="shared" si="68"/>
        <v>0</v>
      </c>
      <c r="AP159" s="218">
        <f t="shared" si="68"/>
        <v>0</v>
      </c>
    </row>
    <row r="160" spans="1:42" x14ac:dyDescent="0.2">
      <c r="A160" s="166" t="s">
        <v>257</v>
      </c>
      <c r="B160" s="168"/>
      <c r="C160" s="218">
        <f t="shared" ref="C160:AP160" si="69">IF(AND(pbi_uti_tax_sta="Yes",pbi_uti_for_ds="No"),C522,0)</f>
        <v>0</v>
      </c>
      <c r="D160" s="218">
        <f t="shared" si="69"/>
        <v>0</v>
      </c>
      <c r="E160" s="218">
        <f t="shared" si="69"/>
        <v>0</v>
      </c>
      <c r="F160" s="218">
        <f t="shared" si="69"/>
        <v>0</v>
      </c>
      <c r="G160" s="218">
        <f t="shared" si="69"/>
        <v>0</v>
      </c>
      <c r="H160" s="218">
        <f t="shared" si="69"/>
        <v>0</v>
      </c>
      <c r="I160" s="218">
        <f t="shared" si="69"/>
        <v>0</v>
      </c>
      <c r="J160" s="218">
        <f t="shared" si="69"/>
        <v>0</v>
      </c>
      <c r="K160" s="218">
        <f t="shared" si="69"/>
        <v>0</v>
      </c>
      <c r="L160" s="218">
        <f t="shared" si="69"/>
        <v>0</v>
      </c>
      <c r="M160" s="218">
        <f t="shared" si="69"/>
        <v>0</v>
      </c>
      <c r="N160" s="218">
        <f t="shared" si="69"/>
        <v>0</v>
      </c>
      <c r="O160" s="218">
        <f t="shared" si="69"/>
        <v>0</v>
      </c>
      <c r="P160" s="218">
        <f t="shared" si="69"/>
        <v>0</v>
      </c>
      <c r="Q160" s="218">
        <f t="shared" si="69"/>
        <v>0</v>
      </c>
      <c r="R160" s="218">
        <f t="shared" si="69"/>
        <v>0</v>
      </c>
      <c r="S160" s="218">
        <f t="shared" si="69"/>
        <v>0</v>
      </c>
      <c r="T160" s="218">
        <f t="shared" si="69"/>
        <v>0</v>
      </c>
      <c r="U160" s="218">
        <f t="shared" si="69"/>
        <v>0</v>
      </c>
      <c r="V160" s="218">
        <f t="shared" si="69"/>
        <v>0</v>
      </c>
      <c r="W160" s="218">
        <f t="shared" si="69"/>
        <v>0</v>
      </c>
      <c r="X160" s="218">
        <f t="shared" si="69"/>
        <v>0</v>
      </c>
      <c r="Y160" s="218">
        <f t="shared" si="69"/>
        <v>0</v>
      </c>
      <c r="Z160" s="218">
        <f t="shared" si="69"/>
        <v>0</v>
      </c>
      <c r="AA160" s="218">
        <f t="shared" si="69"/>
        <v>0</v>
      </c>
      <c r="AB160" s="218">
        <f t="shared" si="69"/>
        <v>0</v>
      </c>
      <c r="AC160" s="218">
        <f t="shared" si="69"/>
        <v>0</v>
      </c>
      <c r="AD160" s="218">
        <f t="shared" si="69"/>
        <v>0</v>
      </c>
      <c r="AE160" s="218">
        <f t="shared" si="69"/>
        <v>0</v>
      </c>
      <c r="AF160" s="218">
        <f t="shared" si="69"/>
        <v>0</v>
      </c>
      <c r="AG160" s="218">
        <f t="shared" si="69"/>
        <v>0</v>
      </c>
      <c r="AH160" s="218">
        <f t="shared" si="69"/>
        <v>0</v>
      </c>
      <c r="AI160" s="218">
        <f t="shared" si="69"/>
        <v>0</v>
      </c>
      <c r="AJ160" s="218">
        <f t="shared" si="69"/>
        <v>0</v>
      </c>
      <c r="AK160" s="218">
        <f t="shared" si="69"/>
        <v>0</v>
      </c>
      <c r="AL160" s="218">
        <f t="shared" si="69"/>
        <v>0</v>
      </c>
      <c r="AM160" s="218">
        <f t="shared" si="69"/>
        <v>0</v>
      </c>
      <c r="AN160" s="218">
        <f t="shared" si="69"/>
        <v>0</v>
      </c>
      <c r="AO160" s="218">
        <f t="shared" si="69"/>
        <v>0</v>
      </c>
      <c r="AP160" s="218">
        <f t="shared" si="69"/>
        <v>0</v>
      </c>
    </row>
    <row r="161" spans="1:42" x14ac:dyDescent="0.2">
      <c r="A161" s="166" t="s">
        <v>258</v>
      </c>
      <c r="B161" s="168"/>
      <c r="C161" s="219">
        <f t="shared" ref="C161:AP161" si="70">IF(AND(pbi_oth_tax_sta="Yes",pbi_oth_for_ds="No"),C526,0)</f>
        <v>0</v>
      </c>
      <c r="D161" s="219">
        <f t="shared" si="70"/>
        <v>0</v>
      </c>
      <c r="E161" s="219">
        <f t="shared" si="70"/>
        <v>0</v>
      </c>
      <c r="F161" s="219">
        <f t="shared" si="70"/>
        <v>0</v>
      </c>
      <c r="G161" s="219">
        <f t="shared" si="70"/>
        <v>0</v>
      </c>
      <c r="H161" s="219">
        <f t="shared" si="70"/>
        <v>0</v>
      </c>
      <c r="I161" s="219">
        <f t="shared" si="70"/>
        <v>0</v>
      </c>
      <c r="J161" s="219">
        <f t="shared" si="70"/>
        <v>0</v>
      </c>
      <c r="K161" s="219">
        <f t="shared" si="70"/>
        <v>0</v>
      </c>
      <c r="L161" s="219">
        <f t="shared" si="70"/>
        <v>0</v>
      </c>
      <c r="M161" s="219">
        <f t="shared" si="70"/>
        <v>0</v>
      </c>
      <c r="N161" s="219">
        <f t="shared" si="70"/>
        <v>0</v>
      </c>
      <c r="O161" s="219">
        <f t="shared" si="70"/>
        <v>0</v>
      </c>
      <c r="P161" s="219">
        <f t="shared" si="70"/>
        <v>0</v>
      </c>
      <c r="Q161" s="219">
        <f t="shared" si="70"/>
        <v>0</v>
      </c>
      <c r="R161" s="219">
        <f t="shared" si="70"/>
        <v>0</v>
      </c>
      <c r="S161" s="219">
        <f t="shared" si="70"/>
        <v>0</v>
      </c>
      <c r="T161" s="219">
        <f t="shared" si="70"/>
        <v>0</v>
      </c>
      <c r="U161" s="219">
        <f t="shared" si="70"/>
        <v>0</v>
      </c>
      <c r="V161" s="219">
        <f t="shared" si="70"/>
        <v>0</v>
      </c>
      <c r="W161" s="219">
        <f t="shared" si="70"/>
        <v>0</v>
      </c>
      <c r="X161" s="219">
        <f t="shared" si="70"/>
        <v>0</v>
      </c>
      <c r="Y161" s="219">
        <f t="shared" si="70"/>
        <v>0</v>
      </c>
      <c r="Z161" s="219">
        <f t="shared" si="70"/>
        <v>0</v>
      </c>
      <c r="AA161" s="219">
        <f t="shared" si="70"/>
        <v>0</v>
      </c>
      <c r="AB161" s="219">
        <f t="shared" si="70"/>
        <v>0</v>
      </c>
      <c r="AC161" s="219">
        <f t="shared" si="70"/>
        <v>0</v>
      </c>
      <c r="AD161" s="219">
        <f t="shared" si="70"/>
        <v>0</v>
      </c>
      <c r="AE161" s="219">
        <f t="shared" si="70"/>
        <v>0</v>
      </c>
      <c r="AF161" s="219">
        <f t="shared" si="70"/>
        <v>0</v>
      </c>
      <c r="AG161" s="219">
        <f t="shared" si="70"/>
        <v>0</v>
      </c>
      <c r="AH161" s="219">
        <f t="shared" si="70"/>
        <v>0</v>
      </c>
      <c r="AI161" s="219">
        <f t="shared" si="70"/>
        <v>0</v>
      </c>
      <c r="AJ161" s="219">
        <f t="shared" si="70"/>
        <v>0</v>
      </c>
      <c r="AK161" s="219">
        <f t="shared" si="70"/>
        <v>0</v>
      </c>
      <c r="AL161" s="219">
        <f t="shared" si="70"/>
        <v>0</v>
      </c>
      <c r="AM161" s="219">
        <f t="shared" si="70"/>
        <v>0</v>
      </c>
      <c r="AN161" s="219">
        <f t="shared" si="70"/>
        <v>0</v>
      </c>
      <c r="AO161" s="219">
        <f t="shared" si="70"/>
        <v>0</v>
      </c>
      <c r="AP161" s="219">
        <f t="shared" si="70"/>
        <v>0</v>
      </c>
    </row>
    <row r="162" spans="1:42" x14ac:dyDescent="0.2">
      <c r="A162" s="166" t="s">
        <v>18</v>
      </c>
      <c r="B162" s="168"/>
      <c r="C162" s="249">
        <f>SUM(C158:C161)</f>
        <v>0</v>
      </c>
      <c r="D162" s="249">
        <f t="shared" ref="D162:AL162" si="71">SUM(D158:D161)</f>
        <v>0</v>
      </c>
      <c r="E162" s="249">
        <f t="shared" si="71"/>
        <v>0</v>
      </c>
      <c r="F162" s="249">
        <f t="shared" si="71"/>
        <v>0</v>
      </c>
      <c r="G162" s="249">
        <f t="shared" si="71"/>
        <v>0</v>
      </c>
      <c r="H162" s="249">
        <f t="shared" si="71"/>
        <v>0</v>
      </c>
      <c r="I162" s="249">
        <f t="shared" si="71"/>
        <v>0</v>
      </c>
      <c r="J162" s="249">
        <f t="shared" si="71"/>
        <v>0</v>
      </c>
      <c r="K162" s="249">
        <f t="shared" si="71"/>
        <v>0</v>
      </c>
      <c r="L162" s="249">
        <f t="shared" si="71"/>
        <v>0</v>
      </c>
      <c r="M162" s="249">
        <f t="shared" si="71"/>
        <v>0</v>
      </c>
      <c r="N162" s="249">
        <f t="shared" si="71"/>
        <v>0</v>
      </c>
      <c r="O162" s="249">
        <f t="shared" si="71"/>
        <v>0</v>
      </c>
      <c r="P162" s="249">
        <f t="shared" si="71"/>
        <v>0</v>
      </c>
      <c r="Q162" s="249">
        <f t="shared" si="71"/>
        <v>0</v>
      </c>
      <c r="R162" s="249">
        <f t="shared" si="71"/>
        <v>0</v>
      </c>
      <c r="S162" s="249">
        <f t="shared" si="71"/>
        <v>0</v>
      </c>
      <c r="T162" s="249">
        <f t="shared" si="71"/>
        <v>0</v>
      </c>
      <c r="U162" s="249">
        <f t="shared" si="71"/>
        <v>0</v>
      </c>
      <c r="V162" s="249">
        <f t="shared" si="71"/>
        <v>0</v>
      </c>
      <c r="W162" s="249">
        <f t="shared" si="71"/>
        <v>0</v>
      </c>
      <c r="X162" s="249">
        <f t="shared" si="71"/>
        <v>0</v>
      </c>
      <c r="Y162" s="249">
        <f t="shared" si="71"/>
        <v>0</v>
      </c>
      <c r="Z162" s="249">
        <f t="shared" si="71"/>
        <v>0</v>
      </c>
      <c r="AA162" s="249">
        <f t="shared" si="71"/>
        <v>0</v>
      </c>
      <c r="AB162" s="249">
        <f t="shared" si="71"/>
        <v>0</v>
      </c>
      <c r="AC162" s="249">
        <f t="shared" si="71"/>
        <v>0</v>
      </c>
      <c r="AD162" s="249">
        <f t="shared" si="71"/>
        <v>0</v>
      </c>
      <c r="AE162" s="249">
        <f t="shared" si="71"/>
        <v>0</v>
      </c>
      <c r="AF162" s="249">
        <f t="shared" si="71"/>
        <v>0</v>
      </c>
      <c r="AG162" s="249">
        <f t="shared" si="71"/>
        <v>0</v>
      </c>
      <c r="AH162" s="249">
        <f t="shared" si="71"/>
        <v>0</v>
      </c>
      <c r="AI162" s="249">
        <f t="shared" si="71"/>
        <v>0</v>
      </c>
      <c r="AJ162" s="249">
        <f t="shared" si="71"/>
        <v>0</v>
      </c>
      <c r="AK162" s="249">
        <f t="shared" si="71"/>
        <v>0</v>
      </c>
      <c r="AL162" s="249">
        <f t="shared" si="71"/>
        <v>0</v>
      </c>
      <c r="AM162" s="249">
        <f>SUM(AM158:AM161)</f>
        <v>0</v>
      </c>
      <c r="AN162" s="249">
        <f t="shared" ref="AN162:AP162" si="72">SUM(AN158:AN161)</f>
        <v>0</v>
      </c>
      <c r="AO162" s="249">
        <f t="shared" si="72"/>
        <v>0</v>
      </c>
      <c r="AP162" s="249">
        <f t="shared" si="72"/>
        <v>0</v>
      </c>
    </row>
    <row r="163" spans="1:42" x14ac:dyDescent="0.2">
      <c r="A163" s="164" t="s">
        <v>57</v>
      </c>
      <c r="B163" s="168"/>
      <c r="C163" s="245">
        <f>C144+C150+C156+C162</f>
        <v>0</v>
      </c>
      <c r="D163" s="245">
        <f>D144+D150+D156+D162</f>
        <v>0</v>
      </c>
      <c r="E163" s="245">
        <f t="shared" ref="E163:AP163" si="73">E144+E150+E156+E162</f>
        <v>0</v>
      </c>
      <c r="F163" s="245">
        <f t="shared" si="73"/>
        <v>0</v>
      </c>
      <c r="G163" s="245">
        <f t="shared" si="73"/>
        <v>0</v>
      </c>
      <c r="H163" s="245">
        <f t="shared" si="73"/>
        <v>0</v>
      </c>
      <c r="I163" s="245">
        <f t="shared" si="73"/>
        <v>0</v>
      </c>
      <c r="J163" s="245">
        <f t="shared" si="73"/>
        <v>0</v>
      </c>
      <c r="K163" s="245">
        <f t="shared" si="73"/>
        <v>0</v>
      </c>
      <c r="L163" s="245">
        <f t="shared" si="73"/>
        <v>0</v>
      </c>
      <c r="M163" s="245">
        <f t="shared" si="73"/>
        <v>0</v>
      </c>
      <c r="N163" s="245">
        <f t="shared" si="73"/>
        <v>0</v>
      </c>
      <c r="O163" s="245">
        <f t="shared" si="73"/>
        <v>0</v>
      </c>
      <c r="P163" s="245">
        <f t="shared" si="73"/>
        <v>0</v>
      </c>
      <c r="Q163" s="245">
        <f t="shared" si="73"/>
        <v>0</v>
      </c>
      <c r="R163" s="245">
        <f t="shared" si="73"/>
        <v>0</v>
      </c>
      <c r="S163" s="245">
        <f t="shared" si="73"/>
        <v>0</v>
      </c>
      <c r="T163" s="245">
        <f t="shared" si="73"/>
        <v>0</v>
      </c>
      <c r="U163" s="245">
        <f t="shared" si="73"/>
        <v>0</v>
      </c>
      <c r="V163" s="245">
        <f t="shared" si="73"/>
        <v>0</v>
      </c>
      <c r="W163" s="245">
        <f t="shared" si="73"/>
        <v>0</v>
      </c>
      <c r="X163" s="245">
        <f t="shared" si="73"/>
        <v>0</v>
      </c>
      <c r="Y163" s="245">
        <f t="shared" si="73"/>
        <v>0</v>
      </c>
      <c r="Z163" s="245">
        <f t="shared" si="73"/>
        <v>0</v>
      </c>
      <c r="AA163" s="245">
        <f t="shared" si="73"/>
        <v>0</v>
      </c>
      <c r="AB163" s="245">
        <f t="shared" si="73"/>
        <v>0</v>
      </c>
      <c r="AC163" s="245">
        <f t="shared" si="73"/>
        <v>0</v>
      </c>
      <c r="AD163" s="245">
        <f t="shared" si="73"/>
        <v>0</v>
      </c>
      <c r="AE163" s="245">
        <f t="shared" si="73"/>
        <v>0</v>
      </c>
      <c r="AF163" s="245">
        <f t="shared" si="73"/>
        <v>0</v>
      </c>
      <c r="AG163" s="245">
        <f t="shared" si="73"/>
        <v>0</v>
      </c>
      <c r="AH163" s="245">
        <f t="shared" si="73"/>
        <v>0</v>
      </c>
      <c r="AI163" s="245">
        <f t="shared" si="73"/>
        <v>0</v>
      </c>
      <c r="AJ163" s="245">
        <f t="shared" si="73"/>
        <v>0</v>
      </c>
      <c r="AK163" s="245">
        <f t="shared" si="73"/>
        <v>0</v>
      </c>
      <c r="AL163" s="245">
        <f t="shared" si="73"/>
        <v>0</v>
      </c>
      <c r="AM163" s="245">
        <f t="shared" si="73"/>
        <v>0</v>
      </c>
      <c r="AN163" s="245">
        <f t="shared" si="73"/>
        <v>0</v>
      </c>
      <c r="AO163" s="245">
        <f t="shared" si="73"/>
        <v>0</v>
      </c>
      <c r="AP163" s="245">
        <f t="shared" si="73"/>
        <v>0</v>
      </c>
    </row>
    <row r="164" spans="1:42" s="168" customFormat="1" x14ac:dyDescent="0.2">
      <c r="A164" s="166"/>
      <c r="C164" s="262"/>
      <c r="D164" s="262"/>
      <c r="E164" s="262"/>
      <c r="F164" s="262"/>
      <c r="G164" s="262"/>
      <c r="H164" s="262"/>
      <c r="I164" s="262"/>
      <c r="J164" s="262"/>
      <c r="K164" s="262"/>
      <c r="L164" s="262"/>
      <c r="M164" s="262"/>
      <c r="N164" s="262"/>
      <c r="O164" s="262"/>
      <c r="P164" s="262"/>
      <c r="Q164" s="262"/>
      <c r="R164" s="262"/>
      <c r="S164" s="262"/>
      <c r="T164" s="262"/>
      <c r="U164" s="262"/>
      <c r="V164" s="262"/>
      <c r="W164" s="262"/>
      <c r="X164" s="262"/>
      <c r="Y164" s="262"/>
      <c r="Z164" s="262"/>
      <c r="AA164" s="262"/>
      <c r="AB164" s="262"/>
      <c r="AC164" s="262"/>
      <c r="AD164" s="262"/>
      <c r="AE164" s="262"/>
      <c r="AF164" s="262"/>
      <c r="AG164" s="262"/>
      <c r="AH164" s="262"/>
      <c r="AI164" s="262"/>
      <c r="AJ164" s="262"/>
      <c r="AK164" s="262"/>
      <c r="AL164" s="262"/>
      <c r="AM164" s="262"/>
      <c r="AN164" s="262"/>
      <c r="AO164" s="262"/>
      <c r="AP164" s="262"/>
    </row>
    <row r="165" spans="1:42" x14ac:dyDescent="0.2">
      <c r="A165" s="164" t="s">
        <v>260</v>
      </c>
      <c r="B165" s="168"/>
      <c r="C165" s="272">
        <f>C137+C163</f>
        <v>-5972228.171783112</v>
      </c>
      <c r="D165" s="272">
        <f t="shared" ref="D165:AP165" si="74">D137+D163</f>
        <v>-9687504.4153764434</v>
      </c>
      <c r="E165" s="272">
        <f t="shared" si="74"/>
        <v>-5844982.4868028695</v>
      </c>
      <c r="F165" s="272">
        <f t="shared" si="74"/>
        <v>-3546123.8505803719</v>
      </c>
      <c r="G165" s="272">
        <f t="shared" si="74"/>
        <v>-3561531.4395675571</v>
      </c>
      <c r="H165" s="272">
        <f t="shared" si="74"/>
        <v>-1845720.9883922401</v>
      </c>
      <c r="I165" s="272">
        <f t="shared" si="74"/>
        <v>-134435.14191440708</v>
      </c>
      <c r="J165" s="272">
        <f t="shared" si="74"/>
        <v>-161420.80094335822</v>
      </c>
      <c r="K165" s="272">
        <f t="shared" si="74"/>
        <v>-191151.83662747761</v>
      </c>
      <c r="L165" s="272">
        <f t="shared" si="74"/>
        <v>-223642.42047713808</v>
      </c>
      <c r="M165" s="272">
        <f t="shared" si="74"/>
        <v>-259333.34092839679</v>
      </c>
      <c r="N165" s="272">
        <f t="shared" si="74"/>
        <v>-1610195.9138247077</v>
      </c>
      <c r="O165" s="272">
        <f t="shared" si="74"/>
        <v>-2556151.2273409744</v>
      </c>
      <c r="P165" s="272">
        <f t="shared" si="74"/>
        <v>-1769367.7319908324</v>
      </c>
      <c r="Q165" s="272">
        <f t="shared" si="74"/>
        <v>-1323500.5552638252</v>
      </c>
      <c r="R165" s="272">
        <f t="shared" si="74"/>
        <v>-1336213.3483544542</v>
      </c>
      <c r="S165" s="272">
        <f t="shared" si="74"/>
        <v>-976608.32836119435</v>
      </c>
      <c r="T165" s="272">
        <f t="shared" si="74"/>
        <v>-673022.79569117236</v>
      </c>
      <c r="U165" s="272">
        <f t="shared" si="74"/>
        <v>-743462.46590105363</v>
      </c>
      <c r="V165" s="272">
        <f t="shared" si="74"/>
        <v>-749636.57965616719</v>
      </c>
      <c r="W165" s="272">
        <f t="shared" si="74"/>
        <v>-726775.96141656244</v>
      </c>
      <c r="X165" s="272">
        <f t="shared" si="74"/>
        <v>-704403.27050982555</v>
      </c>
      <c r="Y165" s="272">
        <f t="shared" si="74"/>
        <v>-712041.46378020779</v>
      </c>
      <c r="Z165" s="272">
        <f t="shared" si="74"/>
        <v>-2484802.9682242833</v>
      </c>
      <c r="AA165" s="272">
        <f t="shared" si="74"/>
        <v>-3706649.0787514299</v>
      </c>
      <c r="AB165" s="272">
        <f t="shared" si="74"/>
        <v>0</v>
      </c>
      <c r="AC165" s="272">
        <f t="shared" si="74"/>
        <v>0</v>
      </c>
      <c r="AD165" s="272">
        <f t="shared" si="74"/>
        <v>0</v>
      </c>
      <c r="AE165" s="272">
        <f t="shared" si="74"/>
        <v>0</v>
      </c>
      <c r="AF165" s="272">
        <f t="shared" si="74"/>
        <v>0</v>
      </c>
      <c r="AG165" s="272">
        <f t="shared" si="74"/>
        <v>0</v>
      </c>
      <c r="AH165" s="272">
        <f t="shared" si="74"/>
        <v>0</v>
      </c>
      <c r="AI165" s="272">
        <f t="shared" si="74"/>
        <v>0</v>
      </c>
      <c r="AJ165" s="272">
        <f t="shared" si="74"/>
        <v>0</v>
      </c>
      <c r="AK165" s="272">
        <f t="shared" si="74"/>
        <v>0</v>
      </c>
      <c r="AL165" s="272">
        <f t="shared" si="74"/>
        <v>0</v>
      </c>
      <c r="AM165" s="272">
        <f t="shared" si="74"/>
        <v>0</v>
      </c>
      <c r="AN165" s="272">
        <f t="shared" si="74"/>
        <v>0</v>
      </c>
      <c r="AO165" s="272">
        <f t="shared" si="74"/>
        <v>0</v>
      </c>
      <c r="AP165" s="272">
        <f t="shared" si="74"/>
        <v>0</v>
      </c>
    </row>
    <row r="166" spans="1:42" x14ac:dyDescent="0.2">
      <c r="A166" s="36" t="s">
        <v>56</v>
      </c>
      <c r="B166" s="168"/>
      <c r="C166" s="275">
        <f t="shared" ref="C166:AP166" si="75">C165*-state_tax_rate/100</f>
        <v>418055.97202481783</v>
      </c>
      <c r="D166" s="275">
        <f t="shared" si="75"/>
        <v>678125.30907635111</v>
      </c>
      <c r="E166" s="275">
        <f t="shared" si="75"/>
        <v>409148.77407620085</v>
      </c>
      <c r="F166" s="275">
        <f t="shared" si="75"/>
        <v>248228.66954062603</v>
      </c>
      <c r="G166" s="275">
        <f t="shared" si="75"/>
        <v>249307.20076972898</v>
      </c>
      <c r="H166" s="275">
        <f t="shared" si="75"/>
        <v>129200.46918745682</v>
      </c>
      <c r="I166" s="275">
        <f t="shared" si="75"/>
        <v>9410.4599340084969</v>
      </c>
      <c r="J166" s="275">
        <f t="shared" si="75"/>
        <v>11299.456066035074</v>
      </c>
      <c r="K166" s="275">
        <f t="shared" si="75"/>
        <v>13380.628563923434</v>
      </c>
      <c r="L166" s="275">
        <f t="shared" si="75"/>
        <v>15654.969433399665</v>
      </c>
      <c r="M166" s="275">
        <f t="shared" si="75"/>
        <v>18153.333864987777</v>
      </c>
      <c r="N166" s="275">
        <f t="shared" si="75"/>
        <v>112713.71396772955</v>
      </c>
      <c r="O166" s="275">
        <f t="shared" si="75"/>
        <v>178930.58591386821</v>
      </c>
      <c r="P166" s="275">
        <f t="shared" si="75"/>
        <v>123855.74123935826</v>
      </c>
      <c r="Q166" s="275">
        <f t="shared" si="75"/>
        <v>92645.038868467775</v>
      </c>
      <c r="R166" s="275">
        <f t="shared" si="75"/>
        <v>93534.934384811786</v>
      </c>
      <c r="S166" s="275">
        <f t="shared" si="75"/>
        <v>68362.582985283603</v>
      </c>
      <c r="T166" s="275">
        <f t="shared" si="75"/>
        <v>47111.595698382065</v>
      </c>
      <c r="U166" s="275">
        <f t="shared" si="75"/>
        <v>52042.372613073756</v>
      </c>
      <c r="V166" s="275">
        <f t="shared" si="75"/>
        <v>52474.560575931704</v>
      </c>
      <c r="W166" s="275">
        <f t="shared" si="75"/>
        <v>50874.317299159375</v>
      </c>
      <c r="X166" s="275">
        <f t="shared" si="75"/>
        <v>49308.228935687781</v>
      </c>
      <c r="Y166" s="275">
        <f t="shared" si="75"/>
        <v>49842.902464614548</v>
      </c>
      <c r="Z166" s="275">
        <f t="shared" si="75"/>
        <v>173936.20777569982</v>
      </c>
      <c r="AA166" s="275">
        <f t="shared" si="75"/>
        <v>259465.43551260009</v>
      </c>
      <c r="AB166" s="275">
        <f t="shared" si="75"/>
        <v>0</v>
      </c>
      <c r="AC166" s="275">
        <f t="shared" si="75"/>
        <v>0</v>
      </c>
      <c r="AD166" s="275">
        <f t="shared" si="75"/>
        <v>0</v>
      </c>
      <c r="AE166" s="275">
        <f t="shared" si="75"/>
        <v>0</v>
      </c>
      <c r="AF166" s="275">
        <f t="shared" si="75"/>
        <v>0</v>
      </c>
      <c r="AG166" s="275">
        <f t="shared" si="75"/>
        <v>0</v>
      </c>
      <c r="AH166" s="275">
        <f t="shared" si="75"/>
        <v>0</v>
      </c>
      <c r="AI166" s="275">
        <f t="shared" si="75"/>
        <v>0</v>
      </c>
      <c r="AJ166" s="275">
        <f t="shared" si="75"/>
        <v>0</v>
      </c>
      <c r="AK166" s="275">
        <f t="shared" si="75"/>
        <v>0</v>
      </c>
      <c r="AL166" s="275">
        <f t="shared" si="75"/>
        <v>0</v>
      </c>
      <c r="AM166" s="275">
        <f t="shared" si="75"/>
        <v>0</v>
      </c>
      <c r="AN166" s="275">
        <f t="shared" si="75"/>
        <v>0</v>
      </c>
      <c r="AO166" s="275">
        <f t="shared" si="75"/>
        <v>0</v>
      </c>
      <c r="AP166" s="275">
        <f t="shared" si="75"/>
        <v>0</v>
      </c>
    </row>
    <row r="167" spans="1:42" s="263" customFormat="1" x14ac:dyDescent="0.2">
      <c r="A167" s="12"/>
    </row>
    <row r="168" spans="1:42" s="263" customFormat="1" x14ac:dyDescent="0.2">
      <c r="A168" s="35" t="s">
        <v>49</v>
      </c>
    </row>
    <row r="169" spans="1:42" s="21" customFormat="1" x14ac:dyDescent="0.2">
      <c r="A169" s="164" t="s">
        <v>46</v>
      </c>
      <c r="B169" s="263"/>
      <c r="C169" s="270">
        <f>C$38</f>
        <v>-492650</v>
      </c>
      <c r="D169" s="270">
        <f t="shared" ref="D169:AP169" si="76">D$38</f>
        <v>-504966.24999999988</v>
      </c>
      <c r="E169" s="270">
        <f t="shared" si="76"/>
        <v>-517590.40625</v>
      </c>
      <c r="F169" s="270">
        <f t="shared" si="76"/>
        <v>-530530.16640624986</v>
      </c>
      <c r="G169" s="270">
        <f t="shared" si="76"/>
        <v>-543793.4205664061</v>
      </c>
      <c r="H169" s="270">
        <f t="shared" si="76"/>
        <v>-557388.25608056621</v>
      </c>
      <c r="I169" s="270">
        <f t="shared" si="76"/>
        <v>-571322.96248258033</v>
      </c>
      <c r="J169" s="270">
        <f t="shared" si="76"/>
        <v>-585606.03654464486</v>
      </c>
      <c r="K169" s="270">
        <f t="shared" si="76"/>
        <v>-600246.18745826092</v>
      </c>
      <c r="L169" s="270">
        <f t="shared" si="76"/>
        <v>-615252.34214471735</v>
      </c>
      <c r="M169" s="270">
        <f t="shared" si="76"/>
        <v>-630633.65069833538</v>
      </c>
      <c r="N169" s="270">
        <f t="shared" si="76"/>
        <v>-646399.49196579377</v>
      </c>
      <c r="O169" s="270">
        <f t="shared" si="76"/>
        <v>-662559.47926493851</v>
      </c>
      <c r="P169" s="270">
        <f t="shared" si="76"/>
        <v>-679123.46624656185</v>
      </c>
      <c r="Q169" s="270">
        <f t="shared" si="76"/>
        <v>-696101.55290272599</v>
      </c>
      <c r="R169" s="270">
        <f t="shared" si="76"/>
        <v>-713504.09172529413</v>
      </c>
      <c r="S169" s="270">
        <f t="shared" si="76"/>
        <v>-731341.69401842647</v>
      </c>
      <c r="T169" s="270">
        <f t="shared" si="76"/>
        <v>-749625.23636888689</v>
      </c>
      <c r="U169" s="270">
        <f t="shared" si="76"/>
        <v>-768365.86727810919</v>
      </c>
      <c r="V169" s="270">
        <f t="shared" si="76"/>
        <v>-787575.01396006194</v>
      </c>
      <c r="W169" s="270">
        <f t="shared" si="76"/>
        <v>-807264.38930906332</v>
      </c>
      <c r="X169" s="270">
        <f t="shared" si="76"/>
        <v>-827445.99904178991</v>
      </c>
      <c r="Y169" s="270">
        <f t="shared" si="76"/>
        <v>-848132.14901783457</v>
      </c>
      <c r="Z169" s="270">
        <f t="shared" si="76"/>
        <v>-869335.45274328045</v>
      </c>
      <c r="AA169" s="270">
        <f t="shared" si="76"/>
        <v>-891068.83906186256</v>
      </c>
      <c r="AB169" s="270">
        <f t="shared" si="76"/>
        <v>0</v>
      </c>
      <c r="AC169" s="270">
        <f t="shared" si="76"/>
        <v>0</v>
      </c>
      <c r="AD169" s="270">
        <f t="shared" si="76"/>
        <v>0</v>
      </c>
      <c r="AE169" s="270">
        <f t="shared" si="76"/>
        <v>0</v>
      </c>
      <c r="AF169" s="270">
        <f t="shared" si="76"/>
        <v>0</v>
      </c>
      <c r="AG169" s="270">
        <f t="shared" si="76"/>
        <v>0</v>
      </c>
      <c r="AH169" s="270">
        <f t="shared" si="76"/>
        <v>0</v>
      </c>
      <c r="AI169" s="270">
        <f t="shared" si="76"/>
        <v>0</v>
      </c>
      <c r="AJ169" s="270">
        <f t="shared" si="76"/>
        <v>0</v>
      </c>
      <c r="AK169" s="270">
        <f t="shared" si="76"/>
        <v>0</v>
      </c>
      <c r="AL169" s="270">
        <f t="shared" si="76"/>
        <v>0</v>
      </c>
      <c r="AM169" s="270">
        <f t="shared" si="76"/>
        <v>0</v>
      </c>
      <c r="AN169" s="270">
        <f t="shared" si="76"/>
        <v>0</v>
      </c>
      <c r="AO169" s="270">
        <f t="shared" si="76"/>
        <v>0</v>
      </c>
      <c r="AP169" s="270">
        <f t="shared" si="76"/>
        <v>0</v>
      </c>
    </row>
    <row r="170" spans="1:42" s="21" customFormat="1" x14ac:dyDescent="0.2">
      <c r="A170" s="164" t="s">
        <v>55</v>
      </c>
      <c r="B170" s="263"/>
      <c r="C170" s="270">
        <f t="shared" ref="C170:AP170" si="77">C656</f>
        <v>-2684.9561717182937</v>
      </c>
      <c r="D170" s="270">
        <f t="shared" si="77"/>
        <v>6907.2117257108084</v>
      </c>
      <c r="E170" s="270">
        <f t="shared" si="77"/>
        <v>16500.001356913952</v>
      </c>
      <c r="F170" s="270">
        <f t="shared" si="77"/>
        <v>26093.428265235481</v>
      </c>
      <c r="G170" s="270">
        <f t="shared" si="77"/>
        <v>35687.508382603359</v>
      </c>
      <c r="H170" s="270">
        <f t="shared" si="77"/>
        <v>45282.258039243745</v>
      </c>
      <c r="I170" s="270">
        <f t="shared" si="77"/>
        <v>54877.693973638452</v>
      </c>
      <c r="J170" s="270">
        <f t="shared" si="77"/>
        <v>64473.833342731334</v>
      </c>
      <c r="K170" s="270">
        <f t="shared" si="77"/>
        <v>74070.69373238986</v>
      </c>
      <c r="L170" s="270">
        <f t="shared" si="77"/>
        <v>83668.293168128163</v>
      </c>
      <c r="M170" s="270">
        <f t="shared" si="77"/>
        <v>93266.650126098233</v>
      </c>
      <c r="N170" s="270">
        <f t="shared" si="77"/>
        <v>102865.78354435586</v>
      </c>
      <c r="O170" s="270">
        <f t="shared" si="77"/>
        <v>-3610.9675489350561</v>
      </c>
      <c r="P170" s="270">
        <f t="shared" si="77"/>
        <v>9289.4318566114525</v>
      </c>
      <c r="Q170" s="270">
        <f t="shared" si="77"/>
        <v>22190.667424962321</v>
      </c>
      <c r="R170" s="270">
        <f t="shared" si="77"/>
        <v>35092.760060187655</v>
      </c>
      <c r="S170" s="270">
        <f t="shared" si="77"/>
        <v>47995.73118895934</v>
      </c>
      <c r="T170" s="270">
        <f t="shared" si="77"/>
        <v>60899.602773615996</v>
      </c>
      <c r="U170" s="270">
        <f t="shared" si="77"/>
        <v>83924.918698915921</v>
      </c>
      <c r="V170" s="270">
        <f t="shared" si="77"/>
        <v>96959.951625755071</v>
      </c>
      <c r="W170" s="270">
        <f t="shared" si="77"/>
        <v>109999.18655343092</v>
      </c>
      <c r="X170" s="270">
        <f t="shared" si="77"/>
        <v>123042.72853196433</v>
      </c>
      <c r="Y170" s="270">
        <f t="shared" si="77"/>
        <v>136090.68523762681</v>
      </c>
      <c r="Z170" s="270">
        <f t="shared" si="77"/>
        <v>149143.16703859653</v>
      </c>
      <c r="AA170" s="270">
        <f t="shared" si="77"/>
        <v>7796.8523417912975</v>
      </c>
      <c r="AB170" s="270">
        <f t="shared" si="77"/>
        <v>0</v>
      </c>
      <c r="AC170" s="270">
        <f t="shared" si="77"/>
        <v>0</v>
      </c>
      <c r="AD170" s="270">
        <f t="shared" si="77"/>
        <v>0</v>
      </c>
      <c r="AE170" s="270">
        <f t="shared" si="77"/>
        <v>0</v>
      </c>
      <c r="AF170" s="270">
        <f t="shared" si="77"/>
        <v>0</v>
      </c>
      <c r="AG170" s="270">
        <f t="shared" si="77"/>
        <v>0</v>
      </c>
      <c r="AH170" s="270">
        <f t="shared" si="77"/>
        <v>0</v>
      </c>
      <c r="AI170" s="270">
        <f t="shared" si="77"/>
        <v>0</v>
      </c>
      <c r="AJ170" s="270">
        <f t="shared" si="77"/>
        <v>0</v>
      </c>
      <c r="AK170" s="270">
        <f t="shared" si="77"/>
        <v>0</v>
      </c>
      <c r="AL170" s="270">
        <f t="shared" si="77"/>
        <v>0</v>
      </c>
      <c r="AM170" s="270">
        <f t="shared" si="77"/>
        <v>0</v>
      </c>
      <c r="AN170" s="270">
        <f t="shared" si="77"/>
        <v>0</v>
      </c>
      <c r="AO170" s="270">
        <f t="shared" si="77"/>
        <v>0</v>
      </c>
      <c r="AP170" s="270">
        <f t="shared" si="77"/>
        <v>0</v>
      </c>
    </row>
    <row r="171" spans="1:42" s="21" customFormat="1" x14ac:dyDescent="0.2">
      <c r="A171" s="164" t="s">
        <v>47</v>
      </c>
      <c r="B171" s="263"/>
      <c r="C171" s="270">
        <f t="shared" ref="C171:AP171" si="78">-C533</f>
        <v>635080.01065384725</v>
      </c>
      <c r="D171" s="270">
        <f t="shared" si="78"/>
        <v>623570.4620258701</v>
      </c>
      <c r="E171" s="270">
        <f t="shared" si="78"/>
        <v>610592.06230162713</v>
      </c>
      <c r="F171" s="270">
        <f t="shared" si="78"/>
        <v>596025.4123370715</v>
      </c>
      <c r="G171" s="270">
        <f t="shared" si="78"/>
        <v>579742.3405588913</v>
      </c>
      <c r="H171" s="270">
        <f t="shared" si="78"/>
        <v>561605.27853223006</v>
      </c>
      <c r="I171" s="270">
        <f t="shared" si="78"/>
        <v>541466.59255909396</v>
      </c>
      <c r="J171" s="270">
        <f t="shared" si="78"/>
        <v>519167.86822311446</v>
      </c>
      <c r="K171" s="270">
        <f t="shared" si="78"/>
        <v>494539.14458027453</v>
      </c>
      <c r="L171" s="270">
        <f t="shared" si="78"/>
        <v>467398.09446401033</v>
      </c>
      <c r="M171" s="270">
        <f t="shared" si="78"/>
        <v>437549.14712572144</v>
      </c>
      <c r="N171" s="270">
        <f t="shared" si="78"/>
        <v>404782.54916701908</v>
      </c>
      <c r="O171" s="270">
        <f t="shared" si="78"/>
        <v>368873.35943680594</v>
      </c>
      <c r="P171" s="270">
        <f t="shared" si="78"/>
        <v>319427.5906573562</v>
      </c>
      <c r="Q171" s="270">
        <f t="shared" si="78"/>
        <v>265628.71107202681</v>
      </c>
      <c r="R171" s="270">
        <f t="shared" si="78"/>
        <v>207149.70524962316</v>
      </c>
      <c r="S171" s="270">
        <f t="shared" si="78"/>
        <v>143640.10923689767</v>
      </c>
      <c r="T171" s="270">
        <f t="shared" si="78"/>
        <v>74724.355225958832</v>
      </c>
      <c r="U171" s="270">
        <f t="shared" si="78"/>
        <v>0</v>
      </c>
      <c r="V171" s="270">
        <f t="shared" si="78"/>
        <v>0</v>
      </c>
      <c r="W171" s="270">
        <f t="shared" si="78"/>
        <v>0</v>
      </c>
      <c r="X171" s="270">
        <f t="shared" si="78"/>
        <v>0</v>
      </c>
      <c r="Y171" s="270">
        <f t="shared" si="78"/>
        <v>0</v>
      </c>
      <c r="Z171" s="270">
        <f t="shared" si="78"/>
        <v>0</v>
      </c>
      <c r="AA171" s="270">
        <f t="shared" si="78"/>
        <v>0</v>
      </c>
      <c r="AB171" s="270">
        <f t="shared" si="78"/>
        <v>0</v>
      </c>
      <c r="AC171" s="270">
        <f t="shared" si="78"/>
        <v>0</v>
      </c>
      <c r="AD171" s="270">
        <f t="shared" si="78"/>
        <v>0</v>
      </c>
      <c r="AE171" s="270">
        <f t="shared" si="78"/>
        <v>0</v>
      </c>
      <c r="AF171" s="270">
        <f t="shared" si="78"/>
        <v>0</v>
      </c>
      <c r="AG171" s="270">
        <f t="shared" si="78"/>
        <v>0</v>
      </c>
      <c r="AH171" s="270">
        <f t="shared" si="78"/>
        <v>0</v>
      </c>
      <c r="AI171" s="270">
        <f t="shared" si="78"/>
        <v>0</v>
      </c>
      <c r="AJ171" s="270">
        <f t="shared" si="78"/>
        <v>0</v>
      </c>
      <c r="AK171" s="270">
        <f t="shared" si="78"/>
        <v>0</v>
      </c>
      <c r="AL171" s="270">
        <f t="shared" si="78"/>
        <v>0</v>
      </c>
      <c r="AM171" s="270">
        <f t="shared" si="78"/>
        <v>0</v>
      </c>
      <c r="AN171" s="270">
        <f t="shared" si="78"/>
        <v>0</v>
      </c>
      <c r="AO171" s="270">
        <f t="shared" si="78"/>
        <v>0</v>
      </c>
      <c r="AP171" s="270">
        <f t="shared" si="78"/>
        <v>0</v>
      </c>
    </row>
    <row r="172" spans="1:42" s="12" customFormat="1" x14ac:dyDescent="0.2">
      <c r="A172" s="164" t="s">
        <v>50</v>
      </c>
      <c r="B172" s="263"/>
      <c r="C172" s="273">
        <f t="shared" ref="C172:AP172" si="79">IF(C$2&lt;=analysis_period,-C390-C421-C447-C473,0)</f>
        <v>-6111973.2262652405</v>
      </c>
      <c r="D172" s="273">
        <f t="shared" si="79"/>
        <v>-9813015.8391280249</v>
      </c>
      <c r="E172" s="273">
        <f t="shared" si="79"/>
        <v>-5954484.1442114105</v>
      </c>
      <c r="F172" s="273">
        <f t="shared" si="79"/>
        <v>-3637712.5247764289</v>
      </c>
      <c r="G172" s="273">
        <f t="shared" si="79"/>
        <v>-3633167.8679426457</v>
      </c>
      <c r="H172" s="273">
        <f t="shared" si="79"/>
        <v>-1895220.2688831477</v>
      </c>
      <c r="I172" s="273">
        <f t="shared" si="79"/>
        <v>-159456.46596455917</v>
      </c>
      <c r="J172" s="273">
        <f t="shared" si="79"/>
        <v>-159456.46596455917</v>
      </c>
      <c r="K172" s="273">
        <f t="shared" si="79"/>
        <v>-159515.48748188105</v>
      </c>
      <c r="L172" s="273">
        <f t="shared" si="79"/>
        <v>-159456.46596455917</v>
      </c>
      <c r="M172" s="273">
        <f t="shared" si="79"/>
        <v>-159515.48748188105</v>
      </c>
      <c r="N172" s="273">
        <f t="shared" si="79"/>
        <v>-1471444.7545702888</v>
      </c>
      <c r="O172" s="273">
        <f t="shared" si="79"/>
        <v>-2258854.1399639067</v>
      </c>
      <c r="P172" s="273">
        <f t="shared" si="79"/>
        <v>-1418961.288258238</v>
      </c>
      <c r="Q172" s="273">
        <f t="shared" si="79"/>
        <v>-915218.38085808838</v>
      </c>
      <c r="R172" s="273">
        <f t="shared" si="79"/>
        <v>-864951.72193897073</v>
      </c>
      <c r="S172" s="273">
        <f t="shared" si="79"/>
        <v>-436902.47476862493</v>
      </c>
      <c r="T172" s="273">
        <f t="shared" si="79"/>
        <v>-59021.517321860279</v>
      </c>
      <c r="U172" s="273">
        <f t="shared" si="79"/>
        <v>-59021.517321860279</v>
      </c>
      <c r="V172" s="273">
        <f t="shared" si="79"/>
        <v>-59021.517321860279</v>
      </c>
      <c r="W172" s="273">
        <f t="shared" si="79"/>
        <v>-29510.75866093014</v>
      </c>
      <c r="X172" s="273">
        <f t="shared" si="79"/>
        <v>0</v>
      </c>
      <c r="Y172" s="273">
        <f t="shared" si="79"/>
        <v>0</v>
      </c>
      <c r="Z172" s="273">
        <f t="shared" si="79"/>
        <v>-1764610.6825195991</v>
      </c>
      <c r="AA172" s="273">
        <f t="shared" si="79"/>
        <v>-2823377.0920313583</v>
      </c>
      <c r="AB172" s="273">
        <f t="shared" si="79"/>
        <v>0</v>
      </c>
      <c r="AC172" s="273">
        <f t="shared" si="79"/>
        <v>0</v>
      </c>
      <c r="AD172" s="273">
        <f t="shared" si="79"/>
        <v>0</v>
      </c>
      <c r="AE172" s="273">
        <f t="shared" si="79"/>
        <v>0</v>
      </c>
      <c r="AF172" s="273">
        <f t="shared" si="79"/>
        <v>0</v>
      </c>
      <c r="AG172" s="273">
        <f t="shared" si="79"/>
        <v>0</v>
      </c>
      <c r="AH172" s="273">
        <f t="shared" si="79"/>
        <v>0</v>
      </c>
      <c r="AI172" s="273">
        <f t="shared" si="79"/>
        <v>0</v>
      </c>
      <c r="AJ172" s="273">
        <f t="shared" si="79"/>
        <v>0</v>
      </c>
      <c r="AK172" s="273">
        <f t="shared" si="79"/>
        <v>0</v>
      </c>
      <c r="AL172" s="273">
        <f t="shared" si="79"/>
        <v>0</v>
      </c>
      <c r="AM172" s="273">
        <f t="shared" si="79"/>
        <v>0</v>
      </c>
      <c r="AN172" s="273">
        <f t="shared" si="79"/>
        <v>0</v>
      </c>
      <c r="AO172" s="273">
        <f t="shared" si="79"/>
        <v>0</v>
      </c>
      <c r="AP172" s="273">
        <f t="shared" si="79"/>
        <v>0</v>
      </c>
    </row>
    <row r="173" spans="1:42" s="21" customFormat="1" x14ac:dyDescent="0.2">
      <c r="A173" s="164" t="s">
        <v>56</v>
      </c>
      <c r="B173" s="263"/>
      <c r="C173" s="273">
        <f>C166</f>
        <v>418055.97202481783</v>
      </c>
      <c r="D173" s="273">
        <f t="shared" ref="D173:AP173" si="80">D166</f>
        <v>678125.30907635111</v>
      </c>
      <c r="E173" s="273">
        <f t="shared" si="80"/>
        <v>409148.77407620085</v>
      </c>
      <c r="F173" s="273">
        <f t="shared" si="80"/>
        <v>248228.66954062603</v>
      </c>
      <c r="G173" s="273">
        <f t="shared" si="80"/>
        <v>249307.20076972898</v>
      </c>
      <c r="H173" s="273">
        <f t="shared" si="80"/>
        <v>129200.46918745682</v>
      </c>
      <c r="I173" s="273">
        <f t="shared" si="80"/>
        <v>9410.4599340084969</v>
      </c>
      <c r="J173" s="273">
        <f t="shared" si="80"/>
        <v>11299.456066035074</v>
      </c>
      <c r="K173" s="273">
        <f t="shared" si="80"/>
        <v>13380.628563923434</v>
      </c>
      <c r="L173" s="273">
        <f t="shared" si="80"/>
        <v>15654.969433399665</v>
      </c>
      <c r="M173" s="273">
        <f t="shared" si="80"/>
        <v>18153.333864987777</v>
      </c>
      <c r="N173" s="273">
        <f t="shared" si="80"/>
        <v>112713.71396772955</v>
      </c>
      <c r="O173" s="273">
        <f t="shared" si="80"/>
        <v>178930.58591386821</v>
      </c>
      <c r="P173" s="273">
        <f t="shared" si="80"/>
        <v>123855.74123935826</v>
      </c>
      <c r="Q173" s="273">
        <f t="shared" si="80"/>
        <v>92645.038868467775</v>
      </c>
      <c r="R173" s="273">
        <f t="shared" si="80"/>
        <v>93534.934384811786</v>
      </c>
      <c r="S173" s="273">
        <f t="shared" si="80"/>
        <v>68362.582985283603</v>
      </c>
      <c r="T173" s="273">
        <f t="shared" si="80"/>
        <v>47111.595698382065</v>
      </c>
      <c r="U173" s="273">
        <f t="shared" si="80"/>
        <v>52042.372613073756</v>
      </c>
      <c r="V173" s="273">
        <f t="shared" si="80"/>
        <v>52474.560575931704</v>
      </c>
      <c r="W173" s="273">
        <f t="shared" si="80"/>
        <v>50874.317299159375</v>
      </c>
      <c r="X173" s="273">
        <f t="shared" si="80"/>
        <v>49308.228935687781</v>
      </c>
      <c r="Y173" s="273">
        <f t="shared" si="80"/>
        <v>49842.902464614548</v>
      </c>
      <c r="Z173" s="273">
        <f t="shared" si="80"/>
        <v>173936.20777569982</v>
      </c>
      <c r="AA173" s="273">
        <f t="shared" si="80"/>
        <v>259465.43551260009</v>
      </c>
      <c r="AB173" s="273">
        <f t="shared" si="80"/>
        <v>0</v>
      </c>
      <c r="AC173" s="273">
        <f t="shared" si="80"/>
        <v>0</v>
      </c>
      <c r="AD173" s="273">
        <f t="shared" si="80"/>
        <v>0</v>
      </c>
      <c r="AE173" s="273">
        <f t="shared" si="80"/>
        <v>0</v>
      </c>
      <c r="AF173" s="273">
        <f t="shared" si="80"/>
        <v>0</v>
      </c>
      <c r="AG173" s="273">
        <f t="shared" si="80"/>
        <v>0</v>
      </c>
      <c r="AH173" s="273">
        <f t="shared" si="80"/>
        <v>0</v>
      </c>
      <c r="AI173" s="273">
        <f t="shared" si="80"/>
        <v>0</v>
      </c>
      <c r="AJ173" s="273">
        <f t="shared" si="80"/>
        <v>0</v>
      </c>
      <c r="AK173" s="273">
        <f t="shared" si="80"/>
        <v>0</v>
      </c>
      <c r="AL173" s="273">
        <f t="shared" si="80"/>
        <v>0</v>
      </c>
      <c r="AM173" s="273">
        <f t="shared" si="80"/>
        <v>0</v>
      </c>
      <c r="AN173" s="273">
        <f t="shared" si="80"/>
        <v>0</v>
      </c>
      <c r="AO173" s="273">
        <f t="shared" si="80"/>
        <v>0</v>
      </c>
      <c r="AP173" s="273">
        <f t="shared" si="80"/>
        <v>0</v>
      </c>
    </row>
    <row r="174" spans="1:42" s="21" customFormat="1" x14ac:dyDescent="0.2">
      <c r="A174" s="164" t="s">
        <v>77</v>
      </c>
      <c r="B174" s="263"/>
      <c r="C174" s="273">
        <f t="shared" ref="C174:AP174" si="81">C99</f>
        <v>0</v>
      </c>
      <c r="D174" s="273">
        <f t="shared" si="81"/>
        <v>0</v>
      </c>
      <c r="E174" s="273">
        <f t="shared" si="81"/>
        <v>0</v>
      </c>
      <c r="F174" s="273">
        <f t="shared" si="81"/>
        <v>0</v>
      </c>
      <c r="G174" s="273">
        <f t="shared" si="81"/>
        <v>0</v>
      </c>
      <c r="H174" s="273">
        <f t="shared" si="81"/>
        <v>0</v>
      </c>
      <c r="I174" s="273">
        <f t="shared" si="81"/>
        <v>0</v>
      </c>
      <c r="J174" s="273">
        <f t="shared" si="81"/>
        <v>0</v>
      </c>
      <c r="K174" s="273">
        <f t="shared" si="81"/>
        <v>0</v>
      </c>
      <c r="L174" s="273">
        <f t="shared" si="81"/>
        <v>0</v>
      </c>
      <c r="M174" s="273">
        <f t="shared" si="81"/>
        <v>0</v>
      </c>
      <c r="N174" s="273">
        <f t="shared" si="81"/>
        <v>0</v>
      </c>
      <c r="O174" s="273">
        <f t="shared" si="81"/>
        <v>0</v>
      </c>
      <c r="P174" s="273">
        <f t="shared" si="81"/>
        <v>0</v>
      </c>
      <c r="Q174" s="273">
        <f t="shared" si="81"/>
        <v>0</v>
      </c>
      <c r="R174" s="273">
        <f t="shared" si="81"/>
        <v>0</v>
      </c>
      <c r="S174" s="273">
        <f t="shared" si="81"/>
        <v>0</v>
      </c>
      <c r="T174" s="273">
        <f t="shared" si="81"/>
        <v>0</v>
      </c>
      <c r="U174" s="273">
        <f t="shared" si="81"/>
        <v>0</v>
      </c>
      <c r="V174" s="273">
        <f t="shared" si="81"/>
        <v>0</v>
      </c>
      <c r="W174" s="273">
        <f t="shared" si="81"/>
        <v>0</v>
      </c>
      <c r="X174" s="273">
        <f t="shared" si="81"/>
        <v>0</v>
      </c>
      <c r="Y174" s="273">
        <f t="shared" si="81"/>
        <v>0</v>
      </c>
      <c r="Z174" s="273">
        <f t="shared" si="81"/>
        <v>0</v>
      </c>
      <c r="AA174" s="273">
        <f t="shared" si="81"/>
        <v>0</v>
      </c>
      <c r="AB174" s="273">
        <f t="shared" si="81"/>
        <v>0</v>
      </c>
      <c r="AC174" s="273">
        <f t="shared" si="81"/>
        <v>0</v>
      </c>
      <c r="AD174" s="273">
        <f t="shared" si="81"/>
        <v>0</v>
      </c>
      <c r="AE174" s="273">
        <f t="shared" si="81"/>
        <v>0</v>
      </c>
      <c r="AF174" s="273">
        <f t="shared" si="81"/>
        <v>0</v>
      </c>
      <c r="AG174" s="273">
        <f t="shared" si="81"/>
        <v>0</v>
      </c>
      <c r="AH174" s="273">
        <f t="shared" si="81"/>
        <v>0</v>
      </c>
      <c r="AI174" s="273">
        <f t="shared" si="81"/>
        <v>0</v>
      </c>
      <c r="AJ174" s="273">
        <f t="shared" si="81"/>
        <v>0</v>
      </c>
      <c r="AK174" s="273">
        <f t="shared" si="81"/>
        <v>0</v>
      </c>
      <c r="AL174" s="273">
        <f t="shared" si="81"/>
        <v>0</v>
      </c>
      <c r="AM174" s="273">
        <f t="shared" si="81"/>
        <v>0</v>
      </c>
      <c r="AN174" s="273">
        <f t="shared" si="81"/>
        <v>0</v>
      </c>
      <c r="AO174" s="273">
        <f t="shared" si="81"/>
        <v>0</v>
      </c>
      <c r="AP174" s="273">
        <f t="shared" si="81"/>
        <v>0</v>
      </c>
    </row>
    <row r="175" spans="1:42" s="21" customFormat="1" x14ac:dyDescent="0.2">
      <c r="A175" s="164" t="s">
        <v>154</v>
      </c>
      <c r="B175" s="263"/>
      <c r="C175" s="271">
        <f t="shared" ref="C175:AP175" si="82">C103</f>
        <v>0</v>
      </c>
      <c r="D175" s="271">
        <f t="shared" si="82"/>
        <v>0</v>
      </c>
      <c r="E175" s="271">
        <f t="shared" si="82"/>
        <v>0</v>
      </c>
      <c r="F175" s="271">
        <f t="shared" si="82"/>
        <v>0</v>
      </c>
      <c r="G175" s="271">
        <f t="shared" si="82"/>
        <v>0</v>
      </c>
      <c r="H175" s="271">
        <f t="shared" si="82"/>
        <v>0</v>
      </c>
      <c r="I175" s="271">
        <f t="shared" si="82"/>
        <v>0</v>
      </c>
      <c r="J175" s="271">
        <f t="shared" si="82"/>
        <v>0</v>
      </c>
      <c r="K175" s="271">
        <f t="shared" si="82"/>
        <v>0</v>
      </c>
      <c r="L175" s="271">
        <f t="shared" si="82"/>
        <v>0</v>
      </c>
      <c r="M175" s="271">
        <f t="shared" si="82"/>
        <v>0</v>
      </c>
      <c r="N175" s="271">
        <f t="shared" si="82"/>
        <v>0</v>
      </c>
      <c r="O175" s="271">
        <f t="shared" si="82"/>
        <v>0</v>
      </c>
      <c r="P175" s="271">
        <f t="shared" si="82"/>
        <v>0</v>
      </c>
      <c r="Q175" s="271">
        <f t="shared" si="82"/>
        <v>0</v>
      </c>
      <c r="R175" s="271">
        <f t="shared" si="82"/>
        <v>0</v>
      </c>
      <c r="S175" s="271">
        <f t="shared" si="82"/>
        <v>0</v>
      </c>
      <c r="T175" s="271">
        <f t="shared" si="82"/>
        <v>0</v>
      </c>
      <c r="U175" s="271">
        <f t="shared" si="82"/>
        <v>0</v>
      </c>
      <c r="V175" s="271">
        <f t="shared" si="82"/>
        <v>0</v>
      </c>
      <c r="W175" s="271">
        <f t="shared" si="82"/>
        <v>0</v>
      </c>
      <c r="X175" s="271">
        <f t="shared" si="82"/>
        <v>0</v>
      </c>
      <c r="Y175" s="271">
        <f t="shared" si="82"/>
        <v>0</v>
      </c>
      <c r="Z175" s="271">
        <f t="shared" si="82"/>
        <v>0</v>
      </c>
      <c r="AA175" s="271">
        <f t="shared" si="82"/>
        <v>0</v>
      </c>
      <c r="AB175" s="271">
        <f t="shared" si="82"/>
        <v>0</v>
      </c>
      <c r="AC175" s="271">
        <f t="shared" si="82"/>
        <v>0</v>
      </c>
      <c r="AD175" s="271">
        <f t="shared" si="82"/>
        <v>0</v>
      </c>
      <c r="AE175" s="271">
        <f t="shared" si="82"/>
        <v>0</v>
      </c>
      <c r="AF175" s="271">
        <f t="shared" si="82"/>
        <v>0</v>
      </c>
      <c r="AG175" s="271">
        <f t="shared" si="82"/>
        <v>0</v>
      </c>
      <c r="AH175" s="271">
        <f t="shared" si="82"/>
        <v>0</v>
      </c>
      <c r="AI175" s="271">
        <f t="shared" si="82"/>
        <v>0</v>
      </c>
      <c r="AJ175" s="271">
        <f t="shared" si="82"/>
        <v>0</v>
      </c>
      <c r="AK175" s="271">
        <f t="shared" si="82"/>
        <v>0</v>
      </c>
      <c r="AL175" s="271">
        <f t="shared" si="82"/>
        <v>0</v>
      </c>
      <c r="AM175" s="271">
        <f t="shared" si="82"/>
        <v>0</v>
      </c>
      <c r="AN175" s="271">
        <f t="shared" si="82"/>
        <v>0</v>
      </c>
      <c r="AO175" s="271">
        <f t="shared" si="82"/>
        <v>0</v>
      </c>
      <c r="AP175" s="271">
        <f t="shared" si="82"/>
        <v>0</v>
      </c>
    </row>
    <row r="176" spans="1:42" s="21" customFormat="1" x14ac:dyDescent="0.2">
      <c r="A176" s="164" t="s">
        <v>48</v>
      </c>
      <c r="B176" s="263"/>
      <c r="C176" s="270">
        <f>SUM(C169:C175)</f>
        <v>-5554172.199758294</v>
      </c>
      <c r="D176" s="270">
        <f t="shared" ref="D176:AP176" si="83">SUM(D169:D175)</f>
        <v>-9009379.1063000932</v>
      </c>
      <c r="E176" s="270">
        <f t="shared" si="83"/>
        <v>-5435833.7127266685</v>
      </c>
      <c r="F176" s="270">
        <f t="shared" si="83"/>
        <v>-3297895.1810397459</v>
      </c>
      <c r="G176" s="270">
        <f t="shared" si="83"/>
        <v>-3312224.2387978281</v>
      </c>
      <c r="H176" s="270">
        <f t="shared" si="83"/>
        <v>-1716520.5192047833</v>
      </c>
      <c r="I176" s="270">
        <f t="shared" si="83"/>
        <v>-125024.68198039859</v>
      </c>
      <c r="J176" s="270">
        <f t="shared" si="83"/>
        <v>-150121.34487732314</v>
      </c>
      <c r="K176" s="270">
        <f t="shared" si="83"/>
        <v>-177771.20806355416</v>
      </c>
      <c r="L176" s="270">
        <f t="shared" si="83"/>
        <v>-207987.4510437384</v>
      </c>
      <c r="M176" s="270">
        <f t="shared" si="83"/>
        <v>-241180.00706340902</v>
      </c>
      <c r="N176" s="270">
        <f t="shared" si="83"/>
        <v>-1497482.1998569781</v>
      </c>
      <c r="O176" s="270">
        <f t="shared" si="83"/>
        <v>-2377220.6414271062</v>
      </c>
      <c r="P176" s="270">
        <f t="shared" si="83"/>
        <v>-1645511.9907514739</v>
      </c>
      <c r="Q176" s="270">
        <f t="shared" si="83"/>
        <v>-1230855.5163953574</v>
      </c>
      <c r="R176" s="270">
        <f t="shared" si="83"/>
        <v>-1242678.4139696425</v>
      </c>
      <c r="S176" s="270">
        <f t="shared" si="83"/>
        <v>-908245.74537591077</v>
      </c>
      <c r="T176" s="270">
        <f t="shared" si="83"/>
        <v>-625911.19999279035</v>
      </c>
      <c r="U176" s="270">
        <f t="shared" si="83"/>
        <v>-691420.09328797983</v>
      </c>
      <c r="V176" s="270">
        <f t="shared" si="83"/>
        <v>-697162.01908023551</v>
      </c>
      <c r="W176" s="270">
        <f t="shared" si="83"/>
        <v>-675901.64411740308</v>
      </c>
      <c r="X176" s="270">
        <f t="shared" si="83"/>
        <v>-655095.04157413775</v>
      </c>
      <c r="Y176" s="270">
        <f t="shared" si="83"/>
        <v>-662198.56131559319</v>
      </c>
      <c r="Z176" s="270">
        <f t="shared" si="83"/>
        <v>-2310866.7604485834</v>
      </c>
      <c r="AA176" s="270">
        <f t="shared" si="83"/>
        <v>-3447183.6432388294</v>
      </c>
      <c r="AB176" s="270">
        <f t="shared" si="83"/>
        <v>0</v>
      </c>
      <c r="AC176" s="270">
        <f t="shared" si="83"/>
        <v>0</v>
      </c>
      <c r="AD176" s="270">
        <f t="shared" si="83"/>
        <v>0</v>
      </c>
      <c r="AE176" s="270">
        <f t="shared" si="83"/>
        <v>0</v>
      </c>
      <c r="AF176" s="270">
        <f t="shared" si="83"/>
        <v>0</v>
      </c>
      <c r="AG176" s="270">
        <f t="shared" si="83"/>
        <v>0</v>
      </c>
      <c r="AH176" s="270">
        <f t="shared" si="83"/>
        <v>0</v>
      </c>
      <c r="AI176" s="270">
        <f t="shared" si="83"/>
        <v>0</v>
      </c>
      <c r="AJ176" s="270">
        <f t="shared" si="83"/>
        <v>0</v>
      </c>
      <c r="AK176" s="270">
        <f t="shared" si="83"/>
        <v>0</v>
      </c>
      <c r="AL176" s="270">
        <f t="shared" si="83"/>
        <v>0</v>
      </c>
      <c r="AM176" s="270">
        <f t="shared" si="83"/>
        <v>0</v>
      </c>
      <c r="AN176" s="270">
        <f t="shared" si="83"/>
        <v>0</v>
      </c>
      <c r="AO176" s="270">
        <f t="shared" si="83"/>
        <v>0</v>
      </c>
      <c r="AP176" s="270">
        <f t="shared" si="83"/>
        <v>0</v>
      </c>
    </row>
    <row r="177" spans="1:42" s="21" customFormat="1" x14ac:dyDescent="0.2">
      <c r="A177" s="164" t="str">
        <f>Inputs!B98</f>
        <v>Investment Based Incentive (IBI)</v>
      </c>
      <c r="B177" s="263"/>
    </row>
    <row r="178" spans="1:42" s="21" customFormat="1" x14ac:dyDescent="0.2">
      <c r="A178" s="166" t="str">
        <f>Inputs!B99</f>
        <v>As fixed amount</v>
      </c>
      <c r="B178" s="263"/>
    </row>
    <row r="179" spans="1:42" s="21" customFormat="1" x14ac:dyDescent="0.2">
      <c r="A179" s="152" t="s">
        <v>6</v>
      </c>
      <c r="B179" s="263"/>
      <c r="C179" s="270">
        <f>IF(ibi_fed_amount_tax_fed="Yes",C491,0)</f>
        <v>0</v>
      </c>
    </row>
    <row r="180" spans="1:42" s="21" customFormat="1" x14ac:dyDescent="0.2">
      <c r="A180" s="152" t="s">
        <v>7</v>
      </c>
      <c r="B180" s="263"/>
      <c r="C180" s="270">
        <f>IF(ibi_sta_amount_tax_fed="Yes",C492,0)</f>
        <v>0</v>
      </c>
    </row>
    <row r="181" spans="1:42" s="21" customFormat="1" x14ac:dyDescent="0.2">
      <c r="A181" s="152" t="s">
        <v>257</v>
      </c>
      <c r="B181" s="263"/>
      <c r="C181" s="270">
        <f>IF(ibi_uti_amount_tax_fed="Yes",C493,0)</f>
        <v>0</v>
      </c>
    </row>
    <row r="182" spans="1:42" x14ac:dyDescent="0.2">
      <c r="A182" s="152" t="s">
        <v>258</v>
      </c>
      <c r="B182" s="168"/>
      <c r="C182" s="271">
        <f>IF(ibi_oth_amount_tax_fed="Yes",C494,0)</f>
        <v>0</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row>
    <row r="183" spans="1:42" x14ac:dyDescent="0.2">
      <c r="A183" s="152" t="s">
        <v>18</v>
      </c>
      <c r="B183" s="168"/>
      <c r="C183" s="272">
        <f>SUM(C179:C182)</f>
        <v>0</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row>
    <row r="184" spans="1:42" x14ac:dyDescent="0.2">
      <c r="A184" s="166" t="str">
        <f>Inputs!B104</f>
        <v>As percentage</v>
      </c>
      <c r="B184" s="168"/>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row>
    <row r="185" spans="1:42" x14ac:dyDescent="0.2">
      <c r="A185" s="152" t="s">
        <v>6</v>
      </c>
      <c r="B185" s="168"/>
      <c r="C185" s="270">
        <f>C497</f>
        <v>0</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row>
    <row r="186" spans="1:42" x14ac:dyDescent="0.2">
      <c r="A186" s="152" t="s">
        <v>7</v>
      </c>
      <c r="B186" s="168"/>
      <c r="C186" s="270">
        <f t="shared" ref="C186:C188" si="84">C498</f>
        <v>0</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row>
    <row r="187" spans="1:42" x14ac:dyDescent="0.2">
      <c r="A187" s="152" t="s">
        <v>257</v>
      </c>
      <c r="B187" s="168"/>
      <c r="C187" s="270">
        <f t="shared" si="84"/>
        <v>0</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row>
    <row r="188" spans="1:42" x14ac:dyDescent="0.2">
      <c r="A188" s="152" t="s">
        <v>258</v>
      </c>
      <c r="B188" s="168"/>
      <c r="C188" s="271">
        <f t="shared" si="84"/>
        <v>0</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row>
    <row r="189" spans="1:42" x14ac:dyDescent="0.2">
      <c r="A189" s="152" t="s">
        <v>18</v>
      </c>
      <c r="B189" s="168"/>
      <c r="C189" s="272">
        <f>SUM(C185:C188)</f>
        <v>0</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row>
    <row r="190" spans="1:42" x14ac:dyDescent="0.2">
      <c r="A190" s="164" t="str">
        <f>Inputs!B109</f>
        <v>Capacity Based Incentive (CBI)</v>
      </c>
      <c r="B190" s="168"/>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row>
    <row r="191" spans="1:42" x14ac:dyDescent="0.2">
      <c r="A191" s="166" t="s">
        <v>6</v>
      </c>
      <c r="B191" s="168"/>
      <c r="C191" s="273">
        <f>C504</f>
        <v>0</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x14ac:dyDescent="0.2">
      <c r="A192" s="166" t="s">
        <v>7</v>
      </c>
      <c r="B192" s="168"/>
      <c r="C192" s="273">
        <f t="shared" ref="C192:C194" si="85">C505</f>
        <v>0</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row>
    <row r="193" spans="1:42" x14ac:dyDescent="0.2">
      <c r="A193" s="166" t="s">
        <v>257</v>
      </c>
      <c r="B193" s="168"/>
      <c r="C193" s="273">
        <f t="shared" si="85"/>
        <v>0</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row>
    <row r="194" spans="1:42" x14ac:dyDescent="0.2">
      <c r="A194" s="166" t="s">
        <v>258</v>
      </c>
      <c r="B194" s="168"/>
      <c r="C194" s="271">
        <f t="shared" si="85"/>
        <v>0</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row>
    <row r="195" spans="1:42" x14ac:dyDescent="0.2">
      <c r="A195" s="166" t="s">
        <v>18</v>
      </c>
      <c r="B195" s="168"/>
      <c r="C195" s="272">
        <f>SUM(C191:C194)</f>
        <v>0</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row>
    <row r="196" spans="1:42" x14ac:dyDescent="0.2">
      <c r="A196" s="164" t="str">
        <f>Inputs!B114</f>
        <v>Production Based Incentive (PBI)</v>
      </c>
      <c r="B196" s="168"/>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row>
    <row r="197" spans="1:42" x14ac:dyDescent="0.2">
      <c r="A197" s="166" t="s">
        <v>6</v>
      </c>
      <c r="B197" s="168"/>
      <c r="C197" s="273">
        <f t="shared" ref="C197:AP197" si="86">IF(AND(pbi_fed_tax_fed="Yes",pbi_fed_for_ds="No"),C514,0)</f>
        <v>0</v>
      </c>
      <c r="D197" s="273">
        <f t="shared" si="86"/>
        <v>0</v>
      </c>
      <c r="E197" s="273">
        <f t="shared" si="86"/>
        <v>0</v>
      </c>
      <c r="F197" s="273">
        <f t="shared" si="86"/>
        <v>0</v>
      </c>
      <c r="G197" s="273">
        <f t="shared" si="86"/>
        <v>0</v>
      </c>
      <c r="H197" s="273">
        <f t="shared" si="86"/>
        <v>0</v>
      </c>
      <c r="I197" s="273">
        <f t="shared" si="86"/>
        <v>0</v>
      </c>
      <c r="J197" s="273">
        <f t="shared" si="86"/>
        <v>0</v>
      </c>
      <c r="K197" s="273">
        <f t="shared" si="86"/>
        <v>0</v>
      </c>
      <c r="L197" s="273">
        <f t="shared" si="86"/>
        <v>0</v>
      </c>
      <c r="M197" s="273">
        <f t="shared" si="86"/>
        <v>0</v>
      </c>
      <c r="N197" s="273">
        <f t="shared" si="86"/>
        <v>0</v>
      </c>
      <c r="O197" s="273">
        <f t="shared" si="86"/>
        <v>0</v>
      </c>
      <c r="P197" s="273">
        <f t="shared" si="86"/>
        <v>0</v>
      </c>
      <c r="Q197" s="273">
        <f t="shared" si="86"/>
        <v>0</v>
      </c>
      <c r="R197" s="273">
        <f t="shared" si="86"/>
        <v>0</v>
      </c>
      <c r="S197" s="273">
        <f t="shared" si="86"/>
        <v>0</v>
      </c>
      <c r="T197" s="273">
        <f t="shared" si="86"/>
        <v>0</v>
      </c>
      <c r="U197" s="273">
        <f t="shared" si="86"/>
        <v>0</v>
      </c>
      <c r="V197" s="273">
        <f t="shared" si="86"/>
        <v>0</v>
      </c>
      <c r="W197" s="273">
        <f t="shared" si="86"/>
        <v>0</v>
      </c>
      <c r="X197" s="273">
        <f t="shared" si="86"/>
        <v>0</v>
      </c>
      <c r="Y197" s="273">
        <f t="shared" si="86"/>
        <v>0</v>
      </c>
      <c r="Z197" s="273">
        <f t="shared" si="86"/>
        <v>0</v>
      </c>
      <c r="AA197" s="273">
        <f t="shared" si="86"/>
        <v>0</v>
      </c>
      <c r="AB197" s="273">
        <f t="shared" si="86"/>
        <v>0</v>
      </c>
      <c r="AC197" s="273">
        <f t="shared" si="86"/>
        <v>0</v>
      </c>
      <c r="AD197" s="273">
        <f t="shared" si="86"/>
        <v>0</v>
      </c>
      <c r="AE197" s="273">
        <f t="shared" si="86"/>
        <v>0</v>
      </c>
      <c r="AF197" s="273">
        <f t="shared" si="86"/>
        <v>0</v>
      </c>
      <c r="AG197" s="273">
        <f t="shared" si="86"/>
        <v>0</v>
      </c>
      <c r="AH197" s="273">
        <f t="shared" si="86"/>
        <v>0</v>
      </c>
      <c r="AI197" s="273">
        <f t="shared" si="86"/>
        <v>0</v>
      </c>
      <c r="AJ197" s="273">
        <f t="shared" si="86"/>
        <v>0</v>
      </c>
      <c r="AK197" s="273">
        <f t="shared" si="86"/>
        <v>0</v>
      </c>
      <c r="AL197" s="273">
        <f t="shared" si="86"/>
        <v>0</v>
      </c>
      <c r="AM197" s="273">
        <f t="shared" si="86"/>
        <v>0</v>
      </c>
      <c r="AN197" s="273">
        <f t="shared" si="86"/>
        <v>0</v>
      </c>
      <c r="AO197" s="273">
        <f t="shared" si="86"/>
        <v>0</v>
      </c>
      <c r="AP197" s="273">
        <f t="shared" si="86"/>
        <v>0</v>
      </c>
    </row>
    <row r="198" spans="1:42" x14ac:dyDescent="0.2">
      <c r="A198" s="166" t="s">
        <v>7</v>
      </c>
      <c r="B198" s="168"/>
      <c r="C198" s="273">
        <f t="shared" ref="C198:AP198" si="87">IF(AND(pbi_sta_tax_fed="Yes",pbi_sta_for_ds="No"),C518,0)</f>
        <v>0</v>
      </c>
      <c r="D198" s="273">
        <f t="shared" si="87"/>
        <v>0</v>
      </c>
      <c r="E198" s="273">
        <f t="shared" si="87"/>
        <v>0</v>
      </c>
      <c r="F198" s="273">
        <f t="shared" si="87"/>
        <v>0</v>
      </c>
      <c r="G198" s="273">
        <f t="shared" si="87"/>
        <v>0</v>
      </c>
      <c r="H198" s="273">
        <f t="shared" si="87"/>
        <v>0</v>
      </c>
      <c r="I198" s="273">
        <f t="shared" si="87"/>
        <v>0</v>
      </c>
      <c r="J198" s="273">
        <f t="shared" si="87"/>
        <v>0</v>
      </c>
      <c r="K198" s="273">
        <f t="shared" si="87"/>
        <v>0</v>
      </c>
      <c r="L198" s="273">
        <f t="shared" si="87"/>
        <v>0</v>
      </c>
      <c r="M198" s="273">
        <f t="shared" si="87"/>
        <v>0</v>
      </c>
      <c r="N198" s="273">
        <f t="shared" si="87"/>
        <v>0</v>
      </c>
      <c r="O198" s="273">
        <f t="shared" si="87"/>
        <v>0</v>
      </c>
      <c r="P198" s="273">
        <f t="shared" si="87"/>
        <v>0</v>
      </c>
      <c r="Q198" s="273">
        <f t="shared" si="87"/>
        <v>0</v>
      </c>
      <c r="R198" s="273">
        <f t="shared" si="87"/>
        <v>0</v>
      </c>
      <c r="S198" s="273">
        <f t="shared" si="87"/>
        <v>0</v>
      </c>
      <c r="T198" s="273">
        <f t="shared" si="87"/>
        <v>0</v>
      </c>
      <c r="U198" s="273">
        <f t="shared" si="87"/>
        <v>0</v>
      </c>
      <c r="V198" s="273">
        <f t="shared" si="87"/>
        <v>0</v>
      </c>
      <c r="W198" s="273">
        <f t="shared" si="87"/>
        <v>0</v>
      </c>
      <c r="X198" s="273">
        <f t="shared" si="87"/>
        <v>0</v>
      </c>
      <c r="Y198" s="273">
        <f t="shared" si="87"/>
        <v>0</v>
      </c>
      <c r="Z198" s="273">
        <f t="shared" si="87"/>
        <v>0</v>
      </c>
      <c r="AA198" s="273">
        <f t="shared" si="87"/>
        <v>0</v>
      </c>
      <c r="AB198" s="273">
        <f t="shared" si="87"/>
        <v>0</v>
      </c>
      <c r="AC198" s="273">
        <f t="shared" si="87"/>
        <v>0</v>
      </c>
      <c r="AD198" s="273">
        <f t="shared" si="87"/>
        <v>0</v>
      </c>
      <c r="AE198" s="273">
        <f t="shared" si="87"/>
        <v>0</v>
      </c>
      <c r="AF198" s="273">
        <f t="shared" si="87"/>
        <v>0</v>
      </c>
      <c r="AG198" s="273">
        <f t="shared" si="87"/>
        <v>0</v>
      </c>
      <c r="AH198" s="273">
        <f t="shared" si="87"/>
        <v>0</v>
      </c>
      <c r="AI198" s="273">
        <f t="shared" si="87"/>
        <v>0</v>
      </c>
      <c r="AJ198" s="273">
        <f t="shared" si="87"/>
        <v>0</v>
      </c>
      <c r="AK198" s="273">
        <f t="shared" si="87"/>
        <v>0</v>
      </c>
      <c r="AL198" s="273">
        <f t="shared" si="87"/>
        <v>0</v>
      </c>
      <c r="AM198" s="273">
        <f t="shared" si="87"/>
        <v>0</v>
      </c>
      <c r="AN198" s="273">
        <f t="shared" si="87"/>
        <v>0</v>
      </c>
      <c r="AO198" s="273">
        <f t="shared" si="87"/>
        <v>0</v>
      </c>
      <c r="AP198" s="273">
        <f t="shared" si="87"/>
        <v>0</v>
      </c>
    </row>
    <row r="199" spans="1:42" x14ac:dyDescent="0.2">
      <c r="A199" s="166" t="s">
        <v>257</v>
      </c>
      <c r="B199" s="168"/>
      <c r="C199" s="273">
        <f t="shared" ref="C199:AP199" si="88">IF(AND(pbi_uti_tax_fed="Yes",pbi_uti_for_ds="No"),C522,0)</f>
        <v>0</v>
      </c>
      <c r="D199" s="273">
        <f t="shared" si="88"/>
        <v>0</v>
      </c>
      <c r="E199" s="273">
        <f t="shared" si="88"/>
        <v>0</v>
      </c>
      <c r="F199" s="273">
        <f t="shared" si="88"/>
        <v>0</v>
      </c>
      <c r="G199" s="273">
        <f t="shared" si="88"/>
        <v>0</v>
      </c>
      <c r="H199" s="273">
        <f t="shared" si="88"/>
        <v>0</v>
      </c>
      <c r="I199" s="273">
        <f t="shared" si="88"/>
        <v>0</v>
      </c>
      <c r="J199" s="273">
        <f t="shared" si="88"/>
        <v>0</v>
      </c>
      <c r="K199" s="273">
        <f t="shared" si="88"/>
        <v>0</v>
      </c>
      <c r="L199" s="273">
        <f t="shared" si="88"/>
        <v>0</v>
      </c>
      <c r="M199" s="273">
        <f t="shared" si="88"/>
        <v>0</v>
      </c>
      <c r="N199" s="273">
        <f t="shared" si="88"/>
        <v>0</v>
      </c>
      <c r="O199" s="273">
        <f t="shared" si="88"/>
        <v>0</v>
      </c>
      <c r="P199" s="273">
        <f t="shared" si="88"/>
        <v>0</v>
      </c>
      <c r="Q199" s="273">
        <f t="shared" si="88"/>
        <v>0</v>
      </c>
      <c r="R199" s="273">
        <f t="shared" si="88"/>
        <v>0</v>
      </c>
      <c r="S199" s="273">
        <f t="shared" si="88"/>
        <v>0</v>
      </c>
      <c r="T199" s="273">
        <f t="shared" si="88"/>
        <v>0</v>
      </c>
      <c r="U199" s="273">
        <f t="shared" si="88"/>
        <v>0</v>
      </c>
      <c r="V199" s="273">
        <f t="shared" si="88"/>
        <v>0</v>
      </c>
      <c r="W199" s="273">
        <f t="shared" si="88"/>
        <v>0</v>
      </c>
      <c r="X199" s="273">
        <f t="shared" si="88"/>
        <v>0</v>
      </c>
      <c r="Y199" s="273">
        <f t="shared" si="88"/>
        <v>0</v>
      </c>
      <c r="Z199" s="273">
        <f t="shared" si="88"/>
        <v>0</v>
      </c>
      <c r="AA199" s="273">
        <f t="shared" si="88"/>
        <v>0</v>
      </c>
      <c r="AB199" s="273">
        <f t="shared" si="88"/>
        <v>0</v>
      </c>
      <c r="AC199" s="273">
        <f t="shared" si="88"/>
        <v>0</v>
      </c>
      <c r="AD199" s="273">
        <f t="shared" si="88"/>
        <v>0</v>
      </c>
      <c r="AE199" s="273">
        <f t="shared" si="88"/>
        <v>0</v>
      </c>
      <c r="AF199" s="273">
        <f t="shared" si="88"/>
        <v>0</v>
      </c>
      <c r="AG199" s="273">
        <f t="shared" si="88"/>
        <v>0</v>
      </c>
      <c r="AH199" s="273">
        <f t="shared" si="88"/>
        <v>0</v>
      </c>
      <c r="AI199" s="273">
        <f t="shared" si="88"/>
        <v>0</v>
      </c>
      <c r="AJ199" s="273">
        <f t="shared" si="88"/>
        <v>0</v>
      </c>
      <c r="AK199" s="273">
        <f t="shared" si="88"/>
        <v>0</v>
      </c>
      <c r="AL199" s="273">
        <f t="shared" si="88"/>
        <v>0</v>
      </c>
      <c r="AM199" s="273">
        <f t="shared" si="88"/>
        <v>0</v>
      </c>
      <c r="AN199" s="273">
        <f t="shared" si="88"/>
        <v>0</v>
      </c>
      <c r="AO199" s="273">
        <f t="shared" si="88"/>
        <v>0</v>
      </c>
      <c r="AP199" s="273">
        <f t="shared" si="88"/>
        <v>0</v>
      </c>
    </row>
    <row r="200" spans="1:42" x14ac:dyDescent="0.2">
      <c r="A200" s="166" t="s">
        <v>258</v>
      </c>
      <c r="B200" s="168"/>
      <c r="C200" s="273">
        <f t="shared" ref="C200:AP200" si="89">IF(AND(pbi_oth_tax_fed="Yes",pbi_oth_for_ds="No"),C526,0)</f>
        <v>0</v>
      </c>
      <c r="D200" s="273">
        <f t="shared" si="89"/>
        <v>0</v>
      </c>
      <c r="E200" s="273">
        <f t="shared" si="89"/>
        <v>0</v>
      </c>
      <c r="F200" s="273">
        <f t="shared" si="89"/>
        <v>0</v>
      </c>
      <c r="G200" s="273">
        <f t="shared" si="89"/>
        <v>0</v>
      </c>
      <c r="H200" s="273">
        <f t="shared" si="89"/>
        <v>0</v>
      </c>
      <c r="I200" s="273">
        <f t="shared" si="89"/>
        <v>0</v>
      </c>
      <c r="J200" s="273">
        <f t="shared" si="89"/>
        <v>0</v>
      </c>
      <c r="K200" s="273">
        <f t="shared" si="89"/>
        <v>0</v>
      </c>
      <c r="L200" s="273">
        <f t="shared" si="89"/>
        <v>0</v>
      </c>
      <c r="M200" s="273">
        <f t="shared" si="89"/>
        <v>0</v>
      </c>
      <c r="N200" s="273">
        <f t="shared" si="89"/>
        <v>0</v>
      </c>
      <c r="O200" s="273">
        <f t="shared" si="89"/>
        <v>0</v>
      </c>
      <c r="P200" s="273">
        <f t="shared" si="89"/>
        <v>0</v>
      </c>
      <c r="Q200" s="273">
        <f t="shared" si="89"/>
        <v>0</v>
      </c>
      <c r="R200" s="273">
        <f t="shared" si="89"/>
        <v>0</v>
      </c>
      <c r="S200" s="273">
        <f t="shared" si="89"/>
        <v>0</v>
      </c>
      <c r="T200" s="273">
        <f t="shared" si="89"/>
        <v>0</v>
      </c>
      <c r="U200" s="273">
        <f t="shared" si="89"/>
        <v>0</v>
      </c>
      <c r="V200" s="273">
        <f t="shared" si="89"/>
        <v>0</v>
      </c>
      <c r="W200" s="273">
        <f t="shared" si="89"/>
        <v>0</v>
      </c>
      <c r="X200" s="273">
        <f t="shared" si="89"/>
        <v>0</v>
      </c>
      <c r="Y200" s="273">
        <f t="shared" si="89"/>
        <v>0</v>
      </c>
      <c r="Z200" s="273">
        <f t="shared" si="89"/>
        <v>0</v>
      </c>
      <c r="AA200" s="273">
        <f t="shared" si="89"/>
        <v>0</v>
      </c>
      <c r="AB200" s="273">
        <f t="shared" si="89"/>
        <v>0</v>
      </c>
      <c r="AC200" s="273">
        <f t="shared" si="89"/>
        <v>0</v>
      </c>
      <c r="AD200" s="273">
        <f t="shared" si="89"/>
        <v>0</v>
      </c>
      <c r="AE200" s="273">
        <f t="shared" si="89"/>
        <v>0</v>
      </c>
      <c r="AF200" s="273">
        <f t="shared" si="89"/>
        <v>0</v>
      </c>
      <c r="AG200" s="273">
        <f t="shared" si="89"/>
        <v>0</v>
      </c>
      <c r="AH200" s="273">
        <f t="shared" si="89"/>
        <v>0</v>
      </c>
      <c r="AI200" s="273">
        <f t="shared" si="89"/>
        <v>0</v>
      </c>
      <c r="AJ200" s="273">
        <f t="shared" si="89"/>
        <v>0</v>
      </c>
      <c r="AK200" s="273">
        <f t="shared" si="89"/>
        <v>0</v>
      </c>
      <c r="AL200" s="273">
        <f t="shared" si="89"/>
        <v>0</v>
      </c>
      <c r="AM200" s="273">
        <f t="shared" si="89"/>
        <v>0</v>
      </c>
      <c r="AN200" s="273">
        <f t="shared" si="89"/>
        <v>0</v>
      </c>
      <c r="AO200" s="273">
        <f t="shared" si="89"/>
        <v>0</v>
      </c>
      <c r="AP200" s="273">
        <f t="shared" si="89"/>
        <v>0</v>
      </c>
    </row>
    <row r="201" spans="1:42" x14ac:dyDescent="0.2">
      <c r="A201" s="166" t="s">
        <v>18</v>
      </c>
      <c r="B201" s="168"/>
      <c r="C201" s="274">
        <f>SUM(C197:C200)</f>
        <v>0</v>
      </c>
      <c r="D201" s="274">
        <f t="shared" ref="D201:AP201" si="90">SUM(D197:D200)</f>
        <v>0</v>
      </c>
      <c r="E201" s="274">
        <f t="shared" si="90"/>
        <v>0</v>
      </c>
      <c r="F201" s="274">
        <f t="shared" si="90"/>
        <v>0</v>
      </c>
      <c r="G201" s="274">
        <f t="shared" si="90"/>
        <v>0</v>
      </c>
      <c r="H201" s="274">
        <f t="shared" si="90"/>
        <v>0</v>
      </c>
      <c r="I201" s="274">
        <f t="shared" si="90"/>
        <v>0</v>
      </c>
      <c r="J201" s="274">
        <f t="shared" si="90"/>
        <v>0</v>
      </c>
      <c r="K201" s="274">
        <f t="shared" si="90"/>
        <v>0</v>
      </c>
      <c r="L201" s="274">
        <f t="shared" si="90"/>
        <v>0</v>
      </c>
      <c r="M201" s="274">
        <f t="shared" si="90"/>
        <v>0</v>
      </c>
      <c r="N201" s="274">
        <f t="shared" si="90"/>
        <v>0</v>
      </c>
      <c r="O201" s="274">
        <f t="shared" si="90"/>
        <v>0</v>
      </c>
      <c r="P201" s="274">
        <f t="shared" si="90"/>
        <v>0</v>
      </c>
      <c r="Q201" s="274">
        <f t="shared" si="90"/>
        <v>0</v>
      </c>
      <c r="R201" s="274">
        <f t="shared" si="90"/>
        <v>0</v>
      </c>
      <c r="S201" s="274">
        <f t="shared" si="90"/>
        <v>0</v>
      </c>
      <c r="T201" s="274">
        <f t="shared" si="90"/>
        <v>0</v>
      </c>
      <c r="U201" s="274">
        <f t="shared" si="90"/>
        <v>0</v>
      </c>
      <c r="V201" s="274">
        <f t="shared" si="90"/>
        <v>0</v>
      </c>
      <c r="W201" s="274">
        <f t="shared" si="90"/>
        <v>0</v>
      </c>
      <c r="X201" s="274">
        <f t="shared" si="90"/>
        <v>0</v>
      </c>
      <c r="Y201" s="274">
        <f t="shared" si="90"/>
        <v>0</v>
      </c>
      <c r="Z201" s="274">
        <f t="shared" si="90"/>
        <v>0</v>
      </c>
      <c r="AA201" s="274">
        <f t="shared" si="90"/>
        <v>0</v>
      </c>
      <c r="AB201" s="274">
        <f t="shared" si="90"/>
        <v>0</v>
      </c>
      <c r="AC201" s="274">
        <f t="shared" si="90"/>
        <v>0</v>
      </c>
      <c r="AD201" s="274">
        <f t="shared" si="90"/>
        <v>0</v>
      </c>
      <c r="AE201" s="274">
        <f t="shared" si="90"/>
        <v>0</v>
      </c>
      <c r="AF201" s="274">
        <f t="shared" si="90"/>
        <v>0</v>
      </c>
      <c r="AG201" s="274">
        <f t="shared" si="90"/>
        <v>0</v>
      </c>
      <c r="AH201" s="274">
        <f t="shared" si="90"/>
        <v>0</v>
      </c>
      <c r="AI201" s="274">
        <f t="shared" si="90"/>
        <v>0</v>
      </c>
      <c r="AJ201" s="274">
        <f t="shared" si="90"/>
        <v>0</v>
      </c>
      <c r="AK201" s="274">
        <f t="shared" si="90"/>
        <v>0</v>
      </c>
      <c r="AL201" s="274">
        <f t="shared" si="90"/>
        <v>0</v>
      </c>
      <c r="AM201" s="274">
        <f t="shared" si="90"/>
        <v>0</v>
      </c>
      <c r="AN201" s="274">
        <f t="shared" si="90"/>
        <v>0</v>
      </c>
      <c r="AO201" s="274">
        <f t="shared" si="90"/>
        <v>0</v>
      </c>
      <c r="AP201" s="274">
        <f t="shared" si="90"/>
        <v>0</v>
      </c>
    </row>
    <row r="202" spans="1:42" x14ac:dyDescent="0.2">
      <c r="A202" s="164" t="s">
        <v>57</v>
      </c>
      <c r="B202" s="168"/>
      <c r="C202" s="272">
        <f>C183+C189+C195+C201</f>
        <v>0</v>
      </c>
      <c r="D202" s="272">
        <f t="shared" ref="D202:AP202" si="91">D183+D189+D195+D201</f>
        <v>0</v>
      </c>
      <c r="E202" s="272">
        <f t="shared" si="91"/>
        <v>0</v>
      </c>
      <c r="F202" s="272">
        <f t="shared" si="91"/>
        <v>0</v>
      </c>
      <c r="G202" s="272">
        <f t="shared" si="91"/>
        <v>0</v>
      </c>
      <c r="H202" s="272">
        <f t="shared" si="91"/>
        <v>0</v>
      </c>
      <c r="I202" s="272">
        <f t="shared" si="91"/>
        <v>0</v>
      </c>
      <c r="J202" s="272">
        <f t="shared" si="91"/>
        <v>0</v>
      </c>
      <c r="K202" s="272">
        <f t="shared" si="91"/>
        <v>0</v>
      </c>
      <c r="L202" s="272">
        <f t="shared" si="91"/>
        <v>0</v>
      </c>
      <c r="M202" s="272">
        <f t="shared" si="91"/>
        <v>0</v>
      </c>
      <c r="N202" s="272">
        <f t="shared" si="91"/>
        <v>0</v>
      </c>
      <c r="O202" s="272">
        <f t="shared" si="91"/>
        <v>0</v>
      </c>
      <c r="P202" s="272">
        <f t="shared" si="91"/>
        <v>0</v>
      </c>
      <c r="Q202" s="272">
        <f t="shared" si="91"/>
        <v>0</v>
      </c>
      <c r="R202" s="272">
        <f t="shared" si="91"/>
        <v>0</v>
      </c>
      <c r="S202" s="272">
        <f t="shared" si="91"/>
        <v>0</v>
      </c>
      <c r="T202" s="272">
        <f t="shared" si="91"/>
        <v>0</v>
      </c>
      <c r="U202" s="272">
        <f t="shared" si="91"/>
        <v>0</v>
      </c>
      <c r="V202" s="272">
        <f t="shared" si="91"/>
        <v>0</v>
      </c>
      <c r="W202" s="272">
        <f t="shared" si="91"/>
        <v>0</v>
      </c>
      <c r="X202" s="272">
        <f t="shared" si="91"/>
        <v>0</v>
      </c>
      <c r="Y202" s="272">
        <f t="shared" si="91"/>
        <v>0</v>
      </c>
      <c r="Z202" s="272">
        <f t="shared" si="91"/>
        <v>0</v>
      </c>
      <c r="AA202" s="272">
        <f t="shared" si="91"/>
        <v>0</v>
      </c>
      <c r="AB202" s="272">
        <f t="shared" si="91"/>
        <v>0</v>
      </c>
      <c r="AC202" s="272">
        <f t="shared" si="91"/>
        <v>0</v>
      </c>
      <c r="AD202" s="272">
        <f t="shared" si="91"/>
        <v>0</v>
      </c>
      <c r="AE202" s="272">
        <f t="shared" si="91"/>
        <v>0</v>
      </c>
      <c r="AF202" s="272">
        <f t="shared" si="91"/>
        <v>0</v>
      </c>
      <c r="AG202" s="272">
        <f t="shared" si="91"/>
        <v>0</v>
      </c>
      <c r="AH202" s="272">
        <f t="shared" si="91"/>
        <v>0</v>
      </c>
      <c r="AI202" s="272">
        <f t="shared" si="91"/>
        <v>0</v>
      </c>
      <c r="AJ202" s="272">
        <f t="shared" si="91"/>
        <v>0</v>
      </c>
      <c r="AK202" s="272">
        <f t="shared" si="91"/>
        <v>0</v>
      </c>
      <c r="AL202" s="272">
        <f t="shared" si="91"/>
        <v>0</v>
      </c>
      <c r="AM202" s="272">
        <f t="shared" si="91"/>
        <v>0</v>
      </c>
      <c r="AN202" s="272">
        <f t="shared" si="91"/>
        <v>0</v>
      </c>
      <c r="AO202" s="272">
        <f t="shared" si="91"/>
        <v>0</v>
      </c>
      <c r="AP202" s="272">
        <f t="shared" si="91"/>
        <v>0</v>
      </c>
    </row>
    <row r="203" spans="1:42" x14ac:dyDescent="0.2">
      <c r="A203" s="166"/>
      <c r="B203" s="168"/>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row>
    <row r="204" spans="1:42" x14ac:dyDescent="0.2">
      <c r="A204" s="164" t="s">
        <v>58</v>
      </c>
      <c r="B204" s="168"/>
      <c r="C204" s="275">
        <f>C176+C202</f>
        <v>-5554172.199758294</v>
      </c>
      <c r="D204" s="275">
        <f t="shared" ref="D204:AP204" si="92">D176+D202</f>
        <v>-9009379.1063000932</v>
      </c>
      <c r="E204" s="275">
        <f t="shared" si="92"/>
        <v>-5435833.7127266685</v>
      </c>
      <c r="F204" s="275">
        <f t="shared" si="92"/>
        <v>-3297895.1810397459</v>
      </c>
      <c r="G204" s="275">
        <f t="shared" si="92"/>
        <v>-3312224.2387978281</v>
      </c>
      <c r="H204" s="275">
        <f t="shared" si="92"/>
        <v>-1716520.5192047833</v>
      </c>
      <c r="I204" s="275">
        <f t="shared" si="92"/>
        <v>-125024.68198039859</v>
      </c>
      <c r="J204" s="275">
        <f t="shared" si="92"/>
        <v>-150121.34487732314</v>
      </c>
      <c r="K204" s="275">
        <f t="shared" si="92"/>
        <v>-177771.20806355416</v>
      </c>
      <c r="L204" s="275">
        <f t="shared" si="92"/>
        <v>-207987.4510437384</v>
      </c>
      <c r="M204" s="275">
        <f t="shared" si="92"/>
        <v>-241180.00706340902</v>
      </c>
      <c r="N204" s="275">
        <f t="shared" si="92"/>
        <v>-1497482.1998569781</v>
      </c>
      <c r="O204" s="275">
        <f t="shared" si="92"/>
        <v>-2377220.6414271062</v>
      </c>
      <c r="P204" s="275">
        <f t="shared" si="92"/>
        <v>-1645511.9907514739</v>
      </c>
      <c r="Q204" s="275">
        <f t="shared" si="92"/>
        <v>-1230855.5163953574</v>
      </c>
      <c r="R204" s="275">
        <f t="shared" si="92"/>
        <v>-1242678.4139696425</v>
      </c>
      <c r="S204" s="275">
        <f t="shared" si="92"/>
        <v>-908245.74537591077</v>
      </c>
      <c r="T204" s="275">
        <f t="shared" si="92"/>
        <v>-625911.19999279035</v>
      </c>
      <c r="U204" s="275">
        <f t="shared" si="92"/>
        <v>-691420.09328797983</v>
      </c>
      <c r="V204" s="275">
        <f t="shared" si="92"/>
        <v>-697162.01908023551</v>
      </c>
      <c r="W204" s="275">
        <f t="shared" si="92"/>
        <v>-675901.64411740308</v>
      </c>
      <c r="X204" s="275">
        <f t="shared" si="92"/>
        <v>-655095.04157413775</v>
      </c>
      <c r="Y204" s="275">
        <f t="shared" si="92"/>
        <v>-662198.56131559319</v>
      </c>
      <c r="Z204" s="275">
        <f t="shared" si="92"/>
        <v>-2310866.7604485834</v>
      </c>
      <c r="AA204" s="275">
        <f t="shared" si="92"/>
        <v>-3447183.6432388294</v>
      </c>
      <c r="AB204" s="275">
        <f t="shared" si="92"/>
        <v>0</v>
      </c>
      <c r="AC204" s="275">
        <f t="shared" si="92"/>
        <v>0</v>
      </c>
      <c r="AD204" s="275">
        <f t="shared" si="92"/>
        <v>0</v>
      </c>
      <c r="AE204" s="275">
        <f t="shared" si="92"/>
        <v>0</v>
      </c>
      <c r="AF204" s="275">
        <f t="shared" si="92"/>
        <v>0</v>
      </c>
      <c r="AG204" s="275">
        <f t="shared" si="92"/>
        <v>0</v>
      </c>
      <c r="AH204" s="275">
        <f t="shared" si="92"/>
        <v>0</v>
      </c>
      <c r="AI204" s="275">
        <f t="shared" si="92"/>
        <v>0</v>
      </c>
      <c r="AJ204" s="275">
        <f t="shared" si="92"/>
        <v>0</v>
      </c>
      <c r="AK204" s="275">
        <f t="shared" si="92"/>
        <v>0</v>
      </c>
      <c r="AL204" s="275">
        <f t="shared" si="92"/>
        <v>0</v>
      </c>
      <c r="AM204" s="275">
        <f t="shared" si="92"/>
        <v>0</v>
      </c>
      <c r="AN204" s="275">
        <f t="shared" si="92"/>
        <v>0</v>
      </c>
      <c r="AO204" s="275">
        <f t="shared" si="92"/>
        <v>0</v>
      </c>
      <c r="AP204" s="275">
        <f t="shared" si="92"/>
        <v>0</v>
      </c>
    </row>
    <row r="205" spans="1:42" x14ac:dyDescent="0.2">
      <c r="A205" s="164" t="s">
        <v>120</v>
      </c>
      <c r="B205" s="168"/>
      <c r="C205" s="275">
        <f t="shared" ref="C205:AP205" si="93">C204*-federal_tax_rate/100</f>
        <v>1943960.2699154029</v>
      </c>
      <c r="D205" s="275">
        <f t="shared" si="93"/>
        <v>3153282.6872050329</v>
      </c>
      <c r="E205" s="275">
        <f t="shared" si="93"/>
        <v>1902541.7994543342</v>
      </c>
      <c r="F205" s="275">
        <f t="shared" si="93"/>
        <v>1154263.3133639111</v>
      </c>
      <c r="G205" s="275">
        <f t="shared" si="93"/>
        <v>1159278.4835792398</v>
      </c>
      <c r="H205" s="275">
        <f t="shared" si="93"/>
        <v>600782.18172167416</v>
      </c>
      <c r="I205" s="275">
        <f t="shared" si="93"/>
        <v>43758.63869313951</v>
      </c>
      <c r="J205" s="275">
        <f t="shared" si="93"/>
        <v>52542.470707063098</v>
      </c>
      <c r="K205" s="275">
        <f t="shared" si="93"/>
        <v>62219.922822243956</v>
      </c>
      <c r="L205" s="275">
        <f t="shared" si="93"/>
        <v>72795.607865308441</v>
      </c>
      <c r="M205" s="275">
        <f t="shared" si="93"/>
        <v>84413.00247219317</v>
      </c>
      <c r="N205" s="275">
        <f t="shared" si="93"/>
        <v>524118.76994994236</v>
      </c>
      <c r="O205" s="275">
        <f t="shared" si="93"/>
        <v>832027.22449948709</v>
      </c>
      <c r="P205" s="275">
        <f t="shared" si="93"/>
        <v>575929.19676301593</v>
      </c>
      <c r="Q205" s="275">
        <f t="shared" si="93"/>
        <v>430799.43073837511</v>
      </c>
      <c r="R205" s="275">
        <f t="shared" si="93"/>
        <v>434937.44488937489</v>
      </c>
      <c r="S205" s="275">
        <f t="shared" si="93"/>
        <v>317886.01088156877</v>
      </c>
      <c r="T205" s="275">
        <f t="shared" si="93"/>
        <v>219068.91999747662</v>
      </c>
      <c r="U205" s="275">
        <f t="shared" si="93"/>
        <v>241997.03265079294</v>
      </c>
      <c r="V205" s="275">
        <f t="shared" si="93"/>
        <v>244006.70667808241</v>
      </c>
      <c r="W205" s="275">
        <f t="shared" si="93"/>
        <v>236565.57544109106</v>
      </c>
      <c r="X205" s="275">
        <f t="shared" si="93"/>
        <v>229283.26455094822</v>
      </c>
      <c r="Y205" s="275">
        <f t="shared" si="93"/>
        <v>231769.49646045762</v>
      </c>
      <c r="Z205" s="275">
        <f t="shared" si="93"/>
        <v>808803.36615700426</v>
      </c>
      <c r="AA205" s="275">
        <f t="shared" si="93"/>
        <v>1206514.2751335902</v>
      </c>
      <c r="AB205" s="275">
        <f t="shared" si="93"/>
        <v>0</v>
      </c>
      <c r="AC205" s="275">
        <f t="shared" si="93"/>
        <v>0</v>
      </c>
      <c r="AD205" s="275">
        <f t="shared" si="93"/>
        <v>0</v>
      </c>
      <c r="AE205" s="275">
        <f t="shared" si="93"/>
        <v>0</v>
      </c>
      <c r="AF205" s="275">
        <f t="shared" si="93"/>
        <v>0</v>
      </c>
      <c r="AG205" s="275">
        <f t="shared" si="93"/>
        <v>0</v>
      </c>
      <c r="AH205" s="275">
        <f t="shared" si="93"/>
        <v>0</v>
      </c>
      <c r="AI205" s="275">
        <f t="shared" si="93"/>
        <v>0</v>
      </c>
      <c r="AJ205" s="275">
        <f t="shared" si="93"/>
        <v>0</v>
      </c>
      <c r="AK205" s="275">
        <f t="shared" si="93"/>
        <v>0</v>
      </c>
      <c r="AL205" s="275">
        <f t="shared" si="93"/>
        <v>0</v>
      </c>
      <c r="AM205" s="275">
        <f t="shared" si="93"/>
        <v>0</v>
      </c>
      <c r="AN205" s="275">
        <f t="shared" si="93"/>
        <v>0</v>
      </c>
      <c r="AO205" s="275">
        <f t="shared" si="93"/>
        <v>0</v>
      </c>
      <c r="AP205" s="275">
        <f t="shared" si="93"/>
        <v>0</v>
      </c>
    </row>
    <row r="206" spans="1:42" x14ac:dyDescent="0.2">
      <c r="A206" s="38"/>
      <c r="B206" s="168"/>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row>
    <row r="207" spans="1:42" x14ac:dyDescent="0.2">
      <c r="A207" s="154" t="s">
        <v>151</v>
      </c>
      <c r="B207" s="359"/>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5" t="s">
        <v>152</v>
      </c>
      <c r="B208" s="168"/>
    </row>
    <row r="209" spans="1:17" x14ac:dyDescent="0.2">
      <c r="A209" s="7" t="s">
        <v>33</v>
      </c>
      <c r="B209" s="168"/>
      <c r="G209" s="53" t="s">
        <v>83</v>
      </c>
      <c r="H209" s="54"/>
      <c r="I209" s="54"/>
      <c r="J209" s="55"/>
      <c r="K209" s="47" t="s">
        <v>84</v>
      </c>
      <c r="L209" s="48"/>
    </row>
    <row r="210" spans="1:17" ht="51" x14ac:dyDescent="0.2">
      <c r="B210" s="267" t="s">
        <v>73</v>
      </c>
      <c r="C210" s="23" t="s">
        <v>69</v>
      </c>
      <c r="D210" s="23" t="s">
        <v>71</v>
      </c>
      <c r="E210" s="40" t="s">
        <v>72</v>
      </c>
      <c r="F210" s="23" t="s">
        <v>74</v>
      </c>
      <c r="G210" s="23" t="s">
        <v>78</v>
      </c>
      <c r="H210" s="23" t="s">
        <v>80</v>
      </c>
      <c r="I210" s="89" t="s">
        <v>79</v>
      </c>
      <c r="J210" s="23" t="s">
        <v>81</v>
      </c>
      <c r="K210" s="49" t="s">
        <v>5</v>
      </c>
      <c r="L210" s="239" t="s">
        <v>81</v>
      </c>
      <c r="M210" s="41" t="s">
        <v>85</v>
      </c>
      <c r="N210" s="41" t="s">
        <v>86</v>
      </c>
      <c r="O210" s="23" t="s">
        <v>75</v>
      </c>
      <c r="P210" s="238" t="s">
        <v>130</v>
      </c>
      <c r="Q210" s="23" t="s">
        <v>131</v>
      </c>
    </row>
    <row r="211" spans="1:17" s="21" customFormat="1" x14ac:dyDescent="0.2">
      <c r="A211" s="50" t="str">
        <f>Inputs!B126</f>
        <v>5-yr MACRS</v>
      </c>
      <c r="B211" s="353">
        <f>depr_alloc_macrs_5_percent*100/Inputs!$C$133</f>
        <v>92.783505154639172</v>
      </c>
      <c r="C211" s="218">
        <f>-$B$72*depr_alloc_macrs_5_percent/100</f>
        <v>35412910.393116161</v>
      </c>
      <c r="D211" s="218">
        <f t="shared" ref="D211:E216" si="94">IF(StateBasisReduction="5-Yr MACRS",D217,$B211/100*D$217)</f>
        <v>0</v>
      </c>
      <c r="E211" s="218">
        <f t="shared" si="94"/>
        <v>0</v>
      </c>
      <c r="F211" s="220">
        <f>C211-D211-E211</f>
        <v>35412910.393116161</v>
      </c>
      <c r="G211" s="221">
        <f>IF(Inputs!G126="Yes",F211,0)</f>
        <v>35412910.393116161</v>
      </c>
      <c r="H211" s="228">
        <f t="shared" ref="H211:H216" si="95">IF($G$217=0,0,G211/$G$217)*100</f>
        <v>100</v>
      </c>
      <c r="I211" s="224">
        <f t="shared" ref="I211:I216" si="96">$I$217*H211/100</f>
        <v>0</v>
      </c>
      <c r="J211" s="225">
        <f>I211*0.5</f>
        <v>0</v>
      </c>
      <c r="K211" s="222">
        <f t="shared" ref="K211:K216" si="97">H211/100*$K$217</f>
        <v>0</v>
      </c>
      <c r="L211" s="225">
        <f>K211*0.5</f>
        <v>0</v>
      </c>
      <c r="M211" s="218">
        <f t="shared" ref="M211:M216" si="98">IF(itc_sta_amount_deprbas_sta="Yes",L211,0)+IF(itc_sta_percent_deprbas_sta="Yes",J211,0)</f>
        <v>0</v>
      </c>
      <c r="N211" s="218">
        <f t="shared" ref="N211:N216" si="99">IF(itc_fed_amount_deprbas_sta="Yes",L344,0)+IF(itc_fed_percent_deprbas_sta="Yes",J344,0)</f>
        <v>5311936.5589674236</v>
      </c>
      <c r="O211" s="226">
        <f t="shared" ref="O211:O216" si="100">F211-M211-N211</f>
        <v>30100973.834148739</v>
      </c>
      <c r="P211" s="218">
        <f t="shared" ref="P211:P216" si="101">IF(depr_bonus_sta="Yes",O211*depr_bonus_sta,0)</f>
        <v>0</v>
      </c>
      <c r="Q211" s="220">
        <f>O211-P211</f>
        <v>30100973.834148739</v>
      </c>
    </row>
    <row r="212" spans="1:17" s="21" customFormat="1" x14ac:dyDescent="0.2">
      <c r="A212" s="50" t="str">
        <f>Inputs!B127</f>
        <v>15-yr MACRS</v>
      </c>
      <c r="B212" s="353">
        <f>depr_alloc_macrs_15_percent*100/Inputs!$C$133</f>
        <v>1.5463917525773196</v>
      </c>
      <c r="C212" s="218">
        <f>-$B$72*depr_alloc_macrs_15_percent/100</f>
        <v>590215.17321860278</v>
      </c>
      <c r="D212" s="218">
        <f t="shared" si="94"/>
        <v>0</v>
      </c>
      <c r="E212" s="218">
        <f t="shared" si="94"/>
        <v>0</v>
      </c>
      <c r="F212" s="220">
        <f t="shared" ref="F212:F216" si="102">C212-D212-E212</f>
        <v>590215.17321860278</v>
      </c>
      <c r="G212" s="222">
        <f>IF(Inputs!G127="Yes",F212,0)</f>
        <v>0</v>
      </c>
      <c r="H212" s="229">
        <f t="shared" si="95"/>
        <v>0</v>
      </c>
      <c r="I212" s="218">
        <f t="shared" si="96"/>
        <v>0</v>
      </c>
      <c r="J212" s="227">
        <f t="shared" ref="J212:J216" si="103">I212*0.5</f>
        <v>0</v>
      </c>
      <c r="K212" s="222">
        <f t="shared" si="97"/>
        <v>0</v>
      </c>
      <c r="L212" s="227">
        <f t="shared" ref="L212:L216" si="104">K212*0.5</f>
        <v>0</v>
      </c>
      <c r="M212" s="218">
        <f t="shared" si="98"/>
        <v>0</v>
      </c>
      <c r="N212" s="218">
        <f t="shared" si="99"/>
        <v>0</v>
      </c>
      <c r="O212" s="220">
        <f t="shared" si="100"/>
        <v>590215.17321860278</v>
      </c>
      <c r="P212" s="218">
        <f t="shared" si="101"/>
        <v>0</v>
      </c>
      <c r="Q212" s="220">
        <f t="shared" ref="Q212:Q216" si="105">O212-P212</f>
        <v>590215.17321860278</v>
      </c>
    </row>
    <row r="213" spans="1:17" s="21" customFormat="1" x14ac:dyDescent="0.2">
      <c r="A213" s="50" t="str">
        <f>Inputs!B128</f>
        <v>5-yr SL</v>
      </c>
      <c r="B213" s="353">
        <f>depr_alloc_sl_5_percent*100/Inputs!$C$133</f>
        <v>0</v>
      </c>
      <c r="C213" s="218">
        <f>-$B$72*depr_alloc_sl_5_percent/100</f>
        <v>0</v>
      </c>
      <c r="D213" s="218">
        <f t="shared" si="94"/>
        <v>0</v>
      </c>
      <c r="E213" s="218">
        <f t="shared" si="94"/>
        <v>0</v>
      </c>
      <c r="F213" s="220">
        <f t="shared" si="102"/>
        <v>0</v>
      </c>
      <c r="G213" s="222">
        <f>IF(Inputs!G128="Yes",F213,0)</f>
        <v>0</v>
      </c>
      <c r="H213" s="229">
        <f t="shared" si="95"/>
        <v>0</v>
      </c>
      <c r="I213" s="218">
        <f t="shared" si="96"/>
        <v>0</v>
      </c>
      <c r="J213" s="227">
        <f t="shared" si="103"/>
        <v>0</v>
      </c>
      <c r="K213" s="222">
        <f t="shared" si="97"/>
        <v>0</v>
      </c>
      <c r="L213" s="227">
        <f t="shared" si="104"/>
        <v>0</v>
      </c>
      <c r="M213" s="218">
        <f t="shared" si="98"/>
        <v>0</v>
      </c>
      <c r="N213" s="218">
        <f t="shared" si="99"/>
        <v>0</v>
      </c>
      <c r="O213" s="220">
        <f t="shared" si="100"/>
        <v>0</v>
      </c>
      <c r="P213" s="218">
        <f t="shared" si="101"/>
        <v>0</v>
      </c>
      <c r="Q213" s="220">
        <f t="shared" si="105"/>
        <v>0</v>
      </c>
    </row>
    <row r="214" spans="1:17" s="21" customFormat="1" x14ac:dyDescent="0.2">
      <c r="A214" s="50" t="str">
        <f>Inputs!B129</f>
        <v>15-yr SL</v>
      </c>
      <c r="B214" s="353">
        <f>depr_alloc_sl_15_percent*100/Inputs!$C$133</f>
        <v>2.5773195876288661</v>
      </c>
      <c r="C214" s="218">
        <f>-$B$72*depr_alloc_sl_15_percent/100</f>
        <v>983691.95536433789</v>
      </c>
      <c r="D214" s="218">
        <f t="shared" si="94"/>
        <v>0</v>
      </c>
      <c r="E214" s="218">
        <f t="shared" si="94"/>
        <v>0</v>
      </c>
      <c r="F214" s="220">
        <f t="shared" si="102"/>
        <v>983691.95536433789</v>
      </c>
      <c r="G214" s="222">
        <f>IF(Inputs!G129="Yes",F214,0)</f>
        <v>0</v>
      </c>
      <c r="H214" s="229">
        <f t="shared" si="95"/>
        <v>0</v>
      </c>
      <c r="I214" s="218">
        <f t="shared" si="96"/>
        <v>0</v>
      </c>
      <c r="J214" s="227">
        <f t="shared" si="103"/>
        <v>0</v>
      </c>
      <c r="K214" s="222">
        <f t="shared" si="97"/>
        <v>0</v>
      </c>
      <c r="L214" s="227">
        <f t="shared" si="104"/>
        <v>0</v>
      </c>
      <c r="M214" s="218">
        <f t="shared" si="98"/>
        <v>0</v>
      </c>
      <c r="N214" s="218">
        <f t="shared" si="99"/>
        <v>0</v>
      </c>
      <c r="O214" s="220">
        <f t="shared" si="100"/>
        <v>983691.95536433789</v>
      </c>
      <c r="P214" s="218">
        <f t="shared" si="101"/>
        <v>0</v>
      </c>
      <c r="Q214" s="220">
        <f t="shared" si="105"/>
        <v>983691.95536433789</v>
      </c>
    </row>
    <row r="215" spans="1:17" s="21" customFormat="1" x14ac:dyDescent="0.2">
      <c r="A215" s="50" t="str">
        <f>Inputs!B130</f>
        <v>20-yr SL</v>
      </c>
      <c r="B215" s="353">
        <f>depr_alloc_sl_20_percent*100/Inputs!$C$133</f>
        <v>3.0927835051546393</v>
      </c>
      <c r="C215" s="218">
        <f>-$B$72*depr_alloc_sl_20_percent/100</f>
        <v>1180430.3464372056</v>
      </c>
      <c r="D215" s="218">
        <f t="shared" si="94"/>
        <v>0</v>
      </c>
      <c r="E215" s="218">
        <f t="shared" si="94"/>
        <v>0</v>
      </c>
      <c r="F215" s="220">
        <f t="shared" si="102"/>
        <v>1180430.3464372056</v>
      </c>
      <c r="G215" s="222">
        <f>IF(Inputs!G130="Yes",F215,0)</f>
        <v>0</v>
      </c>
      <c r="H215" s="229">
        <f t="shared" si="95"/>
        <v>0</v>
      </c>
      <c r="I215" s="218">
        <f t="shared" si="96"/>
        <v>0</v>
      </c>
      <c r="J215" s="227">
        <f t="shared" si="103"/>
        <v>0</v>
      </c>
      <c r="K215" s="222">
        <f t="shared" si="97"/>
        <v>0</v>
      </c>
      <c r="L215" s="227">
        <f t="shared" si="104"/>
        <v>0</v>
      </c>
      <c r="M215" s="218">
        <f t="shared" si="98"/>
        <v>0</v>
      </c>
      <c r="N215" s="218">
        <f t="shared" si="99"/>
        <v>0</v>
      </c>
      <c r="O215" s="220">
        <f t="shared" si="100"/>
        <v>1180430.3464372056</v>
      </c>
      <c r="P215" s="218">
        <f t="shared" si="101"/>
        <v>0</v>
      </c>
      <c r="Q215" s="220">
        <f t="shared" si="105"/>
        <v>1180430.3464372056</v>
      </c>
    </row>
    <row r="216" spans="1:17" s="21" customFormat="1" x14ac:dyDescent="0.2">
      <c r="A216" s="50" t="str">
        <f>Inputs!B131</f>
        <v>39-yr SL</v>
      </c>
      <c r="B216" s="354">
        <f>depr_alloc_sl_39_percent*100/Inputs!$C$133</f>
        <v>0</v>
      </c>
      <c r="C216" s="219">
        <f>-$B$72*depr_alloc_sl_39_percent/100</f>
        <v>0</v>
      </c>
      <c r="D216" s="219">
        <f t="shared" si="94"/>
        <v>0</v>
      </c>
      <c r="E216" s="219">
        <f t="shared" si="94"/>
        <v>0</v>
      </c>
      <c r="F216" s="223">
        <f t="shared" si="102"/>
        <v>0</v>
      </c>
      <c r="G216" s="222">
        <f>IF(Inputs!G131="Yes",F216,0)</f>
        <v>0</v>
      </c>
      <c r="H216" s="229">
        <f t="shared" si="95"/>
        <v>0</v>
      </c>
      <c r="I216" s="218">
        <f t="shared" si="96"/>
        <v>0</v>
      </c>
      <c r="J216" s="227">
        <f t="shared" si="103"/>
        <v>0</v>
      </c>
      <c r="K216" s="222">
        <f t="shared" si="97"/>
        <v>0</v>
      </c>
      <c r="L216" s="227">
        <f t="shared" si="104"/>
        <v>0</v>
      </c>
      <c r="M216" s="233">
        <f t="shared" si="98"/>
        <v>0</v>
      </c>
      <c r="N216" s="219">
        <f t="shared" si="99"/>
        <v>0</v>
      </c>
      <c r="O216" s="223">
        <f t="shared" si="100"/>
        <v>0</v>
      </c>
      <c r="P216" s="219">
        <f t="shared" si="101"/>
        <v>0</v>
      </c>
      <c r="Q216" s="223">
        <f t="shared" si="105"/>
        <v>0</v>
      </c>
    </row>
    <row r="217" spans="1:17" s="21" customFormat="1" x14ac:dyDescent="0.2">
      <c r="A217" s="50" t="s">
        <v>18</v>
      </c>
      <c r="B217" s="354">
        <f>SUM(B211:B216)</f>
        <v>100</v>
      </c>
      <c r="C217" s="219">
        <f>SUM(C211:C216)</f>
        <v>38167247.868136309</v>
      </c>
      <c r="D217" s="219">
        <f>B226+B232</f>
        <v>0</v>
      </c>
      <c r="E217" s="219">
        <f>B238</f>
        <v>0</v>
      </c>
      <c r="F217" s="233">
        <f>SUM(F211:F216)</f>
        <v>38167247.868136309</v>
      </c>
      <c r="G217" s="234">
        <f>SUM(G211:G216)</f>
        <v>35412910.393116161</v>
      </c>
      <c r="H217" s="230">
        <f>SUM(H211:H216)</f>
        <v>100</v>
      </c>
      <c r="I217" s="236">
        <f>MIN(itc_sta_percent_maxvalue,itc_sta_percent/100*G217)</f>
        <v>0</v>
      </c>
      <c r="J217" s="236">
        <f>SUM(J211:J216)</f>
        <v>0</v>
      </c>
      <c r="K217" s="234">
        <f>itc_sta_amount</f>
        <v>0</v>
      </c>
      <c r="L217" s="237">
        <f t="shared" ref="L217:Q217" si="106">SUM(L211:L216)</f>
        <v>0</v>
      </c>
      <c r="M217" s="219">
        <f t="shared" si="106"/>
        <v>0</v>
      </c>
      <c r="N217" s="219">
        <f t="shared" si="106"/>
        <v>5311936.5589674236</v>
      </c>
      <c r="O217" s="223">
        <f t="shared" si="106"/>
        <v>32855311.309168886</v>
      </c>
      <c r="P217" s="223">
        <f>SUM(P211:P216)</f>
        <v>0</v>
      </c>
      <c r="Q217" s="223">
        <f t="shared" si="106"/>
        <v>32855311.309168886</v>
      </c>
    </row>
    <row r="218" spans="1:17" s="168" customFormat="1" x14ac:dyDescent="0.2">
      <c r="A218" s="7"/>
      <c r="B218" s="7"/>
    </row>
    <row r="219" spans="1:17" s="168" customFormat="1" x14ac:dyDescent="0.2">
      <c r="A219" s="7" t="s">
        <v>82</v>
      </c>
      <c r="B219" s="7"/>
    </row>
    <row r="220" spans="1:17" s="168" customFormat="1" x14ac:dyDescent="0.2">
      <c r="A220" s="33" t="str">
        <f>A489</f>
        <v>Investment Based Incentive (IBI)</v>
      </c>
      <c r="B220" s="7"/>
    </row>
    <row r="221" spans="1:17" s="168" customFormat="1" x14ac:dyDescent="0.2">
      <c r="A221" s="37" t="str">
        <f t="shared" ref="A221:A232" si="107">A490</f>
        <v>As fixed amount</v>
      </c>
      <c r="B221" s="7"/>
    </row>
    <row r="222" spans="1:17" s="168" customFormat="1" x14ac:dyDescent="0.2">
      <c r="A222" s="42" t="str">
        <f t="shared" si="107"/>
        <v>Federal ($)</v>
      </c>
      <c r="B222" s="276">
        <f>IF(ibi_fed_amount_deprbas_sta="Yes",ibi_fed_amount,0)</f>
        <v>0</v>
      </c>
    </row>
    <row r="223" spans="1:17" s="168" customFormat="1" x14ac:dyDescent="0.2">
      <c r="A223" s="42" t="str">
        <f t="shared" si="107"/>
        <v>State ($)</v>
      </c>
      <c r="B223" s="276">
        <f>IF(ibi_sta_amount_deprbas_sta="Yes",ibi_sta_amount,0)</f>
        <v>0</v>
      </c>
    </row>
    <row r="224" spans="1:17" s="168" customFormat="1" x14ac:dyDescent="0.2">
      <c r="A224" s="42" t="str">
        <f t="shared" si="107"/>
        <v>Utility ($)</v>
      </c>
      <c r="B224" s="276">
        <f>IF(ibi_uti_amount_deprbas_sta="Yes",ibi_uti_amount,0)</f>
        <v>0</v>
      </c>
    </row>
    <row r="225" spans="1:2" s="168" customFormat="1" x14ac:dyDescent="0.2">
      <c r="A225" s="42" t="str">
        <f t="shared" si="107"/>
        <v>Other ($)</v>
      </c>
      <c r="B225" s="277">
        <f>IF(ibi_oth_amount_deprbas_sta="Yes",ibi_oth_amount,0)</f>
        <v>0</v>
      </c>
    </row>
    <row r="226" spans="1:2" s="168" customFormat="1" x14ac:dyDescent="0.2">
      <c r="A226" s="42" t="str">
        <f t="shared" si="107"/>
        <v>Total</v>
      </c>
      <c r="B226" s="276">
        <f>SUM(B222:B225)</f>
        <v>0</v>
      </c>
    </row>
    <row r="227" spans="1:2" s="168" customFormat="1" x14ac:dyDescent="0.2">
      <c r="A227" s="37" t="str">
        <f t="shared" si="107"/>
        <v>As percentage</v>
      </c>
      <c r="B227" s="7"/>
    </row>
    <row r="228" spans="1:2" s="168" customFormat="1" x14ac:dyDescent="0.2">
      <c r="A228" s="42" t="str">
        <f t="shared" si="107"/>
        <v>Federal (% of total installed cost)</v>
      </c>
      <c r="B228" s="276">
        <f>IF(ibi_fed_percent_deprbas_sta="Yes",C497,0)</f>
        <v>0</v>
      </c>
    </row>
    <row r="229" spans="1:2" s="168" customFormat="1" x14ac:dyDescent="0.2">
      <c r="A229" s="42" t="str">
        <f>A498</f>
        <v>State (% of total installed cost)</v>
      </c>
      <c r="B229" s="276">
        <f>IF(ibi_fed_percent_deprbas_sta="Yes",C498,0)</f>
        <v>0</v>
      </c>
    </row>
    <row r="230" spans="1:2" s="168" customFormat="1" x14ac:dyDescent="0.2">
      <c r="A230" s="42" t="str">
        <f t="shared" si="107"/>
        <v>Utility (% of total installed cost)</v>
      </c>
      <c r="B230" s="276">
        <f>IF(ibi_fed_percent_deprbas_sta="Yes",C499,0)</f>
        <v>0</v>
      </c>
    </row>
    <row r="231" spans="1:2" s="168" customFormat="1" x14ac:dyDescent="0.2">
      <c r="A231" s="42" t="str">
        <f t="shared" si="107"/>
        <v>Other (% of total installed cost)</v>
      </c>
      <c r="B231" s="277">
        <f>IF(ibi_fed_percent_deprbas_sta="Yes",C500,0)</f>
        <v>0</v>
      </c>
    </row>
    <row r="232" spans="1:2" s="168" customFormat="1" x14ac:dyDescent="0.2">
      <c r="A232" s="42" t="str">
        <f t="shared" si="107"/>
        <v>Total</v>
      </c>
      <c r="B232" s="276">
        <f>SUM(B228:B231)</f>
        <v>0</v>
      </c>
    </row>
    <row r="233" spans="1:2" s="168" customFormat="1" x14ac:dyDescent="0.2">
      <c r="A233" s="33" t="str">
        <f t="shared" ref="A233:A238" si="108">A503</f>
        <v>Capacity Based Incentive (CBI)</v>
      </c>
      <c r="B233" s="7"/>
    </row>
    <row r="234" spans="1:2" s="168" customFormat="1" x14ac:dyDescent="0.2">
      <c r="A234" s="37" t="str">
        <f t="shared" si="108"/>
        <v>Federal ($/W)</v>
      </c>
      <c r="B234" s="276">
        <f>IF(cbi_fed_deprbas_sta="Yes",C504,0)</f>
        <v>0</v>
      </c>
    </row>
    <row r="235" spans="1:2" s="168" customFormat="1" x14ac:dyDescent="0.2">
      <c r="A235" s="37" t="str">
        <f t="shared" si="108"/>
        <v>State ($/W)</v>
      </c>
      <c r="B235" s="276">
        <f>IF(cbi_fed_deprbas_sta="Yes",C505,0)</f>
        <v>0</v>
      </c>
    </row>
    <row r="236" spans="1:2" s="168" customFormat="1" x14ac:dyDescent="0.2">
      <c r="A236" s="37" t="str">
        <f t="shared" si="108"/>
        <v>Utility ($/W)</v>
      </c>
      <c r="B236" s="276">
        <f>IF(cbi_fed_deprbas_sta="Yes",C506,0)</f>
        <v>0</v>
      </c>
    </row>
    <row r="237" spans="1:2" s="168" customFormat="1" x14ac:dyDescent="0.2">
      <c r="A237" s="37" t="str">
        <f t="shared" si="108"/>
        <v>Other ($/W)</v>
      </c>
      <c r="B237" s="276">
        <f>IF(cbi_fed_deprbas_sta="Yes",C507,0)</f>
        <v>0</v>
      </c>
    </row>
    <row r="238" spans="1:2" s="168" customFormat="1" x14ac:dyDescent="0.2">
      <c r="A238" s="37" t="str">
        <f t="shared" si="108"/>
        <v>Total</v>
      </c>
      <c r="B238" s="275">
        <f>SUM(B234:B237)</f>
        <v>0</v>
      </c>
    </row>
    <row r="239" spans="1:2" s="168" customFormat="1" x14ac:dyDescent="0.2">
      <c r="A239" s="33" t="s">
        <v>70</v>
      </c>
      <c r="B239" s="276">
        <f>B226+B232+B238</f>
        <v>0</v>
      </c>
    </row>
    <row r="240" spans="1:2" s="168" customFormat="1" x14ac:dyDescent="0.2">
      <c r="A240" s="7"/>
      <c r="B240" s="7"/>
    </row>
    <row r="241" spans="1:42" s="168" customFormat="1" x14ac:dyDescent="0.2">
      <c r="A241" s="7" t="s">
        <v>122</v>
      </c>
      <c r="B241" s="7"/>
    </row>
    <row r="242" spans="1:42" s="168" customFormat="1" x14ac:dyDescent="0.2">
      <c r="A242" s="33" t="s">
        <v>76</v>
      </c>
      <c r="B242" s="7"/>
    </row>
    <row r="243" spans="1:42" x14ac:dyDescent="0.2">
      <c r="A243" s="39" t="str">
        <f t="shared" ref="A243:A248" si="109">A211</f>
        <v>5-yr MACRS</v>
      </c>
      <c r="B243" s="282">
        <f t="array" ref="B243">SUM(IF(ISNUMBER(C243:AP243),C243:AP243))</f>
        <v>100</v>
      </c>
      <c r="C243" s="283">
        <f>LOOKUP(C$2,'Depreciation Schedules'!$A$3:$A$42,'Depreciation Schedules'!$B$3:$B$42)</f>
        <v>20</v>
      </c>
      <c r="D243" s="283">
        <f>LOOKUP(D$2,'Depreciation Schedules'!$A$3:$A$42,'Depreciation Schedules'!$B$3:$B$42)</f>
        <v>32</v>
      </c>
      <c r="E243" s="283">
        <f>LOOKUP(E$2,'Depreciation Schedules'!$A$3:$A$42,'Depreciation Schedules'!$B$3:$B$42)</f>
        <v>19.2</v>
      </c>
      <c r="F243" s="283">
        <f>LOOKUP(F$2,'Depreciation Schedules'!$A$3:$A$42,'Depreciation Schedules'!$B$3:$B$42)</f>
        <v>11.52</v>
      </c>
      <c r="G243" s="283">
        <f>LOOKUP(G$2,'Depreciation Schedules'!$A$3:$A$42,'Depreciation Schedules'!$B$3:$B$42)</f>
        <v>11.52</v>
      </c>
      <c r="H243" s="283">
        <f>LOOKUP(H$2,'Depreciation Schedules'!$A$3:$A$42,'Depreciation Schedules'!$B$3:$B$42)</f>
        <v>5.76</v>
      </c>
      <c r="I243" s="283">
        <f>LOOKUP(I$2,'Depreciation Schedules'!$A$3:$A$42,'Depreciation Schedules'!$B$3:$B$42)</f>
        <v>0</v>
      </c>
      <c r="J243" s="283">
        <f>LOOKUP(J$2,'Depreciation Schedules'!$A$3:$A$42,'Depreciation Schedules'!$B$3:$B$42)</f>
        <v>0</v>
      </c>
      <c r="K243" s="283">
        <f>LOOKUP(K$2,'Depreciation Schedules'!$A$3:$A$42,'Depreciation Schedules'!$B$3:$B$42)</f>
        <v>0</v>
      </c>
      <c r="L243" s="283">
        <f>LOOKUP(L$2,'Depreciation Schedules'!$A$3:$A$42,'Depreciation Schedules'!$B$3:$B$42)</f>
        <v>0</v>
      </c>
      <c r="M243" s="283">
        <f>LOOKUP(M$2,'Depreciation Schedules'!$A$3:$A$42,'Depreciation Schedules'!$B$3:$B$42)</f>
        <v>0</v>
      </c>
      <c r="N243" s="283">
        <f>LOOKUP(N$2,'Depreciation Schedules'!$A$3:$A$42,'Depreciation Schedules'!$B$3:$B$42)</f>
        <v>0</v>
      </c>
      <c r="O243" s="283">
        <f>LOOKUP(O$2,'Depreciation Schedules'!$A$3:$A$42,'Depreciation Schedules'!$B$3:$B$42)</f>
        <v>0</v>
      </c>
      <c r="P243" s="283">
        <f>LOOKUP(P$2,'Depreciation Schedules'!$A$3:$A$42,'Depreciation Schedules'!$B$3:$B$42)</f>
        <v>0</v>
      </c>
      <c r="Q243" s="283">
        <f>LOOKUP(Q$2,'Depreciation Schedules'!$A$3:$A$42,'Depreciation Schedules'!$B$3:$B$42)</f>
        <v>0</v>
      </c>
      <c r="R243" s="283">
        <f>LOOKUP(R$2,'Depreciation Schedules'!$A$3:$A$42,'Depreciation Schedules'!$B$3:$B$42)</f>
        <v>0</v>
      </c>
      <c r="S243" s="283">
        <f>LOOKUP(S$2,'Depreciation Schedules'!$A$3:$A$42,'Depreciation Schedules'!$B$3:$B$42)</f>
        <v>0</v>
      </c>
      <c r="T243" s="283">
        <f>LOOKUP(T$2,'Depreciation Schedules'!$A$3:$A$42,'Depreciation Schedules'!$B$3:$B$42)</f>
        <v>0</v>
      </c>
      <c r="U243" s="283">
        <f>LOOKUP(U$2,'Depreciation Schedules'!$A$3:$A$42,'Depreciation Schedules'!$B$3:$B$42)</f>
        <v>0</v>
      </c>
      <c r="V243" s="283">
        <f>LOOKUP(V$2,'Depreciation Schedules'!$A$3:$A$42,'Depreciation Schedules'!$B$3:$B$42)</f>
        <v>0</v>
      </c>
      <c r="W243" s="283">
        <f>LOOKUP(W$2,'Depreciation Schedules'!$A$3:$A$42,'Depreciation Schedules'!$B$3:$B$42)</f>
        <v>0</v>
      </c>
      <c r="X243" s="283">
        <f>LOOKUP(X$2,'Depreciation Schedules'!$A$3:$A$42,'Depreciation Schedules'!$B$3:$B$42)</f>
        <v>0</v>
      </c>
      <c r="Y243" s="283">
        <f>LOOKUP(Y$2,'Depreciation Schedules'!$A$3:$A$42,'Depreciation Schedules'!$B$3:$B$42)</f>
        <v>0</v>
      </c>
      <c r="Z243" s="283">
        <f>LOOKUP(Z$2,'Depreciation Schedules'!$A$3:$A$42,'Depreciation Schedules'!$B$3:$B$42)</f>
        <v>0</v>
      </c>
      <c r="AA243" s="283">
        <f>LOOKUP(AA$2,'Depreciation Schedules'!$A$3:$A$42,'Depreciation Schedules'!$B$3:$B$42)</f>
        <v>0</v>
      </c>
      <c r="AB243" s="283" t="e">
        <f>LOOKUP(AB$2,'Depreciation Schedules'!$A$3:$A$42,'Depreciation Schedules'!$B$3:$B$42)</f>
        <v>#N/A</v>
      </c>
      <c r="AC243" s="283" t="e">
        <f>LOOKUP(AC$2,'Depreciation Schedules'!$A$3:$A$42,'Depreciation Schedules'!$B$3:$B$42)</f>
        <v>#N/A</v>
      </c>
      <c r="AD243" s="283" t="e">
        <f>LOOKUP(AD$2,'Depreciation Schedules'!$A$3:$A$42,'Depreciation Schedules'!$B$3:$B$42)</f>
        <v>#N/A</v>
      </c>
      <c r="AE243" s="283" t="e">
        <f>LOOKUP(AE$2,'Depreciation Schedules'!$A$3:$A$42,'Depreciation Schedules'!$B$3:$B$42)</f>
        <v>#N/A</v>
      </c>
      <c r="AF243" s="283" t="e">
        <f>LOOKUP(AF$2,'Depreciation Schedules'!$A$3:$A$42,'Depreciation Schedules'!$B$3:$B$42)</f>
        <v>#N/A</v>
      </c>
      <c r="AG243" s="283" t="e">
        <f>LOOKUP(AG$2,'Depreciation Schedules'!$A$3:$A$42,'Depreciation Schedules'!$B$3:$B$42)</f>
        <v>#N/A</v>
      </c>
      <c r="AH243" s="283" t="e">
        <f>LOOKUP(AH$2,'Depreciation Schedules'!$A$3:$A$42,'Depreciation Schedules'!$B$3:$B$42)</f>
        <v>#N/A</v>
      </c>
      <c r="AI243" s="283" t="e">
        <f>LOOKUP(AI$2,'Depreciation Schedules'!$A$3:$A$42,'Depreciation Schedules'!$B$3:$B$42)</f>
        <v>#N/A</v>
      </c>
      <c r="AJ243" s="283" t="e">
        <f>LOOKUP(AJ$2,'Depreciation Schedules'!$A$3:$A$42,'Depreciation Schedules'!$B$3:$B$42)</f>
        <v>#N/A</v>
      </c>
      <c r="AK243" s="283" t="e">
        <f>LOOKUP(AK$2,'Depreciation Schedules'!$A$3:$A$42,'Depreciation Schedules'!$B$3:$B$42)</f>
        <v>#N/A</v>
      </c>
      <c r="AL243" s="283" t="e">
        <f>LOOKUP(AL$2,'Depreciation Schedules'!$A$3:$A$42,'Depreciation Schedules'!$B$3:$B$42)</f>
        <v>#N/A</v>
      </c>
      <c r="AM243" s="283" t="e">
        <f>LOOKUP(AM$2,'Depreciation Schedules'!$A$3:$A$42,'Depreciation Schedules'!$B$3:$B$42)</f>
        <v>#N/A</v>
      </c>
      <c r="AN243" s="283" t="e">
        <f>LOOKUP(AN$2,'Depreciation Schedules'!$A$3:$A$42,'Depreciation Schedules'!$B$3:$B$42)</f>
        <v>#N/A</v>
      </c>
      <c r="AO243" s="283" t="e">
        <f>LOOKUP(AO$2,'Depreciation Schedules'!$A$3:$A$42,'Depreciation Schedules'!$B$3:$B$42)</f>
        <v>#N/A</v>
      </c>
      <c r="AP243" s="283" t="e">
        <f>LOOKUP(AP$2,'Depreciation Schedules'!$A$3:$A$42,'Depreciation Schedules'!$B$3:$B$42)</f>
        <v>#N/A</v>
      </c>
    </row>
    <row r="244" spans="1:42" x14ac:dyDescent="0.2">
      <c r="A244" s="39" t="str">
        <f t="shared" si="109"/>
        <v>15-yr MACRS</v>
      </c>
      <c r="B244" s="282">
        <f t="array" ref="B244">SUM(IF(ISNUMBER(C244:AP244),C244:AP244))</f>
        <v>99.990000000000009</v>
      </c>
      <c r="C244" s="283">
        <f>LOOKUP(C$2,'Depreciation Schedules'!$A$3:$A$42,'Depreciation Schedules'!$C$3:$C$42)</f>
        <v>5</v>
      </c>
      <c r="D244" s="283">
        <f>LOOKUP(D$2,'Depreciation Schedules'!$A$3:$A$42,'Depreciation Schedules'!$C$3:$C$42)</f>
        <v>9.5</v>
      </c>
      <c r="E244" s="283">
        <f>LOOKUP(E$2,'Depreciation Schedules'!$A$3:$A$42,'Depreciation Schedules'!$C$3:$C$42)</f>
        <v>8.5500000000000007</v>
      </c>
      <c r="F244" s="283">
        <f>LOOKUP(F$2,'Depreciation Schedules'!$A$3:$A$42,'Depreciation Schedules'!$C$3:$C$42)</f>
        <v>7.7</v>
      </c>
      <c r="G244" s="283">
        <f>LOOKUP(G$2,'Depreciation Schedules'!$A$3:$A$42,'Depreciation Schedules'!$C$3:$C$42)</f>
        <v>6.93</v>
      </c>
      <c r="H244" s="283">
        <f>LOOKUP(H$2,'Depreciation Schedules'!$A$3:$A$42,'Depreciation Schedules'!$C$3:$C$42)</f>
        <v>6.23</v>
      </c>
      <c r="I244" s="283">
        <f>LOOKUP(I$2,'Depreciation Schedules'!$A$3:$A$42,'Depreciation Schedules'!$C$3:$C$42)</f>
        <v>5.9</v>
      </c>
      <c r="J244" s="283">
        <f>LOOKUP(J$2,'Depreciation Schedules'!$A$3:$A$42,'Depreciation Schedules'!$C$3:$C$42)</f>
        <v>5.9</v>
      </c>
      <c r="K244" s="283">
        <f>LOOKUP(K$2,'Depreciation Schedules'!$A$3:$A$42,'Depreciation Schedules'!$C$3:$C$42)</f>
        <v>5.91</v>
      </c>
      <c r="L244" s="283">
        <f>LOOKUP(L$2,'Depreciation Schedules'!$A$3:$A$42,'Depreciation Schedules'!$C$3:$C$42)</f>
        <v>5.9</v>
      </c>
      <c r="M244" s="283">
        <f>LOOKUP(M$2,'Depreciation Schedules'!$A$3:$A$42,'Depreciation Schedules'!$C$3:$C$42)</f>
        <v>5.91</v>
      </c>
      <c r="N244" s="283">
        <f>LOOKUP(N$2,'Depreciation Schedules'!$A$3:$A$42,'Depreciation Schedules'!$C$3:$C$42)</f>
        <v>5.9</v>
      </c>
      <c r="O244" s="283">
        <f>LOOKUP(O$2,'Depreciation Schedules'!$A$3:$A$42,'Depreciation Schedules'!$C$3:$C$42)</f>
        <v>5.91</v>
      </c>
      <c r="P244" s="283">
        <f>LOOKUP(P$2,'Depreciation Schedules'!$A$3:$A$42,'Depreciation Schedules'!$C$3:$C$42)</f>
        <v>5.9</v>
      </c>
      <c r="Q244" s="283">
        <f>LOOKUP(Q$2,'Depreciation Schedules'!$A$3:$A$42,'Depreciation Schedules'!$C$3:$C$42)</f>
        <v>5.9</v>
      </c>
      <c r="R244" s="283">
        <f>LOOKUP(R$2,'Depreciation Schedules'!$A$3:$A$42,'Depreciation Schedules'!$C$3:$C$42)</f>
        <v>2.95</v>
      </c>
      <c r="S244" s="283">
        <f>LOOKUP(S$2,'Depreciation Schedules'!$A$3:$A$42,'Depreciation Schedules'!$C$3:$C$42)</f>
        <v>0</v>
      </c>
      <c r="T244" s="283">
        <f>LOOKUP(T$2,'Depreciation Schedules'!$A$3:$A$42,'Depreciation Schedules'!$C$3:$C$42)</f>
        <v>0</v>
      </c>
      <c r="U244" s="283">
        <f>LOOKUP(U$2,'Depreciation Schedules'!$A$3:$A$42,'Depreciation Schedules'!$C$3:$C$42)</f>
        <v>0</v>
      </c>
      <c r="V244" s="283">
        <f>LOOKUP(V$2,'Depreciation Schedules'!$A$3:$A$42,'Depreciation Schedules'!$C$3:$C$42)</f>
        <v>0</v>
      </c>
      <c r="W244" s="283">
        <f>LOOKUP(W$2,'Depreciation Schedules'!$A$3:$A$42,'Depreciation Schedules'!$C$3:$C$42)</f>
        <v>0</v>
      </c>
      <c r="X244" s="283">
        <f>LOOKUP(X$2,'Depreciation Schedules'!$A$3:$A$42,'Depreciation Schedules'!$C$3:$C$42)</f>
        <v>0</v>
      </c>
      <c r="Y244" s="283">
        <f>LOOKUP(Y$2,'Depreciation Schedules'!$A$3:$A$42,'Depreciation Schedules'!$C$3:$C$42)</f>
        <v>0</v>
      </c>
      <c r="Z244" s="283">
        <f>LOOKUP(Z$2,'Depreciation Schedules'!$A$3:$A$42,'Depreciation Schedules'!$C$3:$C$42)</f>
        <v>0</v>
      </c>
      <c r="AA244" s="283">
        <f>LOOKUP(AA$2,'Depreciation Schedules'!$A$3:$A$42,'Depreciation Schedules'!$C$3:$C$42)</f>
        <v>0</v>
      </c>
      <c r="AB244" s="283" t="e">
        <f>LOOKUP(AB$2,'Depreciation Schedules'!$A$3:$A$42,'Depreciation Schedules'!$C$3:$C$42)</f>
        <v>#N/A</v>
      </c>
      <c r="AC244" s="283" t="e">
        <f>LOOKUP(AC$2,'Depreciation Schedules'!$A$3:$A$42,'Depreciation Schedules'!$C$3:$C$42)</f>
        <v>#N/A</v>
      </c>
      <c r="AD244" s="283" t="e">
        <f>LOOKUP(AD$2,'Depreciation Schedules'!$A$3:$A$42,'Depreciation Schedules'!$C$3:$C$42)</f>
        <v>#N/A</v>
      </c>
      <c r="AE244" s="283" t="e">
        <f>LOOKUP(AE$2,'Depreciation Schedules'!$A$3:$A$42,'Depreciation Schedules'!$C$3:$C$42)</f>
        <v>#N/A</v>
      </c>
      <c r="AF244" s="283" t="e">
        <f>LOOKUP(AF$2,'Depreciation Schedules'!$A$3:$A$42,'Depreciation Schedules'!$C$3:$C$42)</f>
        <v>#N/A</v>
      </c>
      <c r="AG244" s="283" t="e">
        <f>LOOKUP(AG$2,'Depreciation Schedules'!$A$3:$A$42,'Depreciation Schedules'!$C$3:$C$42)</f>
        <v>#N/A</v>
      </c>
      <c r="AH244" s="283" t="e">
        <f>LOOKUP(AH$2,'Depreciation Schedules'!$A$3:$A$42,'Depreciation Schedules'!$C$3:$C$42)</f>
        <v>#N/A</v>
      </c>
      <c r="AI244" s="283" t="e">
        <f>LOOKUP(AI$2,'Depreciation Schedules'!$A$3:$A$42,'Depreciation Schedules'!$C$3:$C$42)</f>
        <v>#N/A</v>
      </c>
      <c r="AJ244" s="283" t="e">
        <f>LOOKUP(AJ$2,'Depreciation Schedules'!$A$3:$A$42,'Depreciation Schedules'!$C$3:$C$42)</f>
        <v>#N/A</v>
      </c>
      <c r="AK244" s="283" t="e">
        <f>LOOKUP(AK$2,'Depreciation Schedules'!$A$3:$A$42,'Depreciation Schedules'!$C$3:$C$42)</f>
        <v>#N/A</v>
      </c>
      <c r="AL244" s="283" t="e">
        <f>LOOKUP(AL$2,'Depreciation Schedules'!$A$3:$A$42,'Depreciation Schedules'!$C$3:$C$42)</f>
        <v>#N/A</v>
      </c>
      <c r="AM244" s="283" t="e">
        <f>LOOKUP(AM$2,'Depreciation Schedules'!$A$3:$A$42,'Depreciation Schedules'!$C$3:$C$42)</f>
        <v>#N/A</v>
      </c>
      <c r="AN244" s="283" t="e">
        <f>LOOKUP(AN$2,'Depreciation Schedules'!$A$3:$A$42,'Depreciation Schedules'!$C$3:$C$42)</f>
        <v>#N/A</v>
      </c>
      <c r="AO244" s="283" t="e">
        <f>LOOKUP(AO$2,'Depreciation Schedules'!$A$3:$A$42,'Depreciation Schedules'!$C$3:$C$42)</f>
        <v>#N/A</v>
      </c>
      <c r="AP244" s="283" t="e">
        <f>LOOKUP(AP$2,'Depreciation Schedules'!$A$3:$A$42,'Depreciation Schedules'!$C$3:$C$42)</f>
        <v>#N/A</v>
      </c>
    </row>
    <row r="245" spans="1:42" x14ac:dyDescent="0.2">
      <c r="A245" s="39" t="str">
        <f t="shared" si="109"/>
        <v>5-yr SL</v>
      </c>
      <c r="B245" s="282">
        <f t="array" ref="B245">SUM(IF(ISNUMBER(C245:AP245),C245:AP245))</f>
        <v>100</v>
      </c>
      <c r="C245" s="283">
        <f>LOOKUP(C$2,'Depreciation Schedules'!$A$3:$A$42,'Depreciation Schedules'!$D$3:$D$42)</f>
        <v>10</v>
      </c>
      <c r="D245" s="283">
        <f>LOOKUP(D$2,'Depreciation Schedules'!$A$3:$A$42,'Depreciation Schedules'!$D$3:$D$42)</f>
        <v>20</v>
      </c>
      <c r="E245" s="283">
        <f>LOOKUP(E$2,'Depreciation Schedules'!$A$3:$A$42,'Depreciation Schedules'!$D$3:$D$42)</f>
        <v>20</v>
      </c>
      <c r="F245" s="283">
        <f>LOOKUP(F$2,'Depreciation Schedules'!$A$3:$A$42,'Depreciation Schedules'!$D$3:$D$42)</f>
        <v>20</v>
      </c>
      <c r="G245" s="283">
        <f>LOOKUP(G$2,'Depreciation Schedules'!$A$3:$A$42,'Depreciation Schedules'!$D$3:$D$42)</f>
        <v>20</v>
      </c>
      <c r="H245" s="283">
        <f>LOOKUP(H$2,'Depreciation Schedules'!$A$3:$A$42,'Depreciation Schedules'!$D$3:$D$42)</f>
        <v>10</v>
      </c>
      <c r="I245" s="283">
        <f>LOOKUP(I$2,'Depreciation Schedules'!$A$3:$A$42,'Depreciation Schedules'!$D$3:$D$42)</f>
        <v>0</v>
      </c>
      <c r="J245" s="283">
        <f>LOOKUP(J$2,'Depreciation Schedules'!$A$3:$A$42,'Depreciation Schedules'!$D$3:$D$42)</f>
        <v>0</v>
      </c>
      <c r="K245" s="283">
        <f>LOOKUP(K$2,'Depreciation Schedules'!$A$3:$A$42,'Depreciation Schedules'!$D$3:$D$42)</f>
        <v>0</v>
      </c>
      <c r="L245" s="283">
        <f>LOOKUP(L$2,'Depreciation Schedules'!$A$3:$A$42,'Depreciation Schedules'!$D$3:$D$42)</f>
        <v>0</v>
      </c>
      <c r="M245" s="283">
        <f>LOOKUP(M$2,'Depreciation Schedules'!$A$3:$A$42,'Depreciation Schedules'!$D$3:$D$42)</f>
        <v>0</v>
      </c>
      <c r="N245" s="283">
        <f>LOOKUP(N$2,'Depreciation Schedules'!$A$3:$A$42,'Depreciation Schedules'!$D$3:$D$42)</f>
        <v>0</v>
      </c>
      <c r="O245" s="283">
        <f>LOOKUP(O$2,'Depreciation Schedules'!$A$3:$A$42,'Depreciation Schedules'!$D$3:$D$42)</f>
        <v>0</v>
      </c>
      <c r="P245" s="283">
        <f>LOOKUP(P$2,'Depreciation Schedules'!$A$3:$A$42,'Depreciation Schedules'!$D$3:$D$42)</f>
        <v>0</v>
      </c>
      <c r="Q245" s="283">
        <f>LOOKUP(Q$2,'Depreciation Schedules'!$A$3:$A$42,'Depreciation Schedules'!$D$3:$D$42)</f>
        <v>0</v>
      </c>
      <c r="R245" s="283">
        <f>LOOKUP(R$2,'Depreciation Schedules'!$A$3:$A$42,'Depreciation Schedules'!$D$3:$D$42)</f>
        <v>0</v>
      </c>
      <c r="S245" s="283">
        <f>LOOKUP(S$2,'Depreciation Schedules'!$A$3:$A$42,'Depreciation Schedules'!$D$3:$D$42)</f>
        <v>0</v>
      </c>
      <c r="T245" s="283">
        <f>LOOKUP(T$2,'Depreciation Schedules'!$A$3:$A$42,'Depreciation Schedules'!$D$3:$D$42)</f>
        <v>0</v>
      </c>
      <c r="U245" s="283">
        <f>LOOKUP(U$2,'Depreciation Schedules'!$A$3:$A$42,'Depreciation Schedules'!$D$3:$D$42)</f>
        <v>0</v>
      </c>
      <c r="V245" s="283">
        <f>LOOKUP(V$2,'Depreciation Schedules'!$A$3:$A$42,'Depreciation Schedules'!$D$3:$D$42)</f>
        <v>0</v>
      </c>
      <c r="W245" s="283">
        <f>LOOKUP(W$2,'Depreciation Schedules'!$A$3:$A$42,'Depreciation Schedules'!$D$3:$D$42)</f>
        <v>0</v>
      </c>
      <c r="X245" s="283">
        <f>LOOKUP(X$2,'Depreciation Schedules'!$A$3:$A$42,'Depreciation Schedules'!$D$3:$D$42)</f>
        <v>0</v>
      </c>
      <c r="Y245" s="283">
        <f>LOOKUP(Y$2,'Depreciation Schedules'!$A$3:$A$42,'Depreciation Schedules'!$D$3:$D$42)</f>
        <v>0</v>
      </c>
      <c r="Z245" s="283">
        <f>LOOKUP(Z$2,'Depreciation Schedules'!$A$3:$A$42,'Depreciation Schedules'!$D$3:$D$42)</f>
        <v>0</v>
      </c>
      <c r="AA245" s="283">
        <f>LOOKUP(AA$2,'Depreciation Schedules'!$A$3:$A$42,'Depreciation Schedules'!$D$3:$D$42)</f>
        <v>0</v>
      </c>
      <c r="AB245" s="283" t="e">
        <f>LOOKUP(AB$2,'Depreciation Schedules'!$A$3:$A$42,'Depreciation Schedules'!$D$3:$D$42)</f>
        <v>#N/A</v>
      </c>
      <c r="AC245" s="283" t="e">
        <f>LOOKUP(AC$2,'Depreciation Schedules'!$A$3:$A$42,'Depreciation Schedules'!$D$3:$D$42)</f>
        <v>#N/A</v>
      </c>
      <c r="AD245" s="283" t="e">
        <f>LOOKUP(AD$2,'Depreciation Schedules'!$A$3:$A$42,'Depreciation Schedules'!$D$3:$D$42)</f>
        <v>#N/A</v>
      </c>
      <c r="AE245" s="283" t="e">
        <f>LOOKUP(AE$2,'Depreciation Schedules'!$A$3:$A$42,'Depreciation Schedules'!$D$3:$D$42)</f>
        <v>#N/A</v>
      </c>
      <c r="AF245" s="283" t="e">
        <f>LOOKUP(AF$2,'Depreciation Schedules'!$A$3:$A$42,'Depreciation Schedules'!$D$3:$D$42)</f>
        <v>#N/A</v>
      </c>
      <c r="AG245" s="283" t="e">
        <f>LOOKUP(AG$2,'Depreciation Schedules'!$A$3:$A$42,'Depreciation Schedules'!$D$3:$D$42)</f>
        <v>#N/A</v>
      </c>
      <c r="AH245" s="283" t="e">
        <f>LOOKUP(AH$2,'Depreciation Schedules'!$A$3:$A$42,'Depreciation Schedules'!$D$3:$D$42)</f>
        <v>#N/A</v>
      </c>
      <c r="AI245" s="283" t="e">
        <f>LOOKUP(AI$2,'Depreciation Schedules'!$A$3:$A$42,'Depreciation Schedules'!$D$3:$D$42)</f>
        <v>#N/A</v>
      </c>
      <c r="AJ245" s="283" t="e">
        <f>LOOKUP(AJ$2,'Depreciation Schedules'!$A$3:$A$42,'Depreciation Schedules'!$D$3:$D$42)</f>
        <v>#N/A</v>
      </c>
      <c r="AK245" s="283" t="e">
        <f>LOOKUP(AK$2,'Depreciation Schedules'!$A$3:$A$42,'Depreciation Schedules'!$D$3:$D$42)</f>
        <v>#N/A</v>
      </c>
      <c r="AL245" s="283" t="e">
        <f>LOOKUP(AL$2,'Depreciation Schedules'!$A$3:$A$42,'Depreciation Schedules'!$D$3:$D$42)</f>
        <v>#N/A</v>
      </c>
      <c r="AM245" s="283" t="e">
        <f>LOOKUP(AM$2,'Depreciation Schedules'!$A$3:$A$42,'Depreciation Schedules'!$D$3:$D$42)</f>
        <v>#N/A</v>
      </c>
      <c r="AN245" s="283" t="e">
        <f>LOOKUP(AN$2,'Depreciation Schedules'!$A$3:$A$42,'Depreciation Schedules'!$D$3:$D$42)</f>
        <v>#N/A</v>
      </c>
      <c r="AO245" s="283" t="e">
        <f>LOOKUP(AO$2,'Depreciation Schedules'!$A$3:$A$42,'Depreciation Schedules'!$D$3:$D$42)</f>
        <v>#N/A</v>
      </c>
      <c r="AP245" s="283" t="e">
        <f>LOOKUP(AP$2,'Depreciation Schedules'!$A$3:$A$42,'Depreciation Schedules'!$D$3:$D$42)</f>
        <v>#N/A</v>
      </c>
    </row>
    <row r="246" spans="1:42" x14ac:dyDescent="0.2">
      <c r="A246" s="39" t="str">
        <f t="shared" si="109"/>
        <v>15-yr SL</v>
      </c>
      <c r="B246" s="282">
        <f t="array" ref="B246">SUM(IF(ISNUMBER(C246:AP246),C246:AP246))</f>
        <v>100.02000000000001</v>
      </c>
      <c r="C246" s="283">
        <f>LOOKUP(C$2,'Depreciation Schedules'!$A$3:$A$42,'Depreciation Schedules'!$E$3:$E$42)</f>
        <v>3.33</v>
      </c>
      <c r="D246" s="283">
        <f>LOOKUP(D$2,'Depreciation Schedules'!$A$3:$A$42,'Depreciation Schedules'!$E$3:$E$42)</f>
        <v>6.67</v>
      </c>
      <c r="E246" s="283">
        <f>LOOKUP(E$2,'Depreciation Schedules'!$A$3:$A$42,'Depreciation Schedules'!$E$3:$E$42)</f>
        <v>6.67</v>
      </c>
      <c r="F246" s="283">
        <f>LOOKUP(F$2,'Depreciation Schedules'!$A$3:$A$42,'Depreciation Schedules'!$E$3:$E$42)</f>
        <v>6.67</v>
      </c>
      <c r="G246" s="283">
        <f>LOOKUP(G$2,'Depreciation Schedules'!$A$3:$A$42,'Depreciation Schedules'!$E$3:$E$42)</f>
        <v>6.67</v>
      </c>
      <c r="H246" s="283">
        <f>LOOKUP(H$2,'Depreciation Schedules'!$A$3:$A$42,'Depreciation Schedules'!$E$3:$E$42)</f>
        <v>6.67</v>
      </c>
      <c r="I246" s="283">
        <f>LOOKUP(I$2,'Depreciation Schedules'!$A$3:$A$42,'Depreciation Schedules'!$E$3:$E$42)</f>
        <v>6.67</v>
      </c>
      <c r="J246" s="283">
        <f>LOOKUP(J$2,'Depreciation Schedules'!$A$3:$A$42,'Depreciation Schedules'!$E$3:$E$42)</f>
        <v>6.67</v>
      </c>
      <c r="K246" s="283">
        <f>LOOKUP(K$2,'Depreciation Schedules'!$A$3:$A$42,'Depreciation Schedules'!$E$3:$E$42)</f>
        <v>6.67</v>
      </c>
      <c r="L246" s="283">
        <f>LOOKUP(L$2,'Depreciation Schedules'!$A$3:$A$42,'Depreciation Schedules'!$E$3:$E$42)</f>
        <v>6.67</v>
      </c>
      <c r="M246" s="283">
        <f>LOOKUP(M$2,'Depreciation Schedules'!$A$3:$A$42,'Depreciation Schedules'!$E$3:$E$42)</f>
        <v>6.67</v>
      </c>
      <c r="N246" s="283">
        <f>LOOKUP(N$2,'Depreciation Schedules'!$A$3:$A$42,'Depreciation Schedules'!$E$3:$E$42)</f>
        <v>6.66</v>
      </c>
      <c r="O246" s="283">
        <f>LOOKUP(O$2,'Depreciation Schedules'!$A$3:$A$42,'Depreciation Schedules'!$E$3:$E$42)</f>
        <v>6.67</v>
      </c>
      <c r="P246" s="283">
        <f>LOOKUP(P$2,'Depreciation Schedules'!$A$3:$A$42,'Depreciation Schedules'!$E$3:$E$42)</f>
        <v>6.66</v>
      </c>
      <c r="Q246" s="283">
        <f>LOOKUP(Q$2,'Depreciation Schedules'!$A$3:$A$42,'Depreciation Schedules'!$E$3:$E$42)</f>
        <v>6.67</v>
      </c>
      <c r="R246" s="283">
        <f>LOOKUP(R$2,'Depreciation Schedules'!$A$3:$A$42,'Depreciation Schedules'!$E$3:$E$42)</f>
        <v>3.33</v>
      </c>
      <c r="S246" s="283">
        <f>LOOKUP(S$2,'Depreciation Schedules'!$A$3:$A$42,'Depreciation Schedules'!$E$3:$E$42)</f>
        <v>0</v>
      </c>
      <c r="T246" s="283">
        <f>LOOKUP(T$2,'Depreciation Schedules'!$A$3:$A$42,'Depreciation Schedules'!$E$3:$E$42)</f>
        <v>0</v>
      </c>
      <c r="U246" s="283">
        <f>LOOKUP(U$2,'Depreciation Schedules'!$A$3:$A$42,'Depreciation Schedules'!$E$3:$E$42)</f>
        <v>0</v>
      </c>
      <c r="V246" s="283">
        <f>LOOKUP(V$2,'Depreciation Schedules'!$A$3:$A$42,'Depreciation Schedules'!$E$3:$E$42)</f>
        <v>0</v>
      </c>
      <c r="W246" s="283">
        <f>LOOKUP(W$2,'Depreciation Schedules'!$A$3:$A$42,'Depreciation Schedules'!$E$3:$E$42)</f>
        <v>0</v>
      </c>
      <c r="X246" s="283">
        <f>LOOKUP(X$2,'Depreciation Schedules'!$A$3:$A$42,'Depreciation Schedules'!$E$3:$E$42)</f>
        <v>0</v>
      </c>
      <c r="Y246" s="283">
        <f>LOOKUP(Y$2,'Depreciation Schedules'!$A$3:$A$42,'Depreciation Schedules'!$E$3:$E$42)</f>
        <v>0</v>
      </c>
      <c r="Z246" s="283">
        <f>LOOKUP(Z$2,'Depreciation Schedules'!$A$3:$A$42,'Depreciation Schedules'!$E$3:$E$42)</f>
        <v>0</v>
      </c>
      <c r="AA246" s="283">
        <f>LOOKUP(AA$2,'Depreciation Schedules'!$A$3:$A$42,'Depreciation Schedules'!$E$3:$E$42)</f>
        <v>0</v>
      </c>
      <c r="AB246" s="283" t="e">
        <f>LOOKUP(AB$2,'Depreciation Schedules'!$A$3:$A$42,'Depreciation Schedules'!$E$3:$E$42)</f>
        <v>#N/A</v>
      </c>
      <c r="AC246" s="283" t="e">
        <f>LOOKUP(AC$2,'Depreciation Schedules'!$A$3:$A$42,'Depreciation Schedules'!$E$3:$E$42)</f>
        <v>#N/A</v>
      </c>
      <c r="AD246" s="283" t="e">
        <f>LOOKUP(AD$2,'Depreciation Schedules'!$A$3:$A$42,'Depreciation Schedules'!$E$3:$E$42)</f>
        <v>#N/A</v>
      </c>
      <c r="AE246" s="283" t="e">
        <f>LOOKUP(AE$2,'Depreciation Schedules'!$A$3:$A$42,'Depreciation Schedules'!$E$3:$E$42)</f>
        <v>#N/A</v>
      </c>
      <c r="AF246" s="283" t="e">
        <f>LOOKUP(AF$2,'Depreciation Schedules'!$A$3:$A$42,'Depreciation Schedules'!$E$3:$E$42)</f>
        <v>#N/A</v>
      </c>
      <c r="AG246" s="283" t="e">
        <f>LOOKUP(AG$2,'Depreciation Schedules'!$A$3:$A$42,'Depreciation Schedules'!$E$3:$E$42)</f>
        <v>#N/A</v>
      </c>
      <c r="AH246" s="283" t="e">
        <f>LOOKUP(AH$2,'Depreciation Schedules'!$A$3:$A$42,'Depreciation Schedules'!$E$3:$E$42)</f>
        <v>#N/A</v>
      </c>
      <c r="AI246" s="283" t="e">
        <f>LOOKUP(AI$2,'Depreciation Schedules'!$A$3:$A$42,'Depreciation Schedules'!$E$3:$E$42)</f>
        <v>#N/A</v>
      </c>
      <c r="AJ246" s="283" t="e">
        <f>LOOKUP(AJ$2,'Depreciation Schedules'!$A$3:$A$42,'Depreciation Schedules'!$E$3:$E$42)</f>
        <v>#N/A</v>
      </c>
      <c r="AK246" s="283" t="e">
        <f>LOOKUP(AK$2,'Depreciation Schedules'!$A$3:$A$42,'Depreciation Schedules'!$E$3:$E$42)</f>
        <v>#N/A</v>
      </c>
      <c r="AL246" s="283" t="e">
        <f>LOOKUP(AL$2,'Depreciation Schedules'!$A$3:$A$42,'Depreciation Schedules'!$E$3:$E$42)</f>
        <v>#N/A</v>
      </c>
      <c r="AM246" s="283" t="e">
        <f>LOOKUP(AM$2,'Depreciation Schedules'!$A$3:$A$42,'Depreciation Schedules'!$E$3:$E$42)</f>
        <v>#N/A</v>
      </c>
      <c r="AN246" s="283" t="e">
        <f>LOOKUP(AN$2,'Depreciation Schedules'!$A$3:$A$42,'Depreciation Schedules'!$E$3:$E$42)</f>
        <v>#N/A</v>
      </c>
      <c r="AO246" s="283" t="e">
        <f>LOOKUP(AO$2,'Depreciation Schedules'!$A$3:$A$42,'Depreciation Schedules'!$E$3:$E$42)</f>
        <v>#N/A</v>
      </c>
      <c r="AP246" s="283" t="e">
        <f>LOOKUP(AP$2,'Depreciation Schedules'!$A$3:$A$42,'Depreciation Schedules'!$E$3:$E$42)</f>
        <v>#N/A</v>
      </c>
    </row>
    <row r="247" spans="1:42" x14ac:dyDescent="0.2">
      <c r="A247" s="39" t="str">
        <f t="shared" si="109"/>
        <v>20-yr SL</v>
      </c>
      <c r="B247" s="282">
        <f t="array" ref="B247">SUM(IF(ISNUMBER(C247:AP247),C247:AP247))</f>
        <v>100</v>
      </c>
      <c r="C247" s="283">
        <f>LOOKUP(C$2,'Depreciation Schedules'!$A$3:$A$42,'Depreciation Schedules'!$F$3:$F$42)</f>
        <v>2.5</v>
      </c>
      <c r="D247" s="283">
        <f>LOOKUP(D$2,'Depreciation Schedules'!$A$3:$A$42,'Depreciation Schedules'!$F$3:$F$42)</f>
        <v>5</v>
      </c>
      <c r="E247" s="283">
        <f>LOOKUP(E$2,'Depreciation Schedules'!$A$3:$A$42,'Depreciation Schedules'!$F$3:$F$42)</f>
        <v>5</v>
      </c>
      <c r="F247" s="283">
        <f>LOOKUP(F$2,'Depreciation Schedules'!$A$3:$A$42,'Depreciation Schedules'!$F$3:$F$42)</f>
        <v>5</v>
      </c>
      <c r="G247" s="283">
        <f>LOOKUP(G$2,'Depreciation Schedules'!$A$3:$A$42,'Depreciation Schedules'!$F$3:$F$42)</f>
        <v>5</v>
      </c>
      <c r="H247" s="283">
        <f>LOOKUP(H$2,'Depreciation Schedules'!$A$3:$A$42,'Depreciation Schedules'!$F$3:$F$42)</f>
        <v>5</v>
      </c>
      <c r="I247" s="283">
        <f>LOOKUP(I$2,'Depreciation Schedules'!$A$3:$A$42,'Depreciation Schedules'!$F$3:$F$42)</f>
        <v>5</v>
      </c>
      <c r="J247" s="283">
        <f>LOOKUP(J$2,'Depreciation Schedules'!$A$3:$A$42,'Depreciation Schedules'!$F$3:$F$42)</f>
        <v>5</v>
      </c>
      <c r="K247" s="283">
        <f>LOOKUP(K$2,'Depreciation Schedules'!$A$3:$A$42,'Depreciation Schedules'!$F$3:$F$42)</f>
        <v>5</v>
      </c>
      <c r="L247" s="283">
        <f>LOOKUP(L$2,'Depreciation Schedules'!$A$3:$A$42,'Depreciation Schedules'!$F$3:$F$42)</f>
        <v>5</v>
      </c>
      <c r="M247" s="283">
        <f>LOOKUP(M$2,'Depreciation Schedules'!$A$3:$A$42,'Depreciation Schedules'!$F$3:$F$42)</f>
        <v>5</v>
      </c>
      <c r="N247" s="283">
        <f>LOOKUP(N$2,'Depreciation Schedules'!$A$3:$A$42,'Depreciation Schedules'!$F$3:$F$42)</f>
        <v>5</v>
      </c>
      <c r="O247" s="283">
        <f>LOOKUP(O$2,'Depreciation Schedules'!$A$3:$A$42,'Depreciation Schedules'!$F$3:$F$42)</f>
        <v>5</v>
      </c>
      <c r="P247" s="283">
        <f>LOOKUP(P$2,'Depreciation Schedules'!$A$3:$A$42,'Depreciation Schedules'!$F$3:$F$42)</f>
        <v>5</v>
      </c>
      <c r="Q247" s="283">
        <f>LOOKUP(Q$2,'Depreciation Schedules'!$A$3:$A$42,'Depreciation Schedules'!$F$3:$F$42)</f>
        <v>5</v>
      </c>
      <c r="R247" s="283">
        <f>LOOKUP(R$2,'Depreciation Schedules'!$A$3:$A$42,'Depreciation Schedules'!$F$3:$F$42)</f>
        <v>5</v>
      </c>
      <c r="S247" s="283">
        <f>LOOKUP(S$2,'Depreciation Schedules'!$A$3:$A$42,'Depreciation Schedules'!$F$3:$F$42)</f>
        <v>5</v>
      </c>
      <c r="T247" s="283">
        <f>LOOKUP(T$2,'Depreciation Schedules'!$A$3:$A$42,'Depreciation Schedules'!$F$3:$F$42)</f>
        <v>5</v>
      </c>
      <c r="U247" s="283">
        <f>LOOKUP(U$2,'Depreciation Schedules'!$A$3:$A$42,'Depreciation Schedules'!$F$3:$F$42)</f>
        <v>5</v>
      </c>
      <c r="V247" s="283">
        <f>LOOKUP(V$2,'Depreciation Schedules'!$A$3:$A$42,'Depreciation Schedules'!$F$3:$F$42)</f>
        <v>5</v>
      </c>
      <c r="W247" s="283">
        <f>LOOKUP(W$2,'Depreciation Schedules'!$A$3:$A$42,'Depreciation Schedules'!$F$3:$F$42)</f>
        <v>2.5</v>
      </c>
      <c r="X247" s="283">
        <f>LOOKUP(X$2,'Depreciation Schedules'!$A$3:$A$42,'Depreciation Schedules'!$F$3:$F$42)</f>
        <v>0</v>
      </c>
      <c r="Y247" s="283">
        <f>LOOKUP(Y$2,'Depreciation Schedules'!$A$3:$A$42,'Depreciation Schedules'!$F$3:$F$42)</f>
        <v>0</v>
      </c>
      <c r="Z247" s="283">
        <f>LOOKUP(Z$2,'Depreciation Schedules'!$A$3:$A$42,'Depreciation Schedules'!$F$3:$F$42)</f>
        <v>0</v>
      </c>
      <c r="AA247" s="283">
        <f>LOOKUP(AA$2,'Depreciation Schedules'!$A$3:$A$42,'Depreciation Schedules'!$F$3:$F$42)</f>
        <v>0</v>
      </c>
      <c r="AB247" s="283" t="e">
        <f>LOOKUP(AB$2,'Depreciation Schedules'!$A$3:$A$42,'Depreciation Schedules'!$F$3:$F$42)</f>
        <v>#N/A</v>
      </c>
      <c r="AC247" s="283" t="e">
        <f>LOOKUP(AC$2,'Depreciation Schedules'!$A$3:$A$42,'Depreciation Schedules'!$F$3:$F$42)</f>
        <v>#N/A</v>
      </c>
      <c r="AD247" s="283" t="e">
        <f>LOOKUP(AD$2,'Depreciation Schedules'!$A$3:$A$42,'Depreciation Schedules'!$F$3:$F$42)</f>
        <v>#N/A</v>
      </c>
      <c r="AE247" s="283" t="e">
        <f>LOOKUP(AE$2,'Depreciation Schedules'!$A$3:$A$42,'Depreciation Schedules'!$F$3:$F$42)</f>
        <v>#N/A</v>
      </c>
      <c r="AF247" s="283" t="e">
        <f>LOOKUP(AF$2,'Depreciation Schedules'!$A$3:$A$42,'Depreciation Schedules'!$F$3:$F$42)</f>
        <v>#N/A</v>
      </c>
      <c r="AG247" s="283" t="e">
        <f>LOOKUP(AG$2,'Depreciation Schedules'!$A$3:$A$42,'Depreciation Schedules'!$F$3:$F$42)</f>
        <v>#N/A</v>
      </c>
      <c r="AH247" s="283" t="e">
        <f>LOOKUP(AH$2,'Depreciation Schedules'!$A$3:$A$42,'Depreciation Schedules'!$F$3:$F$42)</f>
        <v>#N/A</v>
      </c>
      <c r="AI247" s="283" t="e">
        <f>LOOKUP(AI$2,'Depreciation Schedules'!$A$3:$A$42,'Depreciation Schedules'!$F$3:$F$42)</f>
        <v>#N/A</v>
      </c>
      <c r="AJ247" s="283" t="e">
        <f>LOOKUP(AJ$2,'Depreciation Schedules'!$A$3:$A$42,'Depreciation Schedules'!$F$3:$F$42)</f>
        <v>#N/A</v>
      </c>
      <c r="AK247" s="283" t="e">
        <f>LOOKUP(AK$2,'Depreciation Schedules'!$A$3:$A$42,'Depreciation Schedules'!$F$3:$F$42)</f>
        <v>#N/A</v>
      </c>
      <c r="AL247" s="283" t="e">
        <f>LOOKUP(AL$2,'Depreciation Schedules'!$A$3:$A$42,'Depreciation Schedules'!$F$3:$F$42)</f>
        <v>#N/A</v>
      </c>
      <c r="AM247" s="283" t="e">
        <f>LOOKUP(AM$2,'Depreciation Schedules'!$A$3:$A$42,'Depreciation Schedules'!$F$3:$F$42)</f>
        <v>#N/A</v>
      </c>
      <c r="AN247" s="283" t="e">
        <f>LOOKUP(AN$2,'Depreciation Schedules'!$A$3:$A$42,'Depreciation Schedules'!$F$3:$F$42)</f>
        <v>#N/A</v>
      </c>
      <c r="AO247" s="283" t="e">
        <f>LOOKUP(AO$2,'Depreciation Schedules'!$A$3:$A$42,'Depreciation Schedules'!$F$3:$F$42)</f>
        <v>#N/A</v>
      </c>
      <c r="AP247" s="283" t="e">
        <f>LOOKUP(AP$2,'Depreciation Schedules'!$A$3:$A$42,'Depreciation Schedules'!$F$3:$F$42)</f>
        <v>#N/A</v>
      </c>
    </row>
    <row r="248" spans="1:42" x14ac:dyDescent="0.2">
      <c r="A248" s="39" t="str">
        <f t="shared" si="109"/>
        <v>39-yr SL</v>
      </c>
      <c r="B248" s="286">
        <f t="array" ref="B248">SUM(IF(ISNUMBER(C248:AP248),C248:AP248))</f>
        <v>62.820512820512739</v>
      </c>
      <c r="C248" s="283">
        <f>LOOKUP(C$2,'Depreciation Schedules'!$A$3:$A$42,'Depreciation Schedules'!$G$3:$G$42)</f>
        <v>1.2820512820512799</v>
      </c>
      <c r="D248" s="283">
        <f>LOOKUP(D$2,'Depreciation Schedules'!$A$3:$A$42,'Depreciation Schedules'!$G$3:$G$42)</f>
        <v>2.5641025641025599</v>
      </c>
      <c r="E248" s="283">
        <f>LOOKUP(E$2,'Depreciation Schedules'!$A$3:$A$42,'Depreciation Schedules'!$G$3:$G$42)</f>
        <v>2.5641025641025599</v>
      </c>
      <c r="F248" s="283">
        <f>LOOKUP(F$2,'Depreciation Schedules'!$A$3:$A$42,'Depreciation Schedules'!$G$3:$G$42)</f>
        <v>2.5641025641025599</v>
      </c>
      <c r="G248" s="283">
        <f>LOOKUP(G$2,'Depreciation Schedules'!$A$3:$A$42,'Depreciation Schedules'!$G$3:$G$42)</f>
        <v>2.5641025641025599</v>
      </c>
      <c r="H248" s="283">
        <f>LOOKUP(H$2,'Depreciation Schedules'!$A$3:$A$42,'Depreciation Schedules'!$G$3:$G$42)</f>
        <v>2.5641025641025599</v>
      </c>
      <c r="I248" s="283">
        <f>LOOKUP(I$2,'Depreciation Schedules'!$A$3:$A$42,'Depreciation Schedules'!$G$3:$G$42)</f>
        <v>2.5641025641025599</v>
      </c>
      <c r="J248" s="283">
        <f>LOOKUP(J$2,'Depreciation Schedules'!$A$3:$A$42,'Depreciation Schedules'!$G$3:$G$42)</f>
        <v>2.5641025641025599</v>
      </c>
      <c r="K248" s="283">
        <f>LOOKUP(K$2,'Depreciation Schedules'!$A$3:$A$42,'Depreciation Schedules'!$G$3:$G$42)</f>
        <v>2.5641025641025599</v>
      </c>
      <c r="L248" s="283">
        <f>LOOKUP(L$2,'Depreciation Schedules'!$A$3:$A$42,'Depreciation Schedules'!$G$3:$G$42)</f>
        <v>2.5641025641025599</v>
      </c>
      <c r="M248" s="283">
        <f>LOOKUP(M$2,'Depreciation Schedules'!$A$3:$A$42,'Depreciation Schedules'!$G$3:$G$42)</f>
        <v>2.5641025641025599</v>
      </c>
      <c r="N248" s="283">
        <f>LOOKUP(N$2,'Depreciation Schedules'!$A$3:$A$42,'Depreciation Schedules'!$G$3:$G$42)</f>
        <v>2.5641025641025599</v>
      </c>
      <c r="O248" s="283">
        <f>LOOKUP(O$2,'Depreciation Schedules'!$A$3:$A$42,'Depreciation Schedules'!$G$3:$G$42)</f>
        <v>2.5641025641025599</v>
      </c>
      <c r="P248" s="283">
        <f>LOOKUP(P$2,'Depreciation Schedules'!$A$3:$A$42,'Depreciation Schedules'!$G$3:$G$42)</f>
        <v>2.5641025641025599</v>
      </c>
      <c r="Q248" s="283">
        <f>LOOKUP(Q$2,'Depreciation Schedules'!$A$3:$A$42,'Depreciation Schedules'!$G$3:$G$42)</f>
        <v>2.5641025641025599</v>
      </c>
      <c r="R248" s="283">
        <f>LOOKUP(R$2,'Depreciation Schedules'!$A$3:$A$42,'Depreciation Schedules'!$G$3:$G$42)</f>
        <v>2.5641025641025599</v>
      </c>
      <c r="S248" s="283">
        <f>LOOKUP(S$2,'Depreciation Schedules'!$A$3:$A$42,'Depreciation Schedules'!$G$3:$G$42)</f>
        <v>2.5641025641025599</v>
      </c>
      <c r="T248" s="283">
        <f>LOOKUP(T$2,'Depreciation Schedules'!$A$3:$A$42,'Depreciation Schedules'!$G$3:$G$42)</f>
        <v>2.5641025641025599</v>
      </c>
      <c r="U248" s="283">
        <f>LOOKUP(U$2,'Depreciation Schedules'!$A$3:$A$42,'Depreciation Schedules'!$G$3:$G$42)</f>
        <v>2.5641025641025599</v>
      </c>
      <c r="V248" s="283">
        <f>LOOKUP(V$2,'Depreciation Schedules'!$A$3:$A$42,'Depreciation Schedules'!$G$3:$G$42)</f>
        <v>2.5641025641025599</v>
      </c>
      <c r="W248" s="283">
        <f>LOOKUP(W$2,'Depreciation Schedules'!$A$3:$A$42,'Depreciation Schedules'!$G$3:$G$42)</f>
        <v>2.5641025641025599</v>
      </c>
      <c r="X248" s="283">
        <f>LOOKUP(X$2,'Depreciation Schedules'!$A$3:$A$42,'Depreciation Schedules'!$G$3:$G$42)</f>
        <v>2.5641025641025599</v>
      </c>
      <c r="Y248" s="283">
        <f>LOOKUP(Y$2,'Depreciation Schedules'!$A$3:$A$42,'Depreciation Schedules'!$G$3:$G$42)</f>
        <v>2.5641025641025599</v>
      </c>
      <c r="Z248" s="283">
        <f>LOOKUP(Z$2,'Depreciation Schedules'!$A$3:$A$42,'Depreciation Schedules'!$G$3:$G$42)</f>
        <v>2.5641025641025599</v>
      </c>
      <c r="AA248" s="283">
        <f>LOOKUP(AA$2,'Depreciation Schedules'!$A$3:$A$42,'Depreciation Schedules'!$G$3:$G$42)</f>
        <v>2.5641025641025599</v>
      </c>
      <c r="AB248" s="283" t="e">
        <f>LOOKUP(AB$2,'Depreciation Schedules'!$A$3:$A$42,'Depreciation Schedules'!$G$3:$G$42)</f>
        <v>#N/A</v>
      </c>
      <c r="AC248" s="283" t="e">
        <f>LOOKUP(AC$2,'Depreciation Schedules'!$A$3:$A$42,'Depreciation Schedules'!$G$3:$G$42)</f>
        <v>#N/A</v>
      </c>
      <c r="AD248" s="283" t="e">
        <f>LOOKUP(AD$2,'Depreciation Schedules'!$A$3:$A$42,'Depreciation Schedules'!$G$3:$G$42)</f>
        <v>#N/A</v>
      </c>
      <c r="AE248" s="283" t="e">
        <f>LOOKUP(AE$2,'Depreciation Schedules'!$A$3:$A$42,'Depreciation Schedules'!$G$3:$G$42)</f>
        <v>#N/A</v>
      </c>
      <c r="AF248" s="283" t="e">
        <f>LOOKUP(AF$2,'Depreciation Schedules'!$A$3:$A$42,'Depreciation Schedules'!$G$3:$G$42)</f>
        <v>#N/A</v>
      </c>
      <c r="AG248" s="283" t="e">
        <f>LOOKUP(AG$2,'Depreciation Schedules'!$A$3:$A$42,'Depreciation Schedules'!$G$3:$G$42)</f>
        <v>#N/A</v>
      </c>
      <c r="AH248" s="283" t="e">
        <f>LOOKUP(AH$2,'Depreciation Schedules'!$A$3:$A$42,'Depreciation Schedules'!$G$3:$G$42)</f>
        <v>#N/A</v>
      </c>
      <c r="AI248" s="283" t="e">
        <f>LOOKUP(AI$2,'Depreciation Schedules'!$A$3:$A$42,'Depreciation Schedules'!$G$3:$G$42)</f>
        <v>#N/A</v>
      </c>
      <c r="AJ248" s="283" t="e">
        <f>LOOKUP(AJ$2,'Depreciation Schedules'!$A$3:$A$42,'Depreciation Schedules'!$G$3:$G$42)</f>
        <v>#N/A</v>
      </c>
      <c r="AK248" s="283" t="e">
        <f>LOOKUP(AK$2,'Depreciation Schedules'!$A$3:$A$42,'Depreciation Schedules'!$G$3:$G$42)</f>
        <v>#N/A</v>
      </c>
      <c r="AL248" s="283" t="e">
        <f>LOOKUP(AL$2,'Depreciation Schedules'!$A$3:$A$42,'Depreciation Schedules'!$G$3:$G$42)</f>
        <v>#N/A</v>
      </c>
      <c r="AM248" s="283" t="e">
        <f>LOOKUP(AM$2,'Depreciation Schedules'!$A$3:$A$42,'Depreciation Schedules'!$G$3:$G$42)</f>
        <v>#N/A</v>
      </c>
      <c r="AN248" s="283" t="e">
        <f>LOOKUP(AN$2,'Depreciation Schedules'!$A$3:$A$42,'Depreciation Schedules'!$G$3:$G$42)</f>
        <v>#N/A</v>
      </c>
      <c r="AO248" s="283" t="e">
        <f>LOOKUP(AO$2,'Depreciation Schedules'!$A$3:$A$42,'Depreciation Schedules'!$G$3:$G$42)</f>
        <v>#N/A</v>
      </c>
      <c r="AP248" s="283" t="e">
        <f>LOOKUP(AP$2,'Depreciation Schedules'!$A$3:$A$42,'Depreciation Schedules'!$G$3:$G$42)</f>
        <v>#N/A</v>
      </c>
    </row>
    <row r="249" spans="1:42" x14ac:dyDescent="0.2">
      <c r="A249" s="33" t="s">
        <v>5</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row>
    <row r="250" spans="1:42" x14ac:dyDescent="0.2">
      <c r="A250" s="39" t="str">
        <f>A243</f>
        <v>5-yr MACRS</v>
      </c>
      <c r="B250" s="287">
        <f>SUM(IF(ISNUMBER(C250:AP250),C250:AP250))</f>
        <v>0</v>
      </c>
      <c r="C250" s="245">
        <f>C243/100*$Q211</f>
        <v>6020194.7668297477</v>
      </c>
      <c r="D250" s="245">
        <f t="shared" ref="D250:AP250" si="110">D243/100*$Q211</f>
        <v>9632311.6269275974</v>
      </c>
      <c r="E250" s="245">
        <f t="shared" si="110"/>
        <v>5779386.9761565579</v>
      </c>
      <c r="F250" s="245">
        <f t="shared" si="110"/>
        <v>3467632.1856939346</v>
      </c>
      <c r="G250" s="245">
        <f t="shared" si="110"/>
        <v>3467632.1856939346</v>
      </c>
      <c r="H250" s="245">
        <f t="shared" si="110"/>
        <v>1733816.0928469673</v>
      </c>
      <c r="I250" s="245">
        <f t="shared" si="110"/>
        <v>0</v>
      </c>
      <c r="J250" s="245">
        <f t="shared" si="110"/>
        <v>0</v>
      </c>
      <c r="K250" s="245">
        <f t="shared" si="110"/>
        <v>0</v>
      </c>
      <c r="L250" s="245">
        <f t="shared" si="110"/>
        <v>0</v>
      </c>
      <c r="M250" s="245">
        <f t="shared" si="110"/>
        <v>0</v>
      </c>
      <c r="N250" s="245">
        <f t="shared" si="110"/>
        <v>0</v>
      </c>
      <c r="O250" s="245">
        <f t="shared" si="110"/>
        <v>0</v>
      </c>
      <c r="P250" s="245">
        <f t="shared" si="110"/>
        <v>0</v>
      </c>
      <c r="Q250" s="245">
        <f t="shared" si="110"/>
        <v>0</v>
      </c>
      <c r="R250" s="245">
        <f t="shared" si="110"/>
        <v>0</v>
      </c>
      <c r="S250" s="245">
        <f t="shared" si="110"/>
        <v>0</v>
      </c>
      <c r="T250" s="245">
        <f t="shared" si="110"/>
        <v>0</v>
      </c>
      <c r="U250" s="245">
        <f t="shared" si="110"/>
        <v>0</v>
      </c>
      <c r="V250" s="245">
        <f t="shared" si="110"/>
        <v>0</v>
      </c>
      <c r="W250" s="245">
        <f t="shared" si="110"/>
        <v>0</v>
      </c>
      <c r="X250" s="245">
        <f t="shared" si="110"/>
        <v>0</v>
      </c>
      <c r="Y250" s="245">
        <f t="shared" si="110"/>
        <v>0</v>
      </c>
      <c r="Z250" s="245">
        <f t="shared" si="110"/>
        <v>0</v>
      </c>
      <c r="AA250" s="245">
        <f t="shared" si="110"/>
        <v>0</v>
      </c>
      <c r="AB250" s="245" t="e">
        <f t="shared" si="110"/>
        <v>#N/A</v>
      </c>
      <c r="AC250" s="245" t="e">
        <f t="shared" si="110"/>
        <v>#N/A</v>
      </c>
      <c r="AD250" s="245" t="e">
        <f t="shared" si="110"/>
        <v>#N/A</v>
      </c>
      <c r="AE250" s="245" t="e">
        <f t="shared" si="110"/>
        <v>#N/A</v>
      </c>
      <c r="AF250" s="245" t="e">
        <f t="shared" si="110"/>
        <v>#N/A</v>
      </c>
      <c r="AG250" s="245" t="e">
        <f t="shared" si="110"/>
        <v>#N/A</v>
      </c>
      <c r="AH250" s="245" t="e">
        <f t="shared" si="110"/>
        <v>#N/A</v>
      </c>
      <c r="AI250" s="245" t="e">
        <f t="shared" si="110"/>
        <v>#N/A</v>
      </c>
      <c r="AJ250" s="245" t="e">
        <f t="shared" si="110"/>
        <v>#N/A</v>
      </c>
      <c r="AK250" s="245" t="e">
        <f t="shared" si="110"/>
        <v>#N/A</v>
      </c>
      <c r="AL250" s="245" t="e">
        <f t="shared" si="110"/>
        <v>#N/A</v>
      </c>
      <c r="AM250" s="245" t="e">
        <f t="shared" si="110"/>
        <v>#N/A</v>
      </c>
      <c r="AN250" s="245" t="e">
        <f t="shared" si="110"/>
        <v>#N/A</v>
      </c>
      <c r="AO250" s="245" t="e">
        <f t="shared" si="110"/>
        <v>#N/A</v>
      </c>
      <c r="AP250" s="245" t="e">
        <f t="shared" si="110"/>
        <v>#N/A</v>
      </c>
    </row>
    <row r="251" spans="1:42" x14ac:dyDescent="0.2">
      <c r="A251" s="39" t="str">
        <f t="shared" ref="A251:A255" si="111">A244</f>
        <v>15-yr MACRS</v>
      </c>
      <c r="B251" s="287">
        <f t="array" ref="B251">SUM(IF(ISNUMBER(C251:AP251),C251:AP251))</f>
        <v>590156.15170128096</v>
      </c>
      <c r="C251" s="245">
        <f t="shared" ref="C251:AP251" si="112">C244/100*$Q212</f>
        <v>29510.75866093014</v>
      </c>
      <c r="D251" s="245">
        <f t="shared" si="112"/>
        <v>56070.441455767264</v>
      </c>
      <c r="E251" s="245">
        <f t="shared" si="112"/>
        <v>50463.397310190543</v>
      </c>
      <c r="F251" s="245">
        <f t="shared" si="112"/>
        <v>45446.56833783241</v>
      </c>
      <c r="G251" s="245">
        <f t="shared" si="112"/>
        <v>40901.911504049174</v>
      </c>
      <c r="H251" s="245">
        <f t="shared" si="112"/>
        <v>36770.405291518953</v>
      </c>
      <c r="I251" s="245">
        <f t="shared" si="112"/>
        <v>34822.695219897563</v>
      </c>
      <c r="J251" s="245">
        <f t="shared" si="112"/>
        <v>34822.695219897563</v>
      </c>
      <c r="K251" s="245">
        <f t="shared" si="112"/>
        <v>34881.716737219424</v>
      </c>
      <c r="L251" s="245">
        <f t="shared" si="112"/>
        <v>34822.695219897563</v>
      </c>
      <c r="M251" s="245">
        <f t="shared" si="112"/>
        <v>34881.716737219424</v>
      </c>
      <c r="N251" s="245">
        <f t="shared" si="112"/>
        <v>34822.695219897563</v>
      </c>
      <c r="O251" s="245">
        <f t="shared" si="112"/>
        <v>34881.716737219424</v>
      </c>
      <c r="P251" s="245">
        <f t="shared" si="112"/>
        <v>34822.695219897563</v>
      </c>
      <c r="Q251" s="245">
        <f t="shared" si="112"/>
        <v>34822.695219897563</v>
      </c>
      <c r="R251" s="245">
        <f t="shared" si="112"/>
        <v>17411.347609948782</v>
      </c>
      <c r="S251" s="245">
        <f t="shared" si="112"/>
        <v>0</v>
      </c>
      <c r="T251" s="245">
        <f t="shared" si="112"/>
        <v>0</v>
      </c>
      <c r="U251" s="245">
        <f t="shared" si="112"/>
        <v>0</v>
      </c>
      <c r="V251" s="245">
        <f t="shared" si="112"/>
        <v>0</v>
      </c>
      <c r="W251" s="245">
        <f t="shared" si="112"/>
        <v>0</v>
      </c>
      <c r="X251" s="245">
        <f t="shared" si="112"/>
        <v>0</v>
      </c>
      <c r="Y251" s="245">
        <f t="shared" si="112"/>
        <v>0</v>
      </c>
      <c r="Z251" s="245">
        <f t="shared" si="112"/>
        <v>0</v>
      </c>
      <c r="AA251" s="245">
        <f t="shared" si="112"/>
        <v>0</v>
      </c>
      <c r="AB251" s="245" t="e">
        <f t="shared" si="112"/>
        <v>#N/A</v>
      </c>
      <c r="AC251" s="245" t="e">
        <f t="shared" si="112"/>
        <v>#N/A</v>
      </c>
      <c r="AD251" s="245" t="e">
        <f t="shared" si="112"/>
        <v>#N/A</v>
      </c>
      <c r="AE251" s="245" t="e">
        <f t="shared" si="112"/>
        <v>#N/A</v>
      </c>
      <c r="AF251" s="245" t="e">
        <f t="shared" si="112"/>
        <v>#N/A</v>
      </c>
      <c r="AG251" s="245" t="e">
        <f t="shared" si="112"/>
        <v>#N/A</v>
      </c>
      <c r="AH251" s="245" t="e">
        <f t="shared" si="112"/>
        <v>#N/A</v>
      </c>
      <c r="AI251" s="245" t="e">
        <f t="shared" si="112"/>
        <v>#N/A</v>
      </c>
      <c r="AJ251" s="245" t="e">
        <f t="shared" si="112"/>
        <v>#N/A</v>
      </c>
      <c r="AK251" s="245" t="e">
        <f t="shared" si="112"/>
        <v>#N/A</v>
      </c>
      <c r="AL251" s="245" t="e">
        <f t="shared" si="112"/>
        <v>#N/A</v>
      </c>
      <c r="AM251" s="245" t="e">
        <f t="shared" si="112"/>
        <v>#N/A</v>
      </c>
      <c r="AN251" s="245" t="e">
        <f t="shared" si="112"/>
        <v>#N/A</v>
      </c>
      <c r="AO251" s="245" t="e">
        <f t="shared" si="112"/>
        <v>#N/A</v>
      </c>
      <c r="AP251" s="245" t="e">
        <f t="shared" si="112"/>
        <v>#N/A</v>
      </c>
    </row>
    <row r="252" spans="1:42" x14ac:dyDescent="0.2">
      <c r="A252" s="39" t="str">
        <f t="shared" si="111"/>
        <v>5-yr SL</v>
      </c>
      <c r="B252" s="287">
        <f t="array" ref="B252">SUM(IF(ISNUMBER(C252:AP252),C252:AP252))</f>
        <v>0</v>
      </c>
      <c r="C252" s="245">
        <f t="shared" ref="C252:AP252" si="113">C245/100*$Q213</f>
        <v>0</v>
      </c>
      <c r="D252" s="245">
        <f t="shared" si="113"/>
        <v>0</v>
      </c>
      <c r="E252" s="245">
        <f t="shared" si="113"/>
        <v>0</v>
      </c>
      <c r="F252" s="245">
        <f t="shared" si="113"/>
        <v>0</v>
      </c>
      <c r="G252" s="245">
        <f t="shared" si="113"/>
        <v>0</v>
      </c>
      <c r="H252" s="245">
        <f t="shared" si="113"/>
        <v>0</v>
      </c>
      <c r="I252" s="245">
        <f t="shared" si="113"/>
        <v>0</v>
      </c>
      <c r="J252" s="245">
        <f t="shared" si="113"/>
        <v>0</v>
      </c>
      <c r="K252" s="245">
        <f t="shared" si="113"/>
        <v>0</v>
      </c>
      <c r="L252" s="245">
        <f t="shared" si="113"/>
        <v>0</v>
      </c>
      <c r="M252" s="245">
        <f t="shared" si="113"/>
        <v>0</v>
      </c>
      <c r="N252" s="245">
        <f t="shared" si="113"/>
        <v>0</v>
      </c>
      <c r="O252" s="245">
        <f t="shared" si="113"/>
        <v>0</v>
      </c>
      <c r="P252" s="245">
        <f t="shared" si="113"/>
        <v>0</v>
      </c>
      <c r="Q252" s="245">
        <f t="shared" si="113"/>
        <v>0</v>
      </c>
      <c r="R252" s="245">
        <f t="shared" si="113"/>
        <v>0</v>
      </c>
      <c r="S252" s="245">
        <f t="shared" si="113"/>
        <v>0</v>
      </c>
      <c r="T252" s="245">
        <f t="shared" si="113"/>
        <v>0</v>
      </c>
      <c r="U252" s="245">
        <f t="shared" si="113"/>
        <v>0</v>
      </c>
      <c r="V252" s="245">
        <f t="shared" si="113"/>
        <v>0</v>
      </c>
      <c r="W252" s="245">
        <f t="shared" si="113"/>
        <v>0</v>
      </c>
      <c r="X252" s="245">
        <f t="shared" si="113"/>
        <v>0</v>
      </c>
      <c r="Y252" s="245">
        <f t="shared" si="113"/>
        <v>0</v>
      </c>
      <c r="Z252" s="245">
        <f t="shared" si="113"/>
        <v>0</v>
      </c>
      <c r="AA252" s="245">
        <f t="shared" si="113"/>
        <v>0</v>
      </c>
      <c r="AB252" s="245" t="e">
        <f t="shared" si="113"/>
        <v>#N/A</v>
      </c>
      <c r="AC252" s="245" t="e">
        <f t="shared" si="113"/>
        <v>#N/A</v>
      </c>
      <c r="AD252" s="245" t="e">
        <f t="shared" si="113"/>
        <v>#N/A</v>
      </c>
      <c r="AE252" s="245" t="e">
        <f t="shared" si="113"/>
        <v>#N/A</v>
      </c>
      <c r="AF252" s="245" t="e">
        <f t="shared" si="113"/>
        <v>#N/A</v>
      </c>
      <c r="AG252" s="245" t="e">
        <f t="shared" si="113"/>
        <v>#N/A</v>
      </c>
      <c r="AH252" s="245" t="e">
        <f t="shared" si="113"/>
        <v>#N/A</v>
      </c>
      <c r="AI252" s="245" t="e">
        <f t="shared" si="113"/>
        <v>#N/A</v>
      </c>
      <c r="AJ252" s="245" t="e">
        <f t="shared" si="113"/>
        <v>#N/A</v>
      </c>
      <c r="AK252" s="245" t="e">
        <f t="shared" si="113"/>
        <v>#N/A</v>
      </c>
      <c r="AL252" s="245" t="e">
        <f t="shared" si="113"/>
        <v>#N/A</v>
      </c>
      <c r="AM252" s="245" t="e">
        <f t="shared" si="113"/>
        <v>#N/A</v>
      </c>
      <c r="AN252" s="245" t="e">
        <f t="shared" si="113"/>
        <v>#N/A</v>
      </c>
      <c r="AO252" s="245" t="e">
        <f t="shared" si="113"/>
        <v>#N/A</v>
      </c>
      <c r="AP252" s="245" t="e">
        <f t="shared" si="113"/>
        <v>#N/A</v>
      </c>
    </row>
    <row r="253" spans="1:42" x14ac:dyDescent="0.2">
      <c r="A253" s="39" t="str">
        <f t="shared" si="111"/>
        <v>15-yr SL</v>
      </c>
      <c r="B253" s="287">
        <f t="array" ref="B253">SUM(IF(ISNUMBER(C253:AP253),C253:AP253))</f>
        <v>983888.69375541096</v>
      </c>
      <c r="C253" s="245">
        <f t="shared" ref="C253:AP253" si="114">C246/100*$Q214</f>
        <v>32756.942113632456</v>
      </c>
      <c r="D253" s="245">
        <f t="shared" si="114"/>
        <v>65612.253422801339</v>
      </c>
      <c r="E253" s="245">
        <f t="shared" si="114"/>
        <v>65612.253422801339</v>
      </c>
      <c r="F253" s="245">
        <f t="shared" si="114"/>
        <v>65612.253422801339</v>
      </c>
      <c r="G253" s="245">
        <f t="shared" si="114"/>
        <v>65612.253422801339</v>
      </c>
      <c r="H253" s="245">
        <f t="shared" si="114"/>
        <v>65612.253422801339</v>
      </c>
      <c r="I253" s="245">
        <f t="shared" si="114"/>
        <v>65612.253422801339</v>
      </c>
      <c r="J253" s="245">
        <f t="shared" si="114"/>
        <v>65612.253422801339</v>
      </c>
      <c r="K253" s="245">
        <f t="shared" si="114"/>
        <v>65612.253422801339</v>
      </c>
      <c r="L253" s="245">
        <f t="shared" si="114"/>
        <v>65612.253422801339</v>
      </c>
      <c r="M253" s="245">
        <f t="shared" si="114"/>
        <v>65612.253422801339</v>
      </c>
      <c r="N253" s="245">
        <f t="shared" si="114"/>
        <v>65513.884227264913</v>
      </c>
      <c r="O253" s="245">
        <f t="shared" si="114"/>
        <v>65612.253422801339</v>
      </c>
      <c r="P253" s="245">
        <f t="shared" si="114"/>
        <v>65513.884227264913</v>
      </c>
      <c r="Q253" s="245">
        <f t="shared" si="114"/>
        <v>65612.253422801339</v>
      </c>
      <c r="R253" s="245">
        <f t="shared" si="114"/>
        <v>32756.942113632456</v>
      </c>
      <c r="S253" s="245">
        <f t="shared" si="114"/>
        <v>0</v>
      </c>
      <c r="T253" s="245">
        <f t="shared" si="114"/>
        <v>0</v>
      </c>
      <c r="U253" s="245">
        <f t="shared" si="114"/>
        <v>0</v>
      </c>
      <c r="V253" s="245">
        <f t="shared" si="114"/>
        <v>0</v>
      </c>
      <c r="W253" s="245">
        <f t="shared" si="114"/>
        <v>0</v>
      </c>
      <c r="X253" s="245">
        <f t="shared" si="114"/>
        <v>0</v>
      </c>
      <c r="Y253" s="245">
        <f t="shared" si="114"/>
        <v>0</v>
      </c>
      <c r="Z253" s="245">
        <f t="shared" si="114"/>
        <v>0</v>
      </c>
      <c r="AA253" s="245">
        <f t="shared" si="114"/>
        <v>0</v>
      </c>
      <c r="AB253" s="245" t="e">
        <f t="shared" si="114"/>
        <v>#N/A</v>
      </c>
      <c r="AC253" s="245" t="e">
        <f t="shared" si="114"/>
        <v>#N/A</v>
      </c>
      <c r="AD253" s="245" t="e">
        <f t="shared" si="114"/>
        <v>#N/A</v>
      </c>
      <c r="AE253" s="245" t="e">
        <f t="shared" si="114"/>
        <v>#N/A</v>
      </c>
      <c r="AF253" s="245" t="e">
        <f t="shared" si="114"/>
        <v>#N/A</v>
      </c>
      <c r="AG253" s="245" t="e">
        <f t="shared" si="114"/>
        <v>#N/A</v>
      </c>
      <c r="AH253" s="245" t="e">
        <f t="shared" si="114"/>
        <v>#N/A</v>
      </c>
      <c r="AI253" s="245" t="e">
        <f t="shared" si="114"/>
        <v>#N/A</v>
      </c>
      <c r="AJ253" s="245" t="e">
        <f t="shared" si="114"/>
        <v>#N/A</v>
      </c>
      <c r="AK253" s="245" t="e">
        <f t="shared" si="114"/>
        <v>#N/A</v>
      </c>
      <c r="AL253" s="245" t="e">
        <f t="shared" si="114"/>
        <v>#N/A</v>
      </c>
      <c r="AM253" s="245" t="e">
        <f t="shared" si="114"/>
        <v>#N/A</v>
      </c>
      <c r="AN253" s="245" t="e">
        <f t="shared" si="114"/>
        <v>#N/A</v>
      </c>
      <c r="AO253" s="245" t="e">
        <f t="shared" si="114"/>
        <v>#N/A</v>
      </c>
      <c r="AP253" s="245" t="e">
        <f t="shared" si="114"/>
        <v>#N/A</v>
      </c>
    </row>
    <row r="254" spans="1:42" x14ac:dyDescent="0.2">
      <c r="A254" s="39" t="str">
        <f t="shared" si="111"/>
        <v>20-yr SL</v>
      </c>
      <c r="B254" s="287">
        <f t="array" ref="B254">SUM(IF(ISNUMBER(C254:AP254),C254:AP254))</f>
        <v>1180430.3464372058</v>
      </c>
      <c r="C254" s="245">
        <f t="shared" ref="C254:AP254" si="115">C247/100*$Q215</f>
        <v>29510.75866093014</v>
      </c>
      <c r="D254" s="245">
        <f t="shared" si="115"/>
        <v>59021.517321860279</v>
      </c>
      <c r="E254" s="245">
        <f t="shared" si="115"/>
        <v>59021.517321860279</v>
      </c>
      <c r="F254" s="245">
        <f t="shared" si="115"/>
        <v>59021.517321860279</v>
      </c>
      <c r="G254" s="245">
        <f t="shared" si="115"/>
        <v>59021.517321860279</v>
      </c>
      <c r="H254" s="245">
        <f t="shared" si="115"/>
        <v>59021.517321860279</v>
      </c>
      <c r="I254" s="245">
        <f t="shared" si="115"/>
        <v>59021.517321860279</v>
      </c>
      <c r="J254" s="245">
        <f t="shared" si="115"/>
        <v>59021.517321860279</v>
      </c>
      <c r="K254" s="245">
        <f t="shared" si="115"/>
        <v>59021.517321860279</v>
      </c>
      <c r="L254" s="245">
        <f t="shared" si="115"/>
        <v>59021.517321860279</v>
      </c>
      <c r="M254" s="245">
        <f t="shared" si="115"/>
        <v>59021.517321860279</v>
      </c>
      <c r="N254" s="245">
        <f t="shared" si="115"/>
        <v>59021.517321860279</v>
      </c>
      <c r="O254" s="245">
        <f t="shared" si="115"/>
        <v>59021.517321860279</v>
      </c>
      <c r="P254" s="245">
        <f t="shared" si="115"/>
        <v>59021.517321860279</v>
      </c>
      <c r="Q254" s="245">
        <f t="shared" si="115"/>
        <v>59021.517321860279</v>
      </c>
      <c r="R254" s="245">
        <f t="shared" si="115"/>
        <v>59021.517321860279</v>
      </c>
      <c r="S254" s="245">
        <f t="shared" si="115"/>
        <v>59021.517321860279</v>
      </c>
      <c r="T254" s="245">
        <f t="shared" si="115"/>
        <v>59021.517321860279</v>
      </c>
      <c r="U254" s="245">
        <f t="shared" si="115"/>
        <v>59021.517321860279</v>
      </c>
      <c r="V254" s="245">
        <f t="shared" si="115"/>
        <v>59021.517321860279</v>
      </c>
      <c r="W254" s="245">
        <f t="shared" si="115"/>
        <v>29510.75866093014</v>
      </c>
      <c r="X254" s="245">
        <f t="shared" si="115"/>
        <v>0</v>
      </c>
      <c r="Y254" s="245">
        <f t="shared" si="115"/>
        <v>0</v>
      </c>
      <c r="Z254" s="245">
        <f t="shared" si="115"/>
        <v>0</v>
      </c>
      <c r="AA254" s="245">
        <f t="shared" si="115"/>
        <v>0</v>
      </c>
      <c r="AB254" s="245" t="e">
        <f t="shared" si="115"/>
        <v>#N/A</v>
      </c>
      <c r="AC254" s="245" t="e">
        <f t="shared" si="115"/>
        <v>#N/A</v>
      </c>
      <c r="AD254" s="245" t="e">
        <f t="shared" si="115"/>
        <v>#N/A</v>
      </c>
      <c r="AE254" s="245" t="e">
        <f t="shared" si="115"/>
        <v>#N/A</v>
      </c>
      <c r="AF254" s="245" t="e">
        <f t="shared" si="115"/>
        <v>#N/A</v>
      </c>
      <c r="AG254" s="245" t="e">
        <f t="shared" si="115"/>
        <v>#N/A</v>
      </c>
      <c r="AH254" s="245" t="e">
        <f t="shared" si="115"/>
        <v>#N/A</v>
      </c>
      <c r="AI254" s="245" t="e">
        <f t="shared" si="115"/>
        <v>#N/A</v>
      </c>
      <c r="AJ254" s="245" t="e">
        <f t="shared" si="115"/>
        <v>#N/A</v>
      </c>
      <c r="AK254" s="245" t="e">
        <f t="shared" si="115"/>
        <v>#N/A</v>
      </c>
      <c r="AL254" s="245" t="e">
        <f t="shared" si="115"/>
        <v>#N/A</v>
      </c>
      <c r="AM254" s="245" t="e">
        <f t="shared" si="115"/>
        <v>#N/A</v>
      </c>
      <c r="AN254" s="245" t="e">
        <f t="shared" si="115"/>
        <v>#N/A</v>
      </c>
      <c r="AO254" s="245" t="e">
        <f t="shared" si="115"/>
        <v>#N/A</v>
      </c>
      <c r="AP254" s="245" t="e">
        <f t="shared" si="115"/>
        <v>#N/A</v>
      </c>
    </row>
    <row r="255" spans="1:42" x14ac:dyDescent="0.2">
      <c r="A255" s="39" t="str">
        <f t="shared" si="111"/>
        <v>39-yr SL</v>
      </c>
      <c r="B255" s="287">
        <f t="array" ref="B255">SUM(IF(ISNUMBER(C255:AP255),C255:AP255))</f>
        <v>0</v>
      </c>
      <c r="C255" s="245">
        <f t="shared" ref="C255:AP255" si="116">C248/100*$Q216</f>
        <v>0</v>
      </c>
      <c r="D255" s="245">
        <f t="shared" si="116"/>
        <v>0</v>
      </c>
      <c r="E255" s="245">
        <f t="shared" si="116"/>
        <v>0</v>
      </c>
      <c r="F255" s="245">
        <f t="shared" si="116"/>
        <v>0</v>
      </c>
      <c r="G255" s="245">
        <f t="shared" si="116"/>
        <v>0</v>
      </c>
      <c r="H255" s="245">
        <f t="shared" si="116"/>
        <v>0</v>
      </c>
      <c r="I255" s="245">
        <f t="shared" si="116"/>
        <v>0</v>
      </c>
      <c r="J255" s="245">
        <f t="shared" si="116"/>
        <v>0</v>
      </c>
      <c r="K255" s="245">
        <f t="shared" si="116"/>
        <v>0</v>
      </c>
      <c r="L255" s="245">
        <f t="shared" si="116"/>
        <v>0</v>
      </c>
      <c r="M255" s="245">
        <f t="shared" si="116"/>
        <v>0</v>
      </c>
      <c r="N255" s="245">
        <f t="shared" si="116"/>
        <v>0</v>
      </c>
      <c r="O255" s="245">
        <f t="shared" si="116"/>
        <v>0</v>
      </c>
      <c r="P255" s="245">
        <f t="shared" si="116"/>
        <v>0</v>
      </c>
      <c r="Q255" s="245">
        <f t="shared" si="116"/>
        <v>0</v>
      </c>
      <c r="R255" s="245">
        <f t="shared" si="116"/>
        <v>0</v>
      </c>
      <c r="S255" s="245">
        <f t="shared" si="116"/>
        <v>0</v>
      </c>
      <c r="T255" s="245">
        <f t="shared" si="116"/>
        <v>0</v>
      </c>
      <c r="U255" s="245">
        <f t="shared" si="116"/>
        <v>0</v>
      </c>
      <c r="V255" s="245">
        <f t="shared" si="116"/>
        <v>0</v>
      </c>
      <c r="W255" s="245">
        <f t="shared" si="116"/>
        <v>0</v>
      </c>
      <c r="X255" s="245">
        <f t="shared" si="116"/>
        <v>0</v>
      </c>
      <c r="Y255" s="245">
        <f t="shared" si="116"/>
        <v>0</v>
      </c>
      <c r="Z255" s="245">
        <f t="shared" si="116"/>
        <v>0</v>
      </c>
      <c r="AA255" s="245">
        <f t="shared" si="116"/>
        <v>0</v>
      </c>
      <c r="AB255" s="245" t="e">
        <f t="shared" si="116"/>
        <v>#N/A</v>
      </c>
      <c r="AC255" s="245" t="e">
        <f t="shared" si="116"/>
        <v>#N/A</v>
      </c>
      <c r="AD255" s="245" t="e">
        <f t="shared" si="116"/>
        <v>#N/A</v>
      </c>
      <c r="AE255" s="245" t="e">
        <f t="shared" si="116"/>
        <v>#N/A</v>
      </c>
      <c r="AF255" s="245" t="e">
        <f t="shared" si="116"/>
        <v>#N/A</v>
      </c>
      <c r="AG255" s="245" t="e">
        <f t="shared" si="116"/>
        <v>#N/A</v>
      </c>
      <c r="AH255" s="245" t="e">
        <f t="shared" si="116"/>
        <v>#N/A</v>
      </c>
      <c r="AI255" s="245" t="e">
        <f t="shared" si="116"/>
        <v>#N/A</v>
      </c>
      <c r="AJ255" s="245" t="e">
        <f t="shared" si="116"/>
        <v>#N/A</v>
      </c>
      <c r="AK255" s="245" t="e">
        <f t="shared" si="116"/>
        <v>#N/A</v>
      </c>
      <c r="AL255" s="245" t="e">
        <f t="shared" si="116"/>
        <v>#N/A</v>
      </c>
      <c r="AM255" s="245" t="e">
        <f t="shared" si="116"/>
        <v>#N/A</v>
      </c>
      <c r="AN255" s="245" t="e">
        <f t="shared" si="116"/>
        <v>#N/A</v>
      </c>
      <c r="AO255" s="245" t="e">
        <f t="shared" si="116"/>
        <v>#N/A</v>
      </c>
      <c r="AP255" s="245" t="e">
        <f t="shared" si="116"/>
        <v>#N/A</v>
      </c>
    </row>
    <row r="256" spans="1:42" x14ac:dyDescent="0.2">
      <c r="A256" s="39" t="s">
        <v>130</v>
      </c>
      <c r="B256" s="288">
        <f t="shared" ref="B256" si="117">SUM(C256:AP256)</f>
        <v>0</v>
      </c>
      <c r="C256" s="251">
        <f>P217</f>
        <v>0</v>
      </c>
      <c r="D256" s="251">
        <v>0</v>
      </c>
      <c r="E256" s="251">
        <v>0</v>
      </c>
      <c r="F256" s="251">
        <v>0</v>
      </c>
      <c r="G256" s="251">
        <v>0</v>
      </c>
      <c r="H256" s="251">
        <v>0</v>
      </c>
      <c r="I256" s="251">
        <v>0</v>
      </c>
      <c r="J256" s="251">
        <v>0</v>
      </c>
      <c r="K256" s="251">
        <v>0</v>
      </c>
      <c r="L256" s="251">
        <v>0</v>
      </c>
      <c r="M256" s="251">
        <v>0</v>
      </c>
      <c r="N256" s="251">
        <v>0</v>
      </c>
      <c r="O256" s="251">
        <v>0</v>
      </c>
      <c r="P256" s="251">
        <v>0</v>
      </c>
      <c r="Q256" s="251">
        <v>0</v>
      </c>
      <c r="R256" s="251">
        <v>0</v>
      </c>
      <c r="S256" s="251">
        <v>0</v>
      </c>
      <c r="T256" s="251">
        <v>0</v>
      </c>
      <c r="U256" s="251">
        <v>0</v>
      </c>
      <c r="V256" s="251">
        <v>0</v>
      </c>
      <c r="W256" s="251">
        <v>0</v>
      </c>
      <c r="X256" s="251">
        <v>0</v>
      </c>
      <c r="Y256" s="251">
        <v>0</v>
      </c>
      <c r="Z256" s="251">
        <v>0</v>
      </c>
      <c r="AA256" s="251">
        <v>0</v>
      </c>
      <c r="AB256" s="251">
        <v>0</v>
      </c>
      <c r="AC256" s="251">
        <v>0</v>
      </c>
      <c r="AD256" s="251">
        <v>0</v>
      </c>
      <c r="AE256" s="251">
        <v>0</v>
      </c>
      <c r="AF256" s="251">
        <v>0</v>
      </c>
      <c r="AG256" s="251">
        <v>0</v>
      </c>
      <c r="AH256" s="251">
        <v>0</v>
      </c>
      <c r="AI256" s="251">
        <v>0</v>
      </c>
      <c r="AJ256" s="251">
        <v>0</v>
      </c>
      <c r="AK256" s="251">
        <v>0</v>
      </c>
      <c r="AL256" s="251">
        <v>0</v>
      </c>
      <c r="AM256" s="251">
        <v>0</v>
      </c>
      <c r="AN256" s="251">
        <v>0</v>
      </c>
      <c r="AO256" s="251">
        <v>0</v>
      </c>
      <c r="AP256" s="251">
        <v>0</v>
      </c>
    </row>
    <row r="257" spans="1:42" x14ac:dyDescent="0.2">
      <c r="A257" s="38"/>
      <c r="B257" s="289">
        <f t="array" ref="B257">SUM(IF(ISNUMBER(C257:AP257),C257:AP257))</f>
        <v>32855449.026042633</v>
      </c>
      <c r="C257" s="245">
        <f>SUM(C250:C256)</f>
        <v>6111973.2262652405</v>
      </c>
      <c r="D257" s="245">
        <f t="shared" ref="D257:AP257" si="118">SUM(D250:D256)</f>
        <v>9813015.8391280249</v>
      </c>
      <c r="E257" s="245">
        <f t="shared" si="118"/>
        <v>5954484.1442114105</v>
      </c>
      <c r="F257" s="245">
        <f t="shared" si="118"/>
        <v>3637712.5247764289</v>
      </c>
      <c r="G257" s="245">
        <f t="shared" si="118"/>
        <v>3633167.8679426457</v>
      </c>
      <c r="H257" s="245">
        <f t="shared" si="118"/>
        <v>1895220.2688831477</v>
      </c>
      <c r="I257" s="245">
        <f t="shared" si="118"/>
        <v>159456.46596455917</v>
      </c>
      <c r="J257" s="245">
        <f t="shared" si="118"/>
        <v>159456.46596455917</v>
      </c>
      <c r="K257" s="245">
        <f t="shared" si="118"/>
        <v>159515.48748188105</v>
      </c>
      <c r="L257" s="245">
        <f t="shared" si="118"/>
        <v>159456.46596455917</v>
      </c>
      <c r="M257" s="245">
        <f t="shared" si="118"/>
        <v>159515.48748188105</v>
      </c>
      <c r="N257" s="245">
        <f t="shared" si="118"/>
        <v>159358.09676902276</v>
      </c>
      <c r="O257" s="245">
        <f t="shared" si="118"/>
        <v>159515.48748188105</v>
      </c>
      <c r="P257" s="245">
        <f t="shared" si="118"/>
        <v>159358.09676902276</v>
      </c>
      <c r="Q257" s="245">
        <f t="shared" si="118"/>
        <v>159456.46596455917</v>
      </c>
      <c r="R257" s="245">
        <f t="shared" si="118"/>
        <v>109189.80704544153</v>
      </c>
      <c r="S257" s="245">
        <f t="shared" si="118"/>
        <v>59021.517321860279</v>
      </c>
      <c r="T257" s="245">
        <f t="shared" si="118"/>
        <v>59021.517321860279</v>
      </c>
      <c r="U257" s="245">
        <f t="shared" si="118"/>
        <v>59021.517321860279</v>
      </c>
      <c r="V257" s="245">
        <f t="shared" si="118"/>
        <v>59021.517321860279</v>
      </c>
      <c r="W257" s="245">
        <f t="shared" si="118"/>
        <v>29510.75866093014</v>
      </c>
      <c r="X257" s="245">
        <f t="shared" si="118"/>
        <v>0</v>
      </c>
      <c r="Y257" s="245">
        <f t="shared" si="118"/>
        <v>0</v>
      </c>
      <c r="Z257" s="245">
        <f t="shared" si="118"/>
        <v>0</v>
      </c>
      <c r="AA257" s="245">
        <f t="shared" si="118"/>
        <v>0</v>
      </c>
      <c r="AB257" s="245" t="e">
        <f t="shared" si="118"/>
        <v>#N/A</v>
      </c>
      <c r="AC257" s="245" t="e">
        <f t="shared" si="118"/>
        <v>#N/A</v>
      </c>
      <c r="AD257" s="245" t="e">
        <f t="shared" si="118"/>
        <v>#N/A</v>
      </c>
      <c r="AE257" s="245" t="e">
        <f t="shared" si="118"/>
        <v>#N/A</v>
      </c>
      <c r="AF257" s="245" t="e">
        <f t="shared" si="118"/>
        <v>#N/A</v>
      </c>
      <c r="AG257" s="245" t="e">
        <f t="shared" si="118"/>
        <v>#N/A</v>
      </c>
      <c r="AH257" s="245" t="e">
        <f t="shared" si="118"/>
        <v>#N/A</v>
      </c>
      <c r="AI257" s="245" t="e">
        <f t="shared" si="118"/>
        <v>#N/A</v>
      </c>
      <c r="AJ257" s="245" t="e">
        <f t="shared" si="118"/>
        <v>#N/A</v>
      </c>
      <c r="AK257" s="245" t="e">
        <f t="shared" si="118"/>
        <v>#N/A</v>
      </c>
      <c r="AL257" s="245" t="e">
        <f t="shared" si="118"/>
        <v>#N/A</v>
      </c>
      <c r="AM257" s="245" t="e">
        <f t="shared" si="118"/>
        <v>#N/A</v>
      </c>
      <c r="AN257" s="245" t="e">
        <f t="shared" si="118"/>
        <v>#N/A</v>
      </c>
      <c r="AO257" s="245" t="e">
        <f t="shared" si="118"/>
        <v>#N/A</v>
      </c>
      <c r="AP257" s="245" t="e">
        <f t="shared" si="118"/>
        <v>#N/A</v>
      </c>
    </row>
    <row r="258" spans="1:42" s="168" customFormat="1" x14ac:dyDescent="0.2">
      <c r="A258" s="38"/>
      <c r="C258" s="262"/>
      <c r="D258" s="262"/>
      <c r="E258" s="262"/>
      <c r="F258" s="262"/>
      <c r="G258" s="262"/>
      <c r="H258" s="262"/>
      <c r="I258" s="262"/>
      <c r="J258" s="262"/>
      <c r="K258" s="262"/>
      <c r="L258" s="262"/>
      <c r="M258" s="262"/>
      <c r="N258" s="262"/>
      <c r="O258" s="262"/>
      <c r="P258" s="262"/>
      <c r="Q258" s="262"/>
      <c r="R258" s="262"/>
      <c r="S258" s="262"/>
      <c r="T258" s="262"/>
      <c r="U258" s="262"/>
      <c r="V258" s="262"/>
      <c r="W258" s="262"/>
      <c r="X258" s="262"/>
      <c r="Y258" s="262"/>
      <c r="Z258" s="262"/>
      <c r="AA258" s="262"/>
      <c r="AB258" s="262"/>
      <c r="AC258" s="262"/>
      <c r="AD258" s="262"/>
      <c r="AE258" s="262"/>
      <c r="AF258" s="262"/>
      <c r="AG258" s="262"/>
      <c r="AH258" s="262"/>
      <c r="AI258" s="262"/>
      <c r="AJ258" s="262"/>
      <c r="AK258" s="262"/>
      <c r="AL258" s="262"/>
      <c r="AM258" s="262"/>
      <c r="AN258" s="262"/>
      <c r="AO258" s="262"/>
      <c r="AP258" s="262"/>
    </row>
    <row r="259" spans="1:42" s="168" customFormat="1" x14ac:dyDescent="0.2">
      <c r="A259" s="36" t="s">
        <v>107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262"/>
      <c r="AH259" s="262"/>
      <c r="AI259" s="262"/>
      <c r="AJ259" s="262"/>
      <c r="AK259" s="262"/>
      <c r="AL259" s="262"/>
      <c r="AM259" s="262"/>
      <c r="AN259" s="262"/>
      <c r="AO259" s="262"/>
      <c r="AP259" s="262"/>
    </row>
    <row r="260" spans="1:42" x14ac:dyDescent="0.2">
      <c r="A260" s="38" t="s">
        <v>109</v>
      </c>
      <c r="B260" s="44" t="str">
        <f>equip_reserve_depr_sta</f>
        <v>5-yr MACRS</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row>
    <row r="261" spans="1:42" x14ac:dyDescent="0.2">
      <c r="A261" s="38" t="s">
        <v>110</v>
      </c>
      <c r="B261" s="291">
        <f t="shared" ref="B261:AP261" si="119">B2</f>
        <v>0</v>
      </c>
      <c r="C261" s="291">
        <f t="shared" si="119"/>
        <v>1</v>
      </c>
      <c r="D261" s="291">
        <f t="shared" si="119"/>
        <v>2</v>
      </c>
      <c r="E261" s="291">
        <f t="shared" si="119"/>
        <v>3</v>
      </c>
      <c r="F261" s="291">
        <f t="shared" si="119"/>
        <v>4</v>
      </c>
      <c r="G261" s="291">
        <f t="shared" si="119"/>
        <v>5</v>
      </c>
      <c r="H261" s="291">
        <f t="shared" si="119"/>
        <v>6</v>
      </c>
      <c r="I261" s="291">
        <f t="shared" si="119"/>
        <v>7</v>
      </c>
      <c r="J261" s="291">
        <f t="shared" si="119"/>
        <v>8</v>
      </c>
      <c r="K261" s="291">
        <f t="shared" si="119"/>
        <v>9</v>
      </c>
      <c r="L261" s="291">
        <f t="shared" si="119"/>
        <v>10</v>
      </c>
      <c r="M261" s="291">
        <f t="shared" si="119"/>
        <v>11</v>
      </c>
      <c r="N261" s="291">
        <f t="shared" si="119"/>
        <v>12</v>
      </c>
      <c r="O261" s="291">
        <f t="shared" si="119"/>
        <v>13</v>
      </c>
      <c r="P261" s="291">
        <f t="shared" si="119"/>
        <v>14</v>
      </c>
      <c r="Q261" s="291">
        <f t="shared" si="119"/>
        <v>15</v>
      </c>
      <c r="R261" s="291">
        <f t="shared" si="119"/>
        <v>16</v>
      </c>
      <c r="S261" s="291">
        <f t="shared" si="119"/>
        <v>17</v>
      </c>
      <c r="T261" s="291">
        <f t="shared" si="119"/>
        <v>18</v>
      </c>
      <c r="U261" s="291">
        <f t="shared" si="119"/>
        <v>19</v>
      </c>
      <c r="V261" s="291">
        <f t="shared" si="119"/>
        <v>20</v>
      </c>
      <c r="W261" s="291">
        <f t="shared" si="119"/>
        <v>21</v>
      </c>
      <c r="X261" s="291">
        <f t="shared" si="119"/>
        <v>22</v>
      </c>
      <c r="Y261" s="291">
        <f t="shared" si="119"/>
        <v>23</v>
      </c>
      <c r="Z261" s="291">
        <f t="shared" si="119"/>
        <v>24</v>
      </c>
      <c r="AA261" s="291">
        <f t="shared" si="119"/>
        <v>25</v>
      </c>
      <c r="AB261" s="291" t="str">
        <f t="shared" si="119"/>
        <v/>
      </c>
      <c r="AC261" s="291" t="str">
        <f t="shared" si="119"/>
        <v/>
      </c>
      <c r="AD261" s="291" t="str">
        <f t="shared" si="119"/>
        <v/>
      </c>
      <c r="AE261" s="291" t="str">
        <f t="shared" si="119"/>
        <v/>
      </c>
      <c r="AF261" s="291" t="str">
        <f t="shared" si="119"/>
        <v/>
      </c>
      <c r="AG261" s="291" t="str">
        <f t="shared" si="119"/>
        <v/>
      </c>
      <c r="AH261" s="291" t="str">
        <f t="shared" si="119"/>
        <v/>
      </c>
      <c r="AI261" s="291" t="str">
        <f t="shared" si="119"/>
        <v/>
      </c>
      <c r="AJ261" s="291" t="str">
        <f t="shared" si="119"/>
        <v/>
      </c>
      <c r="AK261" s="291" t="str">
        <f t="shared" si="119"/>
        <v/>
      </c>
      <c r="AL261" s="291" t="str">
        <f t="shared" si="119"/>
        <v/>
      </c>
      <c r="AM261" s="291" t="str">
        <f t="shared" si="119"/>
        <v/>
      </c>
      <c r="AN261" s="291" t="str">
        <f t="shared" si="119"/>
        <v/>
      </c>
      <c r="AO261" s="291" t="str">
        <f t="shared" si="119"/>
        <v/>
      </c>
      <c r="AP261" s="291" t="str">
        <f t="shared" si="119"/>
        <v/>
      </c>
    </row>
    <row r="262" spans="1:42" x14ac:dyDescent="0.2">
      <c r="A262" s="38" t="s">
        <v>262</v>
      </c>
      <c r="B262" s="290">
        <v>0</v>
      </c>
      <c r="C262" s="283">
        <f t="shared" ref="C262:AP262" si="120">IF($B$260=$A243,C243,0)+IF($B$260=$A244,C244,0)+IF($B$260=$A245,C245,0)+IF($B$260=$A246,C246,0)+IF($B$260=$A247,C247,0)+IF($B$260=$A248,C248,0)</f>
        <v>20</v>
      </c>
      <c r="D262" s="283">
        <f t="shared" si="120"/>
        <v>32</v>
      </c>
      <c r="E262" s="283">
        <f t="shared" si="120"/>
        <v>19.2</v>
      </c>
      <c r="F262" s="283">
        <f t="shared" si="120"/>
        <v>11.52</v>
      </c>
      <c r="G262" s="283">
        <f t="shared" si="120"/>
        <v>11.52</v>
      </c>
      <c r="H262" s="283">
        <f t="shared" si="120"/>
        <v>5.76</v>
      </c>
      <c r="I262" s="283">
        <f t="shared" si="120"/>
        <v>0</v>
      </c>
      <c r="J262" s="283">
        <f t="shared" si="120"/>
        <v>0</v>
      </c>
      <c r="K262" s="283">
        <f t="shared" si="120"/>
        <v>0</v>
      </c>
      <c r="L262" s="283">
        <f t="shared" si="120"/>
        <v>0</v>
      </c>
      <c r="M262" s="283">
        <f t="shared" si="120"/>
        <v>0</v>
      </c>
      <c r="N262" s="283">
        <f t="shared" si="120"/>
        <v>0</v>
      </c>
      <c r="O262" s="283">
        <f t="shared" si="120"/>
        <v>0</v>
      </c>
      <c r="P262" s="283">
        <f t="shared" si="120"/>
        <v>0</v>
      </c>
      <c r="Q262" s="283">
        <f t="shared" si="120"/>
        <v>0</v>
      </c>
      <c r="R262" s="283">
        <f t="shared" si="120"/>
        <v>0</v>
      </c>
      <c r="S262" s="283">
        <f t="shared" si="120"/>
        <v>0</v>
      </c>
      <c r="T262" s="283">
        <f t="shared" si="120"/>
        <v>0</v>
      </c>
      <c r="U262" s="283">
        <f t="shared" si="120"/>
        <v>0</v>
      </c>
      <c r="V262" s="283">
        <f t="shared" si="120"/>
        <v>0</v>
      </c>
      <c r="W262" s="283">
        <f t="shared" si="120"/>
        <v>0</v>
      </c>
      <c r="X262" s="283">
        <f t="shared" si="120"/>
        <v>0</v>
      </c>
      <c r="Y262" s="283">
        <f t="shared" si="120"/>
        <v>0</v>
      </c>
      <c r="Z262" s="283">
        <f t="shared" si="120"/>
        <v>0</v>
      </c>
      <c r="AA262" s="283">
        <f t="shared" si="120"/>
        <v>0</v>
      </c>
      <c r="AB262" s="283" t="e">
        <f t="shared" si="120"/>
        <v>#N/A</v>
      </c>
      <c r="AC262" s="283" t="e">
        <f t="shared" si="120"/>
        <v>#N/A</v>
      </c>
      <c r="AD262" s="283" t="e">
        <f t="shared" si="120"/>
        <v>#N/A</v>
      </c>
      <c r="AE262" s="283" t="e">
        <f t="shared" si="120"/>
        <v>#N/A</v>
      </c>
      <c r="AF262" s="283" t="e">
        <f t="shared" si="120"/>
        <v>#N/A</v>
      </c>
      <c r="AG262" s="283" t="e">
        <f t="shared" si="120"/>
        <v>#N/A</v>
      </c>
      <c r="AH262" s="283" t="e">
        <f t="shared" si="120"/>
        <v>#N/A</v>
      </c>
      <c r="AI262" s="283" t="e">
        <f t="shared" si="120"/>
        <v>#N/A</v>
      </c>
      <c r="AJ262" s="283" t="e">
        <f t="shared" si="120"/>
        <v>#N/A</v>
      </c>
      <c r="AK262" s="283" t="e">
        <f t="shared" si="120"/>
        <v>#N/A</v>
      </c>
      <c r="AL262" s="283" t="e">
        <f t="shared" si="120"/>
        <v>#N/A</v>
      </c>
      <c r="AM262" s="283" t="e">
        <f t="shared" si="120"/>
        <v>#N/A</v>
      </c>
      <c r="AN262" s="283" t="e">
        <f t="shared" si="120"/>
        <v>#N/A</v>
      </c>
      <c r="AO262" s="283" t="e">
        <f t="shared" si="120"/>
        <v>#N/A</v>
      </c>
      <c r="AP262" s="283" t="e">
        <f t="shared" si="120"/>
        <v>#N/A</v>
      </c>
    </row>
    <row r="263" spans="1:42" x14ac:dyDescent="0.2">
      <c r="A263" s="38"/>
      <c r="B263" s="45"/>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x14ac:dyDescent="0.2">
      <c r="A264" s="36" t="s">
        <v>141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row>
    <row r="265" spans="1:42" x14ac:dyDescent="0.2">
      <c r="A265" s="38" t="s">
        <v>108</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row>
    <row r="266" spans="1:42" x14ac:dyDescent="0.2">
      <c r="A266" s="7">
        <v>1</v>
      </c>
      <c r="B266" s="7">
        <v>0</v>
      </c>
      <c r="C266" s="272">
        <f>IF(C$2&lt;=analysis_period,IF(SUM($C566:C566)&gt;0,B266+1,0),0)</f>
        <v>0</v>
      </c>
      <c r="D266" s="272">
        <f>IF(D$2&lt;=analysis_period,IF(SUM($C566:D566)&gt;0,C266+1,0),0)</f>
        <v>0</v>
      </c>
      <c r="E266" s="272">
        <f>IF(E$2&lt;=analysis_period,IF(SUM($C566:E566)&gt;0,D266+1,0),0)</f>
        <v>0</v>
      </c>
      <c r="F266" s="272">
        <f>IF(F$2&lt;=analysis_period,IF(SUM($C566:F566)&gt;0,E266+1,0),0)</f>
        <v>0</v>
      </c>
      <c r="G266" s="272">
        <f>IF(G$2&lt;=analysis_period,IF(SUM($C566:G566)&gt;0,F266+1,0),0)</f>
        <v>0</v>
      </c>
      <c r="H266" s="272">
        <f>IF(H$2&lt;=analysis_period,IF(SUM($C566:H566)&gt;0,G266+1,0),0)</f>
        <v>0</v>
      </c>
      <c r="I266" s="272">
        <f>IF(I$2&lt;=analysis_period,IF(SUM($C566:I566)&gt;0,H266+1,0),0)</f>
        <v>0</v>
      </c>
      <c r="J266" s="272">
        <f>IF(J$2&lt;=analysis_period,IF(SUM($C566:J566)&gt;0,I266+1,0),0)</f>
        <v>0</v>
      </c>
      <c r="K266" s="272">
        <f>IF(K$2&lt;=analysis_period,IF(SUM($C566:K566)&gt;0,J266+1,0),0)</f>
        <v>0</v>
      </c>
      <c r="L266" s="272">
        <f>IF(L$2&lt;=analysis_period,IF(SUM($C566:L566)&gt;0,K266+1,0),0)</f>
        <v>0</v>
      </c>
      <c r="M266" s="272">
        <f>IF(M$2&lt;=analysis_period,IF(SUM($C566:M566)&gt;0,L266+1,0),0)</f>
        <v>0</v>
      </c>
      <c r="N266" s="272">
        <f>IF(N$2&lt;=analysis_period,IF(SUM($C566:N566)&gt;0,M266+1,0),0)</f>
        <v>1</v>
      </c>
      <c r="O266" s="272">
        <f>IF(O$2&lt;=analysis_period,IF(SUM($C566:O566)&gt;0,N266+1,0),0)</f>
        <v>2</v>
      </c>
      <c r="P266" s="272">
        <f>IF(P$2&lt;=analysis_period,IF(SUM($C566:P566)&gt;0,O266+1,0),0)</f>
        <v>3</v>
      </c>
      <c r="Q266" s="272">
        <f>IF(Q$2&lt;=analysis_period,IF(SUM($C566:Q566)&gt;0,P266+1,0),0)</f>
        <v>4</v>
      </c>
      <c r="R266" s="272">
        <f>IF(R$2&lt;=analysis_period,IF(SUM($C566:R566)&gt;0,Q266+1,0),0)</f>
        <v>5</v>
      </c>
      <c r="S266" s="272">
        <f>IF(S$2&lt;=analysis_period,IF(SUM($C566:S566)&gt;0,R266+1,0),0)</f>
        <v>6</v>
      </c>
      <c r="T266" s="272">
        <f>IF(T$2&lt;=analysis_period,IF(SUM($C566:T566)&gt;0,S266+1,0),0)</f>
        <v>7</v>
      </c>
      <c r="U266" s="272">
        <f>IF(U$2&lt;=analysis_period,IF(SUM($C566:U566)&gt;0,T266+1,0),0)</f>
        <v>8</v>
      </c>
      <c r="V266" s="272">
        <f>IF(V$2&lt;=analysis_period,IF(SUM($C566:V566)&gt;0,U266+1,0),0)</f>
        <v>9</v>
      </c>
      <c r="W266" s="272">
        <f>IF(W$2&lt;=analysis_period,IF(SUM($C566:W566)&gt;0,V266+1,0),0)</f>
        <v>10</v>
      </c>
      <c r="X266" s="272">
        <f>IF(X$2&lt;=analysis_period,IF(SUM($C566:X566)&gt;0,W266+1,0),0)</f>
        <v>11</v>
      </c>
      <c r="Y266" s="272">
        <f>IF(Y$2&lt;=analysis_period,IF(SUM($C566:Y566)&gt;0,X266+1,0),0)</f>
        <v>12</v>
      </c>
      <c r="Z266" s="272">
        <f>IF(Z$2&lt;=analysis_period,IF(SUM($C566:Z566)&gt;0,Y266+1,0),0)</f>
        <v>13</v>
      </c>
      <c r="AA266" s="272">
        <f>IF(AA$2&lt;=analysis_period,IF(SUM($C566:AA566)&gt;0,Z266+1,0),0)</f>
        <v>14</v>
      </c>
      <c r="AB266" s="272">
        <f>IF(AB$2&lt;=analysis_period,IF(SUM($C566:AB566)&gt;0,AA266+1,0),0)</f>
        <v>0</v>
      </c>
      <c r="AC266" s="272">
        <f>IF(AC$2&lt;=analysis_period,IF(SUM($C566:AC566)&gt;0,AB266+1,0),0)</f>
        <v>0</v>
      </c>
      <c r="AD266" s="272">
        <f>IF(AD$2&lt;=analysis_period,IF(SUM($C566:AD566)&gt;0,AC266+1,0),0)</f>
        <v>0</v>
      </c>
      <c r="AE266" s="272">
        <f>IF(AE$2&lt;=analysis_period,IF(SUM($C566:AE566)&gt;0,AD266+1,0),0)</f>
        <v>0</v>
      </c>
      <c r="AF266" s="272">
        <f>IF(AF$2&lt;=analysis_period,IF(SUM($C566:AF566)&gt;0,AE266+1,0),0)</f>
        <v>0</v>
      </c>
      <c r="AG266" s="272">
        <f>IF(AG$2&lt;=analysis_period,IF(SUM($C566:AG566)&gt;0,AF266+1,0),0)</f>
        <v>0</v>
      </c>
      <c r="AH266" s="272">
        <f>IF(AH$2&lt;=analysis_period,IF(SUM($C566:AH566)&gt;0,AG266+1,0),0)</f>
        <v>0</v>
      </c>
      <c r="AI266" s="272">
        <f>IF(AI$2&lt;=analysis_period,IF(SUM($C566:AI566)&gt;0,AH266+1,0),0)</f>
        <v>0</v>
      </c>
      <c r="AJ266" s="272">
        <f>IF(AJ$2&lt;=analysis_period,IF(SUM($C566:AJ566)&gt;0,AI266+1,0),0)</f>
        <v>0</v>
      </c>
      <c r="AK266" s="272">
        <f>IF(AK$2&lt;=analysis_period,IF(SUM($C566:AK566)&gt;0,AJ266+1,0),0)</f>
        <v>0</v>
      </c>
      <c r="AL266" s="272">
        <f>IF(AL$2&lt;=analysis_period,IF(SUM($C566:AL566)&gt;0,AK266+1,0),0)</f>
        <v>0</v>
      </c>
      <c r="AM266" s="272">
        <f>IF(AM$2&lt;=analysis_period,IF(SUM($C566:AM566)&gt;0,AL266+1,0),0)</f>
        <v>0</v>
      </c>
      <c r="AN266" s="272">
        <f>IF(AN$2&lt;=analysis_period,IF(SUM($C566:AN566)&gt;0,AM266+1,0),0)</f>
        <v>0</v>
      </c>
      <c r="AO266" s="272">
        <f>IF(AO$2&lt;=analysis_period,IF(SUM($C566:AO566)&gt;0,AN266+1,0),0)</f>
        <v>0</v>
      </c>
      <c r="AP266" s="272">
        <f>IF(AP$2&lt;=analysis_period,IF(SUM($C566:AP566)&gt;0,AO266+1,0),0)</f>
        <v>0</v>
      </c>
    </row>
    <row r="267" spans="1:42" x14ac:dyDescent="0.2">
      <c r="A267" s="7">
        <f>A266+1</f>
        <v>2</v>
      </c>
      <c r="B267" s="7">
        <v>0</v>
      </c>
      <c r="C267" s="272">
        <f>IF(C$2&lt;=analysis_period,IF(SUM($C567:C567)&gt;0,B267+1,0),0)</f>
        <v>0</v>
      </c>
      <c r="D267" s="272">
        <f>IF(D$2&lt;=analysis_period,IF(SUM($C567:D567)&gt;0,C267+1,0),0)</f>
        <v>0</v>
      </c>
      <c r="E267" s="272">
        <f>IF(E$2&lt;=analysis_period,IF(SUM($C567:E567)&gt;0,D267+1,0),0)</f>
        <v>0</v>
      </c>
      <c r="F267" s="272">
        <f>IF(F$2&lt;=analysis_period,IF(SUM($C567:F567)&gt;0,E267+1,0),0)</f>
        <v>0</v>
      </c>
      <c r="G267" s="272">
        <f>IF(G$2&lt;=analysis_period,IF(SUM($C567:G567)&gt;0,F267+1,0),0)</f>
        <v>0</v>
      </c>
      <c r="H267" s="272">
        <f>IF(H$2&lt;=analysis_period,IF(SUM($C567:H567)&gt;0,G267+1,0),0)</f>
        <v>0</v>
      </c>
      <c r="I267" s="272">
        <f>IF(I$2&lt;=analysis_period,IF(SUM($C567:I567)&gt;0,H267+1,0),0)</f>
        <v>0</v>
      </c>
      <c r="J267" s="272">
        <f>IF(J$2&lt;=analysis_period,IF(SUM($C567:J567)&gt;0,I267+1,0),0)</f>
        <v>0</v>
      </c>
      <c r="K267" s="272">
        <f>IF(K$2&lt;=analysis_period,IF(SUM($C567:K567)&gt;0,J267+1,0),0)</f>
        <v>0</v>
      </c>
      <c r="L267" s="272">
        <f>IF(L$2&lt;=analysis_period,IF(SUM($C567:L567)&gt;0,K267+1,0),0)</f>
        <v>0</v>
      </c>
      <c r="M267" s="272">
        <f>IF(M$2&lt;=analysis_period,IF(SUM($C567:M567)&gt;0,L267+1,0),0)</f>
        <v>0</v>
      </c>
      <c r="N267" s="272">
        <f>IF(N$2&lt;=analysis_period,IF(SUM($C567:N567)&gt;0,M267+1,0),0)</f>
        <v>0</v>
      </c>
      <c r="O267" s="272">
        <f>IF(O$2&lt;=analysis_period,IF(SUM($C567:O567)&gt;0,N267+1,0),0)</f>
        <v>0</v>
      </c>
      <c r="P267" s="272">
        <f>IF(P$2&lt;=analysis_period,IF(SUM($C567:P567)&gt;0,O267+1,0),0)</f>
        <v>0</v>
      </c>
      <c r="Q267" s="272">
        <f>IF(Q$2&lt;=analysis_period,IF(SUM($C567:Q567)&gt;0,P267+1,0),0)</f>
        <v>0</v>
      </c>
      <c r="R267" s="272">
        <f>IF(R$2&lt;=analysis_period,IF(SUM($C567:R567)&gt;0,Q267+1,0),0)</f>
        <v>0</v>
      </c>
      <c r="S267" s="272">
        <f>IF(S$2&lt;=analysis_period,IF(SUM($C567:S567)&gt;0,R267+1,0),0)</f>
        <v>0</v>
      </c>
      <c r="T267" s="272">
        <f>IF(T$2&lt;=analysis_period,IF(SUM($C567:T567)&gt;0,S267+1,0),0)</f>
        <v>0</v>
      </c>
      <c r="U267" s="272">
        <f>IF(U$2&lt;=analysis_period,IF(SUM($C567:U567)&gt;0,T267+1,0),0)</f>
        <v>0</v>
      </c>
      <c r="V267" s="272">
        <f>IF(V$2&lt;=analysis_period,IF(SUM($C567:V567)&gt;0,U267+1,0),0)</f>
        <v>0</v>
      </c>
      <c r="W267" s="272">
        <f>IF(W$2&lt;=analysis_period,IF(SUM($C567:W567)&gt;0,V267+1,0),0)</f>
        <v>0</v>
      </c>
      <c r="X267" s="272">
        <f>IF(X$2&lt;=analysis_period,IF(SUM($C567:X567)&gt;0,W267+1,0),0)</f>
        <v>0</v>
      </c>
      <c r="Y267" s="272">
        <f>IF(Y$2&lt;=analysis_period,IF(SUM($C567:Y567)&gt;0,X267+1,0),0)</f>
        <v>0</v>
      </c>
      <c r="Z267" s="272">
        <f>IF(Z$2&lt;=analysis_period,IF(SUM($C567:Z567)&gt;0,Y267+1,0),0)</f>
        <v>1</v>
      </c>
      <c r="AA267" s="272">
        <f>IF(AA$2&lt;=analysis_period,IF(SUM($C567:AA567)&gt;0,Z267+1,0),0)</f>
        <v>2</v>
      </c>
      <c r="AB267" s="272">
        <f>IF(AB$2&lt;=analysis_period,IF(SUM($C567:AB567)&gt;0,AA267+1,0),0)</f>
        <v>0</v>
      </c>
      <c r="AC267" s="272">
        <f>IF(AC$2&lt;=analysis_period,IF(SUM($C567:AC567)&gt;0,AB267+1,0),0)</f>
        <v>0</v>
      </c>
      <c r="AD267" s="272">
        <f>IF(AD$2&lt;=analysis_period,IF(SUM($C567:AD567)&gt;0,AC267+1,0),0)</f>
        <v>0</v>
      </c>
      <c r="AE267" s="272">
        <f>IF(AE$2&lt;=analysis_period,IF(SUM($C567:AE567)&gt;0,AD267+1,0),0)</f>
        <v>0</v>
      </c>
      <c r="AF267" s="272">
        <f>IF(AF$2&lt;=analysis_period,IF(SUM($C567:AF567)&gt;0,AE267+1,0),0)</f>
        <v>0</v>
      </c>
      <c r="AG267" s="272">
        <f>IF(AG$2&lt;=analysis_period,IF(SUM($C567:AG567)&gt;0,AF267+1,0),0)</f>
        <v>0</v>
      </c>
      <c r="AH267" s="272">
        <f>IF(AH$2&lt;=analysis_period,IF(SUM($C567:AH567)&gt;0,AG267+1,0),0)</f>
        <v>0</v>
      </c>
      <c r="AI267" s="272">
        <f>IF(AI$2&lt;=analysis_period,IF(SUM($C567:AI567)&gt;0,AH267+1,0),0)</f>
        <v>0</v>
      </c>
      <c r="AJ267" s="272">
        <f>IF(AJ$2&lt;=analysis_period,IF(SUM($C567:AJ567)&gt;0,AI267+1,0),0)</f>
        <v>0</v>
      </c>
      <c r="AK267" s="272">
        <f>IF(AK$2&lt;=analysis_period,IF(SUM($C567:AK567)&gt;0,AJ267+1,0),0)</f>
        <v>0</v>
      </c>
      <c r="AL267" s="272">
        <f>IF(AL$2&lt;=analysis_period,IF(SUM($C567:AL567)&gt;0,AK267+1,0),0)</f>
        <v>0</v>
      </c>
      <c r="AM267" s="272">
        <f>IF(AM$2&lt;=analysis_period,IF(SUM($C567:AM567)&gt;0,AL267+1,0),0)</f>
        <v>0</v>
      </c>
      <c r="AN267" s="272">
        <f>IF(AN$2&lt;=analysis_period,IF(SUM($C567:AN567)&gt;0,AM267+1,0),0)</f>
        <v>0</v>
      </c>
      <c r="AO267" s="272">
        <f>IF(AO$2&lt;=analysis_period,IF(SUM($C567:AO567)&gt;0,AN267+1,0),0)</f>
        <v>0</v>
      </c>
      <c r="AP267" s="272">
        <f>IF(AP$2&lt;=analysis_period,IF(SUM($C567:AP567)&gt;0,AO267+1,0),0)</f>
        <v>0</v>
      </c>
    </row>
    <row r="268" spans="1:42" x14ac:dyDescent="0.2">
      <c r="A268" s="7">
        <f t="shared" ref="A268:A275" si="121">A267+1</f>
        <v>3</v>
      </c>
      <c r="B268" s="7">
        <v>0</v>
      </c>
      <c r="C268" s="272">
        <f>IF(C$2&lt;=analysis_period,IF(SUM($C568:C568)&gt;0,B268+1,0),0)</f>
        <v>0</v>
      </c>
      <c r="D268" s="272">
        <f>IF(D$2&lt;=analysis_period,IF(SUM($C568:D568)&gt;0,C268+1,0),0)</f>
        <v>0</v>
      </c>
      <c r="E268" s="272">
        <f>IF(E$2&lt;=analysis_period,IF(SUM($C568:E568)&gt;0,D268+1,0),0)</f>
        <v>0</v>
      </c>
      <c r="F268" s="272">
        <f>IF(F$2&lt;=analysis_period,IF(SUM($C568:F568)&gt;0,E268+1,0),0)</f>
        <v>0</v>
      </c>
      <c r="G268" s="272">
        <f>IF(G$2&lt;=analysis_period,IF(SUM($C568:G568)&gt;0,F268+1,0),0)</f>
        <v>0</v>
      </c>
      <c r="H268" s="272">
        <f>IF(H$2&lt;=analysis_period,IF(SUM($C568:H568)&gt;0,G268+1,0),0)</f>
        <v>0</v>
      </c>
      <c r="I268" s="272">
        <f>IF(I$2&lt;=analysis_period,IF(SUM($C568:I568)&gt;0,H268+1,0),0)</f>
        <v>0</v>
      </c>
      <c r="J268" s="272">
        <f>IF(J$2&lt;=analysis_period,IF(SUM($C568:J568)&gt;0,I268+1,0),0)</f>
        <v>0</v>
      </c>
      <c r="K268" s="272">
        <f>IF(K$2&lt;=analysis_period,IF(SUM($C568:K568)&gt;0,J268+1,0),0)</f>
        <v>0</v>
      </c>
      <c r="L268" s="272">
        <f>IF(L$2&lt;=analysis_period,IF(SUM($C568:L568)&gt;0,K268+1,0),0)</f>
        <v>0</v>
      </c>
      <c r="M268" s="272">
        <f>IF(M$2&lt;=analysis_period,IF(SUM($C568:M568)&gt;0,L268+1,0),0)</f>
        <v>0</v>
      </c>
      <c r="N268" s="272">
        <f>IF(N$2&lt;=analysis_period,IF(SUM($C568:N568)&gt;0,M268+1,0),0)</f>
        <v>0</v>
      </c>
      <c r="O268" s="272">
        <f>IF(O$2&lt;=analysis_period,IF(SUM($C568:O568)&gt;0,N268+1,0),0)</f>
        <v>0</v>
      </c>
      <c r="P268" s="272">
        <f>IF(P$2&lt;=analysis_period,IF(SUM($C568:P568)&gt;0,O268+1,0),0)</f>
        <v>0</v>
      </c>
      <c r="Q268" s="272">
        <f>IF(Q$2&lt;=analysis_period,IF(SUM($C568:Q568)&gt;0,P268+1,0),0)</f>
        <v>0</v>
      </c>
      <c r="R268" s="272">
        <f>IF(R$2&lt;=analysis_period,IF(SUM($C568:R568)&gt;0,Q268+1,0),0)</f>
        <v>0</v>
      </c>
      <c r="S268" s="272">
        <f>IF(S$2&lt;=analysis_period,IF(SUM($C568:S568)&gt;0,R268+1,0),0)</f>
        <v>0</v>
      </c>
      <c r="T268" s="272">
        <f>IF(T$2&lt;=analysis_period,IF(SUM($C568:T568)&gt;0,S268+1,0),0)</f>
        <v>0</v>
      </c>
      <c r="U268" s="272">
        <f>IF(U$2&lt;=analysis_period,IF(SUM($C568:U568)&gt;0,T268+1,0),0)</f>
        <v>0</v>
      </c>
      <c r="V268" s="272">
        <f>IF(V$2&lt;=analysis_period,IF(SUM($C568:V568)&gt;0,U268+1,0),0)</f>
        <v>0</v>
      </c>
      <c r="W268" s="272">
        <f>IF(W$2&lt;=analysis_period,IF(SUM($C568:W568)&gt;0,V268+1,0),0)</f>
        <v>0</v>
      </c>
      <c r="X268" s="272">
        <f>IF(X$2&lt;=analysis_period,IF(SUM($C568:X568)&gt;0,W268+1,0),0)</f>
        <v>0</v>
      </c>
      <c r="Y268" s="272">
        <f>IF(Y$2&lt;=analysis_period,IF(SUM($C568:Y568)&gt;0,X268+1,0),0)</f>
        <v>0</v>
      </c>
      <c r="Z268" s="272">
        <f>IF(Z$2&lt;=analysis_period,IF(SUM($C568:Z568)&gt;0,Y268+1,0),0)</f>
        <v>0</v>
      </c>
      <c r="AA268" s="272">
        <f>IF(AA$2&lt;=analysis_period,IF(SUM($C568:AA568)&gt;0,Z268+1,0),0)</f>
        <v>0</v>
      </c>
      <c r="AB268" s="272">
        <f>IF(AB$2&lt;=analysis_period,IF(SUM($C568:AB568)&gt;0,AA268+1,0),0)</f>
        <v>0</v>
      </c>
      <c r="AC268" s="272">
        <f>IF(AC$2&lt;=analysis_period,IF(SUM($C568:AC568)&gt;0,AB268+1,0),0)</f>
        <v>0</v>
      </c>
      <c r="AD268" s="272">
        <f>IF(AD$2&lt;=analysis_period,IF(SUM($C568:AD568)&gt;0,AC268+1,0),0)</f>
        <v>0</v>
      </c>
      <c r="AE268" s="272">
        <f>IF(AE$2&lt;=analysis_period,IF(SUM($C568:AE568)&gt;0,AD268+1,0),0)</f>
        <v>0</v>
      </c>
      <c r="AF268" s="272">
        <f>IF(AF$2&lt;=analysis_period,IF(SUM($C568:AF568)&gt;0,AE268+1,0),0)</f>
        <v>0</v>
      </c>
      <c r="AG268" s="272">
        <f>IF(AG$2&lt;=analysis_period,IF(SUM($C568:AG568)&gt;0,AF268+1,0),0)</f>
        <v>0</v>
      </c>
      <c r="AH268" s="272">
        <f>IF(AH$2&lt;=analysis_period,IF(SUM($C568:AH568)&gt;0,AG268+1,0),0)</f>
        <v>0</v>
      </c>
      <c r="AI268" s="272">
        <f>IF(AI$2&lt;=analysis_period,IF(SUM($C568:AI568)&gt;0,AH268+1,0),0)</f>
        <v>0</v>
      </c>
      <c r="AJ268" s="272">
        <f>IF(AJ$2&lt;=analysis_period,IF(SUM($C568:AJ568)&gt;0,AI268+1,0),0)</f>
        <v>0</v>
      </c>
      <c r="AK268" s="272">
        <f>IF(AK$2&lt;=analysis_period,IF(SUM($C568:AK568)&gt;0,AJ268+1,0),0)</f>
        <v>0</v>
      </c>
      <c r="AL268" s="272">
        <f>IF(AL$2&lt;=analysis_period,IF(SUM($C568:AL568)&gt;0,AK268+1,0),0)</f>
        <v>0</v>
      </c>
      <c r="AM268" s="272">
        <f>IF(AM$2&lt;=analysis_period,IF(SUM($C568:AM568)&gt;0,AL268+1,0),0)</f>
        <v>0</v>
      </c>
      <c r="AN268" s="272">
        <f>IF(AN$2&lt;=analysis_period,IF(SUM($C568:AN568)&gt;0,AM268+1,0),0)</f>
        <v>0</v>
      </c>
      <c r="AO268" s="272">
        <f>IF(AO$2&lt;=analysis_period,IF(SUM($C568:AO568)&gt;0,AN268+1,0),0)</f>
        <v>0</v>
      </c>
      <c r="AP268" s="272">
        <f>IF(AP$2&lt;=analysis_period,IF(SUM($C568:AP568)&gt;0,AO268+1,0),0)</f>
        <v>0</v>
      </c>
    </row>
    <row r="269" spans="1:42" x14ac:dyDescent="0.2">
      <c r="A269" s="7">
        <f t="shared" si="121"/>
        <v>4</v>
      </c>
      <c r="B269" s="7">
        <v>0</v>
      </c>
      <c r="C269" s="272">
        <f>IF(C$2&lt;=analysis_period,IF(SUM($C569:C569)&gt;0,B269+1,0),0)</f>
        <v>0</v>
      </c>
      <c r="D269" s="272">
        <f>IF(D$2&lt;=analysis_period,IF(SUM($C569:D569)&gt;0,C269+1,0),0)</f>
        <v>0</v>
      </c>
      <c r="E269" s="272">
        <f>IF(E$2&lt;=analysis_period,IF(SUM($C569:E569)&gt;0,D269+1,0),0)</f>
        <v>0</v>
      </c>
      <c r="F269" s="272">
        <f>IF(F$2&lt;=analysis_period,IF(SUM($C569:F569)&gt;0,E269+1,0),0)</f>
        <v>0</v>
      </c>
      <c r="G269" s="272">
        <f>IF(G$2&lt;=analysis_period,IF(SUM($C569:G569)&gt;0,F269+1,0),0)</f>
        <v>0</v>
      </c>
      <c r="H269" s="272">
        <f>IF(H$2&lt;=analysis_period,IF(SUM($C569:H569)&gt;0,G269+1,0),0)</f>
        <v>0</v>
      </c>
      <c r="I269" s="272">
        <f>IF(I$2&lt;=analysis_period,IF(SUM($C569:I569)&gt;0,H269+1,0),0)</f>
        <v>0</v>
      </c>
      <c r="J269" s="272">
        <f>IF(J$2&lt;=analysis_period,IF(SUM($C569:J569)&gt;0,I269+1,0),0)</f>
        <v>0</v>
      </c>
      <c r="K269" s="272">
        <f>IF(K$2&lt;=analysis_period,IF(SUM($C569:K569)&gt;0,J269+1,0),0)</f>
        <v>0</v>
      </c>
      <c r="L269" s="272">
        <f>IF(L$2&lt;=analysis_period,IF(SUM($C569:L569)&gt;0,K269+1,0),0)</f>
        <v>0</v>
      </c>
      <c r="M269" s="272">
        <f>IF(M$2&lt;=analysis_period,IF(SUM($C569:M569)&gt;0,L269+1,0),0)</f>
        <v>0</v>
      </c>
      <c r="N269" s="272">
        <f>IF(N$2&lt;=analysis_period,IF(SUM($C569:N569)&gt;0,M269+1,0),0)</f>
        <v>0</v>
      </c>
      <c r="O269" s="272">
        <f>IF(O$2&lt;=analysis_period,IF(SUM($C569:O569)&gt;0,N269+1,0),0)</f>
        <v>0</v>
      </c>
      <c r="P269" s="272">
        <f>IF(P$2&lt;=analysis_period,IF(SUM($C569:P569)&gt;0,O269+1,0),0)</f>
        <v>0</v>
      </c>
      <c r="Q269" s="272">
        <f>IF(Q$2&lt;=analysis_period,IF(SUM($C569:Q569)&gt;0,P269+1,0),0)</f>
        <v>0</v>
      </c>
      <c r="R269" s="272">
        <f>IF(R$2&lt;=analysis_period,IF(SUM($C569:R569)&gt;0,Q269+1,0),0)</f>
        <v>0</v>
      </c>
      <c r="S269" s="272">
        <f>IF(S$2&lt;=analysis_period,IF(SUM($C569:S569)&gt;0,R269+1,0),0)</f>
        <v>0</v>
      </c>
      <c r="T269" s="272">
        <f>IF(T$2&lt;=analysis_period,IF(SUM($C569:T569)&gt;0,S269+1,0),0)</f>
        <v>0</v>
      </c>
      <c r="U269" s="272">
        <f>IF(U$2&lt;=analysis_period,IF(SUM($C569:U569)&gt;0,T269+1,0),0)</f>
        <v>0</v>
      </c>
      <c r="V269" s="272">
        <f>IF(V$2&lt;=analysis_period,IF(SUM($C569:V569)&gt;0,U269+1,0),0)</f>
        <v>0</v>
      </c>
      <c r="W269" s="272">
        <f>IF(W$2&lt;=analysis_period,IF(SUM($C569:W569)&gt;0,V269+1,0),0)</f>
        <v>0</v>
      </c>
      <c r="X269" s="272">
        <f>IF(X$2&lt;=analysis_period,IF(SUM($C569:X569)&gt;0,W269+1,0),0)</f>
        <v>0</v>
      </c>
      <c r="Y269" s="272">
        <f>IF(Y$2&lt;=analysis_period,IF(SUM($C569:Y569)&gt;0,X269+1,0),0)</f>
        <v>0</v>
      </c>
      <c r="Z269" s="272">
        <f>IF(Z$2&lt;=analysis_period,IF(SUM($C569:Z569)&gt;0,Y269+1,0),0)</f>
        <v>0</v>
      </c>
      <c r="AA269" s="272">
        <f>IF(AA$2&lt;=analysis_period,IF(SUM($C569:AA569)&gt;0,Z269+1,0),0)</f>
        <v>0</v>
      </c>
      <c r="AB269" s="272">
        <f>IF(AB$2&lt;=analysis_period,IF(SUM($C569:AB569)&gt;0,AA269+1,0),0)</f>
        <v>0</v>
      </c>
      <c r="AC269" s="272">
        <f>IF(AC$2&lt;=analysis_period,IF(SUM($C569:AC569)&gt;0,AB269+1,0),0)</f>
        <v>0</v>
      </c>
      <c r="AD269" s="272">
        <f>IF(AD$2&lt;=analysis_period,IF(SUM($C569:AD569)&gt;0,AC269+1,0),0)</f>
        <v>0</v>
      </c>
      <c r="AE269" s="272">
        <f>IF(AE$2&lt;=analysis_period,IF(SUM($C569:AE569)&gt;0,AD269+1,0),0)</f>
        <v>0</v>
      </c>
      <c r="AF269" s="272">
        <f>IF(AF$2&lt;=analysis_period,IF(SUM($C569:AF569)&gt;0,AE269+1,0),0)</f>
        <v>0</v>
      </c>
      <c r="AG269" s="272">
        <f>IF(AG$2&lt;=analysis_period,IF(SUM($C569:AG569)&gt;0,AF269+1,0),0)</f>
        <v>0</v>
      </c>
      <c r="AH269" s="272">
        <f>IF(AH$2&lt;=analysis_period,IF(SUM($C569:AH569)&gt;0,AG269+1,0),0)</f>
        <v>0</v>
      </c>
      <c r="AI269" s="272">
        <f>IF(AI$2&lt;=analysis_period,IF(SUM($C569:AI569)&gt;0,AH269+1,0),0)</f>
        <v>0</v>
      </c>
      <c r="AJ269" s="272">
        <f>IF(AJ$2&lt;=analysis_period,IF(SUM($C569:AJ569)&gt;0,AI269+1,0),0)</f>
        <v>0</v>
      </c>
      <c r="AK269" s="272">
        <f>IF(AK$2&lt;=analysis_period,IF(SUM($C569:AK569)&gt;0,AJ269+1,0),0)</f>
        <v>0</v>
      </c>
      <c r="AL269" s="272">
        <f>IF(AL$2&lt;=analysis_period,IF(SUM($C569:AL569)&gt;0,AK269+1,0),0)</f>
        <v>0</v>
      </c>
      <c r="AM269" s="272">
        <f>IF(AM$2&lt;=analysis_period,IF(SUM($C569:AM569)&gt;0,AL269+1,0),0)</f>
        <v>0</v>
      </c>
      <c r="AN269" s="272">
        <f>IF(AN$2&lt;=analysis_period,IF(SUM($C569:AN569)&gt;0,AM269+1,0),0)</f>
        <v>0</v>
      </c>
      <c r="AO269" s="272">
        <f>IF(AO$2&lt;=analysis_period,IF(SUM($C569:AO569)&gt;0,AN269+1,0),0)</f>
        <v>0</v>
      </c>
      <c r="AP269" s="272">
        <f>IF(AP$2&lt;=analysis_period,IF(SUM($C569:AP569)&gt;0,AO269+1,0),0)</f>
        <v>0</v>
      </c>
    </row>
    <row r="270" spans="1:42" x14ac:dyDescent="0.2">
      <c r="A270" s="7">
        <f t="shared" si="121"/>
        <v>5</v>
      </c>
      <c r="B270" s="7">
        <v>0</v>
      </c>
      <c r="C270" s="272">
        <f>IF(C$2&lt;=analysis_period,IF(SUM($C570:C570)&gt;0,B270+1,0),0)</f>
        <v>0</v>
      </c>
      <c r="D270" s="272">
        <f>IF(D$2&lt;=analysis_period,IF(SUM($C570:D570)&gt;0,C270+1,0),0)</f>
        <v>0</v>
      </c>
      <c r="E270" s="272">
        <f>IF(E$2&lt;=analysis_period,IF(SUM($C570:E570)&gt;0,D270+1,0),0)</f>
        <v>0</v>
      </c>
      <c r="F270" s="272">
        <f>IF(F$2&lt;=analysis_period,IF(SUM($C570:F570)&gt;0,E270+1,0),0)</f>
        <v>0</v>
      </c>
      <c r="G270" s="272">
        <f>IF(G$2&lt;=analysis_period,IF(SUM($C570:G570)&gt;0,F270+1,0),0)</f>
        <v>0</v>
      </c>
      <c r="H270" s="272">
        <f>IF(H$2&lt;=analysis_period,IF(SUM($C570:H570)&gt;0,G270+1,0),0)</f>
        <v>0</v>
      </c>
      <c r="I270" s="272">
        <f>IF(I$2&lt;=analysis_period,IF(SUM($C570:I570)&gt;0,H270+1,0),0)</f>
        <v>0</v>
      </c>
      <c r="J270" s="272">
        <f>IF(J$2&lt;=analysis_period,IF(SUM($C570:J570)&gt;0,I270+1,0),0)</f>
        <v>0</v>
      </c>
      <c r="K270" s="272">
        <f>IF(K$2&lt;=analysis_period,IF(SUM($C570:K570)&gt;0,J270+1,0),0)</f>
        <v>0</v>
      </c>
      <c r="L270" s="272">
        <f>IF(L$2&lt;=analysis_period,IF(SUM($C570:L570)&gt;0,K270+1,0),0)</f>
        <v>0</v>
      </c>
      <c r="M270" s="272">
        <f>IF(M$2&lt;=analysis_period,IF(SUM($C570:M570)&gt;0,L270+1,0),0)</f>
        <v>0</v>
      </c>
      <c r="N270" s="272">
        <f>IF(N$2&lt;=analysis_period,IF(SUM($C570:N570)&gt;0,M270+1,0),0)</f>
        <v>0</v>
      </c>
      <c r="O270" s="272">
        <f>IF(O$2&lt;=analysis_period,IF(SUM($C570:O570)&gt;0,N270+1,0),0)</f>
        <v>0</v>
      </c>
      <c r="P270" s="272">
        <f>IF(P$2&lt;=analysis_period,IF(SUM($C570:P570)&gt;0,O270+1,0),0)</f>
        <v>0</v>
      </c>
      <c r="Q270" s="272">
        <f>IF(Q$2&lt;=analysis_period,IF(SUM($C570:Q570)&gt;0,P270+1,0),0)</f>
        <v>0</v>
      </c>
      <c r="R270" s="272">
        <f>IF(R$2&lt;=analysis_period,IF(SUM($C570:R570)&gt;0,Q270+1,0),0)</f>
        <v>0</v>
      </c>
      <c r="S270" s="272">
        <f>IF(S$2&lt;=analysis_period,IF(SUM($C570:S570)&gt;0,R270+1,0),0)</f>
        <v>0</v>
      </c>
      <c r="T270" s="272">
        <f>IF(T$2&lt;=analysis_period,IF(SUM($C570:T570)&gt;0,S270+1,0),0)</f>
        <v>0</v>
      </c>
      <c r="U270" s="272">
        <f>IF(U$2&lt;=analysis_period,IF(SUM($C570:U570)&gt;0,T270+1,0),0)</f>
        <v>0</v>
      </c>
      <c r="V270" s="272">
        <f>IF(V$2&lt;=analysis_period,IF(SUM($C570:V570)&gt;0,U270+1,0),0)</f>
        <v>0</v>
      </c>
      <c r="W270" s="272">
        <f>IF(W$2&lt;=analysis_period,IF(SUM($C570:W570)&gt;0,V270+1,0),0)</f>
        <v>0</v>
      </c>
      <c r="X270" s="272">
        <f>IF(X$2&lt;=analysis_period,IF(SUM($C570:X570)&gt;0,W270+1,0),0)</f>
        <v>0</v>
      </c>
      <c r="Y270" s="272">
        <f>IF(Y$2&lt;=analysis_period,IF(SUM($C570:Y570)&gt;0,X270+1,0),0)</f>
        <v>0</v>
      </c>
      <c r="Z270" s="272">
        <f>IF(Z$2&lt;=analysis_period,IF(SUM($C570:Z570)&gt;0,Y270+1,0),0)</f>
        <v>0</v>
      </c>
      <c r="AA270" s="272">
        <f>IF(AA$2&lt;=analysis_period,IF(SUM($C570:AA570)&gt;0,Z270+1,0),0)</f>
        <v>0</v>
      </c>
      <c r="AB270" s="272">
        <f>IF(AB$2&lt;=analysis_period,IF(SUM($C570:AB570)&gt;0,AA270+1,0),0)</f>
        <v>0</v>
      </c>
      <c r="AC270" s="272">
        <f>IF(AC$2&lt;=analysis_period,IF(SUM($C570:AC570)&gt;0,AB270+1,0),0)</f>
        <v>0</v>
      </c>
      <c r="AD270" s="272">
        <f>IF(AD$2&lt;=analysis_period,IF(SUM($C570:AD570)&gt;0,AC270+1,0),0)</f>
        <v>0</v>
      </c>
      <c r="AE270" s="272">
        <f>IF(AE$2&lt;=analysis_period,IF(SUM($C570:AE570)&gt;0,AD270+1,0),0)</f>
        <v>0</v>
      </c>
      <c r="AF270" s="272">
        <f>IF(AF$2&lt;=analysis_period,IF(SUM($C570:AF570)&gt;0,AE270+1,0),0)</f>
        <v>0</v>
      </c>
      <c r="AG270" s="272">
        <f>IF(AG$2&lt;=analysis_period,IF(SUM($C570:AG570)&gt;0,AF270+1,0),0)</f>
        <v>0</v>
      </c>
      <c r="AH270" s="272">
        <f>IF(AH$2&lt;=analysis_period,IF(SUM($C570:AH570)&gt;0,AG270+1,0),0)</f>
        <v>0</v>
      </c>
      <c r="AI270" s="272">
        <f>IF(AI$2&lt;=analysis_period,IF(SUM($C570:AI570)&gt;0,AH270+1,0),0)</f>
        <v>0</v>
      </c>
      <c r="AJ270" s="272">
        <f>IF(AJ$2&lt;=analysis_period,IF(SUM($C570:AJ570)&gt;0,AI270+1,0),0)</f>
        <v>0</v>
      </c>
      <c r="AK270" s="272">
        <f>IF(AK$2&lt;=analysis_period,IF(SUM($C570:AK570)&gt;0,AJ270+1,0),0)</f>
        <v>0</v>
      </c>
      <c r="AL270" s="272">
        <f>IF(AL$2&lt;=analysis_period,IF(SUM($C570:AL570)&gt;0,AK270+1,0),0)</f>
        <v>0</v>
      </c>
      <c r="AM270" s="272">
        <f>IF(AM$2&lt;=analysis_period,IF(SUM($C570:AM570)&gt;0,AL270+1,0),0)</f>
        <v>0</v>
      </c>
      <c r="AN270" s="272">
        <f>IF(AN$2&lt;=analysis_period,IF(SUM($C570:AN570)&gt;0,AM270+1,0),0)</f>
        <v>0</v>
      </c>
      <c r="AO270" s="272">
        <f>IF(AO$2&lt;=analysis_period,IF(SUM($C570:AO570)&gt;0,AN270+1,0),0)</f>
        <v>0</v>
      </c>
      <c r="AP270" s="272">
        <f>IF(AP$2&lt;=analysis_period,IF(SUM($C570:AP570)&gt;0,AO270+1,0),0)</f>
        <v>0</v>
      </c>
    </row>
    <row r="271" spans="1:42" x14ac:dyDescent="0.2">
      <c r="A271" s="7">
        <f t="shared" si="121"/>
        <v>6</v>
      </c>
      <c r="B271" s="7">
        <v>0</v>
      </c>
      <c r="C271" s="272">
        <f>IF(C$2&lt;=analysis_period,IF(SUM($C571:C571)&gt;0,B271+1,0),0)</f>
        <v>0</v>
      </c>
      <c r="D271" s="272">
        <f>IF(D$2&lt;=analysis_period,IF(SUM($C571:D571)&gt;0,C271+1,0),0)</f>
        <v>0</v>
      </c>
      <c r="E271" s="272">
        <f>IF(E$2&lt;=analysis_period,IF(SUM($C571:E571)&gt;0,D271+1,0),0)</f>
        <v>0</v>
      </c>
      <c r="F271" s="272">
        <f>IF(F$2&lt;=analysis_period,IF(SUM($C571:F571)&gt;0,E271+1,0),0)</f>
        <v>0</v>
      </c>
      <c r="G271" s="272">
        <f>IF(G$2&lt;=analysis_period,IF(SUM($C571:G571)&gt;0,F271+1,0),0)</f>
        <v>0</v>
      </c>
      <c r="H271" s="272">
        <f>IF(H$2&lt;=analysis_period,IF(SUM($C571:H571)&gt;0,G271+1,0),0)</f>
        <v>0</v>
      </c>
      <c r="I271" s="272">
        <f>IF(I$2&lt;=analysis_period,IF(SUM($C571:I571)&gt;0,H271+1,0),0)</f>
        <v>0</v>
      </c>
      <c r="J271" s="272">
        <f>IF(J$2&lt;=analysis_period,IF(SUM($C571:J571)&gt;0,I271+1,0),0)</f>
        <v>0</v>
      </c>
      <c r="K271" s="272">
        <f>IF(K$2&lt;=analysis_period,IF(SUM($C571:K571)&gt;0,J271+1,0),0)</f>
        <v>0</v>
      </c>
      <c r="L271" s="272">
        <f>IF(L$2&lt;=analysis_period,IF(SUM($C571:L571)&gt;0,K271+1,0),0)</f>
        <v>0</v>
      </c>
      <c r="M271" s="272">
        <f>IF(M$2&lt;=analysis_period,IF(SUM($C571:M571)&gt;0,L271+1,0),0)</f>
        <v>0</v>
      </c>
      <c r="N271" s="272">
        <f>IF(N$2&lt;=analysis_period,IF(SUM($C571:N571)&gt;0,M271+1,0),0)</f>
        <v>0</v>
      </c>
      <c r="O271" s="272">
        <f>IF(O$2&lt;=analysis_period,IF(SUM($C571:O571)&gt;0,N271+1,0),0)</f>
        <v>0</v>
      </c>
      <c r="P271" s="272">
        <f>IF(P$2&lt;=analysis_period,IF(SUM($C571:P571)&gt;0,O271+1,0),0)</f>
        <v>0</v>
      </c>
      <c r="Q271" s="272">
        <f>IF(Q$2&lt;=analysis_period,IF(SUM($C571:Q571)&gt;0,P271+1,0),0)</f>
        <v>0</v>
      </c>
      <c r="R271" s="272">
        <f>IF(R$2&lt;=analysis_period,IF(SUM($C571:R571)&gt;0,Q271+1,0),0)</f>
        <v>0</v>
      </c>
      <c r="S271" s="272">
        <f>IF(S$2&lt;=analysis_period,IF(SUM($C571:S571)&gt;0,R271+1,0),0)</f>
        <v>0</v>
      </c>
      <c r="T271" s="272">
        <f>IF(T$2&lt;=analysis_period,IF(SUM($C571:T571)&gt;0,S271+1,0),0)</f>
        <v>0</v>
      </c>
      <c r="U271" s="272">
        <f>IF(U$2&lt;=analysis_period,IF(SUM($C571:U571)&gt;0,T271+1,0),0)</f>
        <v>0</v>
      </c>
      <c r="V271" s="272">
        <f>IF(V$2&lt;=analysis_period,IF(SUM($C571:V571)&gt;0,U271+1,0),0)</f>
        <v>0</v>
      </c>
      <c r="W271" s="272">
        <f>IF(W$2&lt;=analysis_period,IF(SUM($C571:W571)&gt;0,V271+1,0),0)</f>
        <v>0</v>
      </c>
      <c r="X271" s="272">
        <f>IF(X$2&lt;=analysis_period,IF(SUM($C571:X571)&gt;0,W271+1,0),0)</f>
        <v>0</v>
      </c>
      <c r="Y271" s="272">
        <f>IF(Y$2&lt;=analysis_period,IF(SUM($C571:Y571)&gt;0,X271+1,0),0)</f>
        <v>0</v>
      </c>
      <c r="Z271" s="272">
        <f>IF(Z$2&lt;=analysis_period,IF(SUM($C571:Z571)&gt;0,Y271+1,0),0)</f>
        <v>0</v>
      </c>
      <c r="AA271" s="272">
        <f>IF(AA$2&lt;=analysis_period,IF(SUM($C571:AA571)&gt;0,Z271+1,0),0)</f>
        <v>0</v>
      </c>
      <c r="AB271" s="272">
        <f>IF(AB$2&lt;=analysis_period,IF(SUM($C571:AB571)&gt;0,AA271+1,0),0)</f>
        <v>0</v>
      </c>
      <c r="AC271" s="272">
        <f>IF(AC$2&lt;=analysis_period,IF(SUM($C571:AC571)&gt;0,AB271+1,0),0)</f>
        <v>0</v>
      </c>
      <c r="AD271" s="272">
        <f>IF(AD$2&lt;=analysis_period,IF(SUM($C571:AD571)&gt;0,AC271+1,0),0)</f>
        <v>0</v>
      </c>
      <c r="AE271" s="272">
        <f>IF(AE$2&lt;=analysis_period,IF(SUM($C571:AE571)&gt;0,AD271+1,0),0)</f>
        <v>0</v>
      </c>
      <c r="AF271" s="272">
        <f>IF(AF$2&lt;=analysis_period,IF(SUM($C571:AF571)&gt;0,AE271+1,0),0)</f>
        <v>0</v>
      </c>
      <c r="AG271" s="272">
        <f>IF(AG$2&lt;=analysis_period,IF(SUM($C571:AG571)&gt;0,AF271+1,0),0)</f>
        <v>0</v>
      </c>
      <c r="AH271" s="272">
        <f>IF(AH$2&lt;=analysis_period,IF(SUM($C571:AH571)&gt;0,AG271+1,0),0)</f>
        <v>0</v>
      </c>
      <c r="AI271" s="272">
        <f>IF(AI$2&lt;=analysis_period,IF(SUM($C571:AI571)&gt;0,AH271+1,0),0)</f>
        <v>0</v>
      </c>
      <c r="AJ271" s="272">
        <f>IF(AJ$2&lt;=analysis_period,IF(SUM($C571:AJ571)&gt;0,AI271+1,0),0)</f>
        <v>0</v>
      </c>
      <c r="AK271" s="272">
        <f>IF(AK$2&lt;=analysis_period,IF(SUM($C571:AK571)&gt;0,AJ271+1,0),0)</f>
        <v>0</v>
      </c>
      <c r="AL271" s="272">
        <f>IF(AL$2&lt;=analysis_period,IF(SUM($C571:AL571)&gt;0,AK271+1,0),0)</f>
        <v>0</v>
      </c>
      <c r="AM271" s="272">
        <f>IF(AM$2&lt;=analysis_period,IF(SUM($C571:AM571)&gt;0,AL271+1,0),0)</f>
        <v>0</v>
      </c>
      <c r="AN271" s="272">
        <f>IF(AN$2&lt;=analysis_period,IF(SUM($C571:AN571)&gt;0,AM271+1,0),0)</f>
        <v>0</v>
      </c>
      <c r="AO271" s="272">
        <f>IF(AO$2&lt;=analysis_period,IF(SUM($C571:AO571)&gt;0,AN271+1,0),0)</f>
        <v>0</v>
      </c>
      <c r="AP271" s="272">
        <f>IF(AP$2&lt;=analysis_period,IF(SUM($C571:AP571)&gt;0,AO271+1,0),0)</f>
        <v>0</v>
      </c>
    </row>
    <row r="272" spans="1:42" x14ac:dyDescent="0.2">
      <c r="A272" s="7">
        <f t="shared" si="121"/>
        <v>7</v>
      </c>
      <c r="B272" s="7">
        <v>0</v>
      </c>
      <c r="C272" s="272">
        <f>IF(C$2&lt;=analysis_period,IF(SUM($C572:C572)&gt;0,B272+1,0),0)</f>
        <v>0</v>
      </c>
      <c r="D272" s="272">
        <f>IF(D$2&lt;=analysis_period,IF(SUM($C572:D572)&gt;0,C272+1,0),0)</f>
        <v>0</v>
      </c>
      <c r="E272" s="272">
        <f>IF(E$2&lt;=analysis_period,IF(SUM($C572:E572)&gt;0,D272+1,0),0)</f>
        <v>0</v>
      </c>
      <c r="F272" s="272">
        <f>IF(F$2&lt;=analysis_period,IF(SUM($C572:F572)&gt;0,E272+1,0),0)</f>
        <v>0</v>
      </c>
      <c r="G272" s="272">
        <f>IF(G$2&lt;=analysis_period,IF(SUM($C572:G572)&gt;0,F272+1,0),0)</f>
        <v>0</v>
      </c>
      <c r="H272" s="272">
        <f>IF(H$2&lt;=analysis_period,IF(SUM($C572:H572)&gt;0,G272+1,0),0)</f>
        <v>0</v>
      </c>
      <c r="I272" s="272">
        <f>IF(I$2&lt;=analysis_period,IF(SUM($C572:I572)&gt;0,H272+1,0),0)</f>
        <v>0</v>
      </c>
      <c r="J272" s="272">
        <f>IF(J$2&lt;=analysis_period,IF(SUM($C572:J572)&gt;0,I272+1,0),0)</f>
        <v>0</v>
      </c>
      <c r="K272" s="272">
        <f>IF(K$2&lt;=analysis_period,IF(SUM($C572:K572)&gt;0,J272+1,0),0)</f>
        <v>0</v>
      </c>
      <c r="L272" s="272">
        <f>IF(L$2&lt;=analysis_period,IF(SUM($C572:L572)&gt;0,K272+1,0),0)</f>
        <v>0</v>
      </c>
      <c r="M272" s="272">
        <f>IF(M$2&lt;=analysis_period,IF(SUM($C572:M572)&gt;0,L272+1,0),0)</f>
        <v>0</v>
      </c>
      <c r="N272" s="272">
        <f>IF(N$2&lt;=analysis_period,IF(SUM($C572:N572)&gt;0,M272+1,0),0)</f>
        <v>0</v>
      </c>
      <c r="O272" s="272">
        <f>IF(O$2&lt;=analysis_period,IF(SUM($C572:O572)&gt;0,N272+1,0),0)</f>
        <v>0</v>
      </c>
      <c r="P272" s="272">
        <f>IF(P$2&lt;=analysis_period,IF(SUM($C572:P572)&gt;0,O272+1,0),0)</f>
        <v>0</v>
      </c>
      <c r="Q272" s="272">
        <f>IF(Q$2&lt;=analysis_period,IF(SUM($C572:Q572)&gt;0,P272+1,0),0)</f>
        <v>0</v>
      </c>
      <c r="R272" s="272">
        <f>IF(R$2&lt;=analysis_period,IF(SUM($C572:R572)&gt;0,Q272+1,0),0)</f>
        <v>0</v>
      </c>
      <c r="S272" s="272">
        <f>IF(S$2&lt;=analysis_period,IF(SUM($C572:S572)&gt;0,R272+1,0),0)</f>
        <v>0</v>
      </c>
      <c r="T272" s="272">
        <f>IF(T$2&lt;=analysis_period,IF(SUM($C572:T572)&gt;0,S272+1,0),0)</f>
        <v>0</v>
      </c>
      <c r="U272" s="272">
        <f>IF(U$2&lt;=analysis_period,IF(SUM($C572:U572)&gt;0,T272+1,0),0)</f>
        <v>0</v>
      </c>
      <c r="V272" s="272">
        <f>IF(V$2&lt;=analysis_period,IF(SUM($C572:V572)&gt;0,U272+1,0),0)</f>
        <v>0</v>
      </c>
      <c r="W272" s="272">
        <f>IF(W$2&lt;=analysis_period,IF(SUM($C572:W572)&gt;0,V272+1,0),0)</f>
        <v>0</v>
      </c>
      <c r="X272" s="272">
        <f>IF(X$2&lt;=analysis_period,IF(SUM($C572:X572)&gt;0,W272+1,0),0)</f>
        <v>0</v>
      </c>
      <c r="Y272" s="272">
        <f>IF(Y$2&lt;=analysis_period,IF(SUM($C572:Y572)&gt;0,X272+1,0),0)</f>
        <v>0</v>
      </c>
      <c r="Z272" s="272">
        <f>IF(Z$2&lt;=analysis_period,IF(SUM($C572:Z572)&gt;0,Y272+1,0),0)</f>
        <v>0</v>
      </c>
      <c r="AA272" s="272">
        <f>IF(AA$2&lt;=analysis_period,IF(SUM($C572:AA572)&gt;0,Z272+1,0),0)</f>
        <v>0</v>
      </c>
      <c r="AB272" s="272">
        <f>IF(AB$2&lt;=analysis_period,IF(SUM($C572:AB572)&gt;0,AA272+1,0),0)</f>
        <v>0</v>
      </c>
      <c r="AC272" s="272">
        <f>IF(AC$2&lt;=analysis_period,IF(SUM($C572:AC572)&gt;0,AB272+1,0),0)</f>
        <v>0</v>
      </c>
      <c r="AD272" s="272">
        <f>IF(AD$2&lt;=analysis_period,IF(SUM($C572:AD572)&gt;0,AC272+1,0),0)</f>
        <v>0</v>
      </c>
      <c r="AE272" s="272">
        <f>IF(AE$2&lt;=analysis_period,IF(SUM($C572:AE572)&gt;0,AD272+1,0),0)</f>
        <v>0</v>
      </c>
      <c r="AF272" s="272">
        <f>IF(AF$2&lt;=analysis_period,IF(SUM($C572:AF572)&gt;0,AE272+1,0),0)</f>
        <v>0</v>
      </c>
      <c r="AG272" s="272">
        <f>IF(AG$2&lt;=analysis_period,IF(SUM($C572:AG572)&gt;0,AF272+1,0),0)</f>
        <v>0</v>
      </c>
      <c r="AH272" s="272">
        <f>IF(AH$2&lt;=analysis_period,IF(SUM($C572:AH572)&gt;0,AG272+1,0),0)</f>
        <v>0</v>
      </c>
      <c r="AI272" s="272">
        <f>IF(AI$2&lt;=analysis_period,IF(SUM($C572:AI572)&gt;0,AH272+1,0),0)</f>
        <v>0</v>
      </c>
      <c r="AJ272" s="272">
        <f>IF(AJ$2&lt;=analysis_period,IF(SUM($C572:AJ572)&gt;0,AI272+1,0),0)</f>
        <v>0</v>
      </c>
      <c r="AK272" s="272">
        <f>IF(AK$2&lt;=analysis_period,IF(SUM($C572:AK572)&gt;0,AJ272+1,0),0)</f>
        <v>0</v>
      </c>
      <c r="AL272" s="272">
        <f>IF(AL$2&lt;=analysis_period,IF(SUM($C572:AL572)&gt;0,AK272+1,0),0)</f>
        <v>0</v>
      </c>
      <c r="AM272" s="272">
        <f>IF(AM$2&lt;=analysis_period,IF(SUM($C572:AM572)&gt;0,AL272+1,0),0)</f>
        <v>0</v>
      </c>
      <c r="AN272" s="272">
        <f>IF(AN$2&lt;=analysis_period,IF(SUM($C572:AN572)&gt;0,AM272+1,0),0)</f>
        <v>0</v>
      </c>
      <c r="AO272" s="272">
        <f>IF(AO$2&lt;=analysis_period,IF(SUM($C572:AO572)&gt;0,AN272+1,0),0)</f>
        <v>0</v>
      </c>
      <c r="AP272" s="272">
        <f>IF(AP$2&lt;=analysis_period,IF(SUM($C572:AP572)&gt;0,AO272+1,0),0)</f>
        <v>0</v>
      </c>
    </row>
    <row r="273" spans="1:42" x14ac:dyDescent="0.2">
      <c r="A273" s="7">
        <f t="shared" si="121"/>
        <v>8</v>
      </c>
      <c r="B273" s="7">
        <v>0</v>
      </c>
      <c r="C273" s="272">
        <f>IF(C$2&lt;=analysis_period,IF(SUM($C573:C573)&gt;0,B273+1,0),0)</f>
        <v>0</v>
      </c>
      <c r="D273" s="272">
        <f>IF(D$2&lt;=analysis_period,IF(SUM($C573:D573)&gt;0,C273+1,0),0)</f>
        <v>0</v>
      </c>
      <c r="E273" s="272">
        <f>IF(E$2&lt;=analysis_period,IF(SUM($C573:E573)&gt;0,D273+1,0),0)</f>
        <v>0</v>
      </c>
      <c r="F273" s="272">
        <f>IF(F$2&lt;=analysis_period,IF(SUM($C573:F573)&gt;0,E273+1,0),0)</f>
        <v>0</v>
      </c>
      <c r="G273" s="272">
        <f>IF(G$2&lt;=analysis_period,IF(SUM($C573:G573)&gt;0,F273+1,0),0)</f>
        <v>0</v>
      </c>
      <c r="H273" s="272">
        <f>IF(H$2&lt;=analysis_period,IF(SUM($C573:H573)&gt;0,G273+1,0),0)</f>
        <v>0</v>
      </c>
      <c r="I273" s="272">
        <f>IF(I$2&lt;=analysis_period,IF(SUM($C573:I573)&gt;0,H273+1,0),0)</f>
        <v>0</v>
      </c>
      <c r="J273" s="272">
        <f>IF(J$2&lt;=analysis_period,IF(SUM($C573:J573)&gt;0,I273+1,0),0)</f>
        <v>0</v>
      </c>
      <c r="K273" s="272">
        <f>IF(K$2&lt;=analysis_period,IF(SUM($C573:K573)&gt;0,J273+1,0),0)</f>
        <v>0</v>
      </c>
      <c r="L273" s="272">
        <f>IF(L$2&lt;=analysis_period,IF(SUM($C573:L573)&gt;0,K273+1,0),0)</f>
        <v>0</v>
      </c>
      <c r="M273" s="272">
        <f>IF(M$2&lt;=analysis_period,IF(SUM($C573:M573)&gt;0,L273+1,0),0)</f>
        <v>0</v>
      </c>
      <c r="N273" s="272">
        <f>IF(N$2&lt;=analysis_period,IF(SUM($C573:N573)&gt;0,M273+1,0),0)</f>
        <v>0</v>
      </c>
      <c r="O273" s="272">
        <f>IF(O$2&lt;=analysis_period,IF(SUM($C573:O573)&gt;0,N273+1,0),0)</f>
        <v>0</v>
      </c>
      <c r="P273" s="272">
        <f>IF(P$2&lt;=analysis_period,IF(SUM($C573:P573)&gt;0,O273+1,0),0)</f>
        <v>0</v>
      </c>
      <c r="Q273" s="272">
        <f>IF(Q$2&lt;=analysis_period,IF(SUM($C573:Q573)&gt;0,P273+1,0),0)</f>
        <v>0</v>
      </c>
      <c r="R273" s="272">
        <f>IF(R$2&lt;=analysis_period,IF(SUM($C573:R573)&gt;0,Q273+1,0),0)</f>
        <v>0</v>
      </c>
      <c r="S273" s="272">
        <f>IF(S$2&lt;=analysis_period,IF(SUM($C573:S573)&gt;0,R273+1,0),0)</f>
        <v>0</v>
      </c>
      <c r="T273" s="272">
        <f>IF(T$2&lt;=analysis_period,IF(SUM($C573:T573)&gt;0,S273+1,0),0)</f>
        <v>0</v>
      </c>
      <c r="U273" s="272">
        <f>IF(U$2&lt;=analysis_period,IF(SUM($C573:U573)&gt;0,T273+1,0),0)</f>
        <v>0</v>
      </c>
      <c r="V273" s="272">
        <f>IF(V$2&lt;=analysis_period,IF(SUM($C573:V573)&gt;0,U273+1,0),0)</f>
        <v>0</v>
      </c>
      <c r="W273" s="272">
        <f>IF(W$2&lt;=analysis_period,IF(SUM($C573:W573)&gt;0,V273+1,0),0)</f>
        <v>0</v>
      </c>
      <c r="X273" s="272">
        <f>IF(X$2&lt;=analysis_period,IF(SUM($C573:X573)&gt;0,W273+1,0),0)</f>
        <v>0</v>
      </c>
      <c r="Y273" s="272">
        <f>IF(Y$2&lt;=analysis_period,IF(SUM($C573:Y573)&gt;0,X273+1,0),0)</f>
        <v>0</v>
      </c>
      <c r="Z273" s="272">
        <f>IF(Z$2&lt;=analysis_period,IF(SUM($C573:Z573)&gt;0,Y273+1,0),0)</f>
        <v>0</v>
      </c>
      <c r="AA273" s="272">
        <f>IF(AA$2&lt;=analysis_period,IF(SUM($C573:AA573)&gt;0,Z273+1,0),0)</f>
        <v>0</v>
      </c>
      <c r="AB273" s="272">
        <f>IF(AB$2&lt;=analysis_period,IF(SUM($C573:AB573)&gt;0,AA273+1,0),0)</f>
        <v>0</v>
      </c>
      <c r="AC273" s="272">
        <f>IF(AC$2&lt;=analysis_period,IF(SUM($C573:AC573)&gt;0,AB273+1,0),0)</f>
        <v>0</v>
      </c>
      <c r="AD273" s="272">
        <f>IF(AD$2&lt;=analysis_period,IF(SUM($C573:AD573)&gt;0,AC273+1,0),0)</f>
        <v>0</v>
      </c>
      <c r="AE273" s="272">
        <f>IF(AE$2&lt;=analysis_period,IF(SUM($C573:AE573)&gt;0,AD273+1,0),0)</f>
        <v>0</v>
      </c>
      <c r="AF273" s="272">
        <f>IF(AF$2&lt;=analysis_period,IF(SUM($C573:AF573)&gt;0,AE273+1,0),0)</f>
        <v>0</v>
      </c>
      <c r="AG273" s="272">
        <f>IF(AG$2&lt;=analysis_period,IF(SUM($C573:AG573)&gt;0,AF273+1,0),0)</f>
        <v>0</v>
      </c>
      <c r="AH273" s="272">
        <f>IF(AH$2&lt;=analysis_period,IF(SUM($C573:AH573)&gt;0,AG273+1,0),0)</f>
        <v>0</v>
      </c>
      <c r="AI273" s="272">
        <f>IF(AI$2&lt;=analysis_period,IF(SUM($C573:AI573)&gt;0,AH273+1,0),0)</f>
        <v>0</v>
      </c>
      <c r="AJ273" s="272">
        <f>IF(AJ$2&lt;=analysis_period,IF(SUM($C573:AJ573)&gt;0,AI273+1,0),0)</f>
        <v>0</v>
      </c>
      <c r="AK273" s="272">
        <f>IF(AK$2&lt;=analysis_period,IF(SUM($C573:AK573)&gt;0,AJ273+1,0),0)</f>
        <v>0</v>
      </c>
      <c r="AL273" s="272">
        <f>IF(AL$2&lt;=analysis_period,IF(SUM($C573:AL573)&gt;0,AK273+1,0),0)</f>
        <v>0</v>
      </c>
      <c r="AM273" s="272">
        <f>IF(AM$2&lt;=analysis_period,IF(SUM($C573:AM573)&gt;0,AL273+1,0),0)</f>
        <v>0</v>
      </c>
      <c r="AN273" s="272">
        <f>IF(AN$2&lt;=analysis_period,IF(SUM($C573:AN573)&gt;0,AM273+1,0),0)</f>
        <v>0</v>
      </c>
      <c r="AO273" s="272">
        <f>IF(AO$2&lt;=analysis_period,IF(SUM($C573:AO573)&gt;0,AN273+1,0),0)</f>
        <v>0</v>
      </c>
      <c r="AP273" s="272">
        <f>IF(AP$2&lt;=analysis_period,IF(SUM($C573:AP573)&gt;0,AO273+1,0),0)</f>
        <v>0</v>
      </c>
    </row>
    <row r="274" spans="1:42" x14ac:dyDescent="0.2">
      <c r="A274" s="7">
        <f>A273+1</f>
        <v>9</v>
      </c>
      <c r="B274" s="7">
        <v>0</v>
      </c>
      <c r="C274" s="272">
        <f>IF(C$2&lt;=analysis_period,IF(SUM($C574:C574)&gt;0,B274+1,0),0)</f>
        <v>0</v>
      </c>
      <c r="D274" s="272">
        <f>IF(D$2&lt;=analysis_period,IF(SUM($C574:D574)&gt;0,C274+1,0),0)</f>
        <v>0</v>
      </c>
      <c r="E274" s="272">
        <f>IF(E$2&lt;=analysis_period,IF(SUM($C574:E574)&gt;0,D274+1,0),0)</f>
        <v>0</v>
      </c>
      <c r="F274" s="272">
        <f>IF(F$2&lt;=analysis_period,IF(SUM($C574:F574)&gt;0,E274+1,0),0)</f>
        <v>0</v>
      </c>
      <c r="G274" s="272">
        <f>IF(G$2&lt;=analysis_period,IF(SUM($C574:G574)&gt;0,F274+1,0),0)</f>
        <v>0</v>
      </c>
      <c r="H274" s="272">
        <f>IF(H$2&lt;=analysis_period,IF(SUM($C574:H574)&gt;0,G274+1,0),0)</f>
        <v>0</v>
      </c>
      <c r="I274" s="272">
        <f>IF(I$2&lt;=analysis_period,IF(SUM($C574:I574)&gt;0,H274+1,0),0)</f>
        <v>0</v>
      </c>
      <c r="J274" s="272">
        <f>IF(J$2&lt;=analysis_period,IF(SUM($C574:J574)&gt;0,I274+1,0),0)</f>
        <v>0</v>
      </c>
      <c r="K274" s="272">
        <f>IF(K$2&lt;=analysis_period,IF(SUM($C574:K574)&gt;0,J274+1,0),0)</f>
        <v>0</v>
      </c>
      <c r="L274" s="272">
        <f>IF(L$2&lt;=analysis_period,IF(SUM($C574:L574)&gt;0,K274+1,0),0)</f>
        <v>0</v>
      </c>
      <c r="M274" s="272">
        <f>IF(M$2&lt;=analysis_period,IF(SUM($C574:M574)&gt;0,L274+1,0),0)</f>
        <v>0</v>
      </c>
      <c r="N274" s="272">
        <f>IF(N$2&lt;=analysis_period,IF(SUM($C574:N574)&gt;0,M274+1,0),0)</f>
        <v>0</v>
      </c>
      <c r="O274" s="272">
        <f>IF(O$2&lt;=analysis_period,IF(SUM($C574:O574)&gt;0,N274+1,0),0)</f>
        <v>0</v>
      </c>
      <c r="P274" s="272">
        <f>IF(P$2&lt;=analysis_period,IF(SUM($C574:P574)&gt;0,O274+1,0),0)</f>
        <v>0</v>
      </c>
      <c r="Q274" s="272">
        <f>IF(Q$2&lt;=analysis_period,IF(SUM($C574:Q574)&gt;0,P274+1,0),0)</f>
        <v>0</v>
      </c>
      <c r="R274" s="272">
        <f>IF(R$2&lt;=analysis_period,IF(SUM($C574:R574)&gt;0,Q274+1,0),0)</f>
        <v>0</v>
      </c>
      <c r="S274" s="272">
        <f>IF(S$2&lt;=analysis_period,IF(SUM($C574:S574)&gt;0,R274+1,0),0)</f>
        <v>0</v>
      </c>
      <c r="T274" s="272">
        <f>IF(T$2&lt;=analysis_period,IF(SUM($C574:T574)&gt;0,S274+1,0),0)</f>
        <v>0</v>
      </c>
      <c r="U274" s="272">
        <f>IF(U$2&lt;=analysis_period,IF(SUM($C574:U574)&gt;0,T274+1,0),0)</f>
        <v>0</v>
      </c>
      <c r="V274" s="272">
        <f>IF(V$2&lt;=analysis_period,IF(SUM($C574:V574)&gt;0,U274+1,0),0)</f>
        <v>0</v>
      </c>
      <c r="W274" s="272">
        <f>IF(W$2&lt;=analysis_period,IF(SUM($C574:W574)&gt;0,V274+1,0),0)</f>
        <v>0</v>
      </c>
      <c r="X274" s="272">
        <f>IF(X$2&lt;=analysis_period,IF(SUM($C574:X574)&gt;0,W274+1,0),0)</f>
        <v>0</v>
      </c>
      <c r="Y274" s="272">
        <f>IF(Y$2&lt;=analysis_period,IF(SUM($C574:Y574)&gt;0,X274+1,0),0)</f>
        <v>0</v>
      </c>
      <c r="Z274" s="272">
        <f>IF(Z$2&lt;=analysis_period,IF(SUM($C574:Z574)&gt;0,Y274+1,0),0)</f>
        <v>0</v>
      </c>
      <c r="AA274" s="272">
        <f>IF(AA$2&lt;=analysis_period,IF(SUM($C574:AA574)&gt;0,Z274+1,0),0)</f>
        <v>0</v>
      </c>
      <c r="AB274" s="272">
        <f>IF(AB$2&lt;=analysis_period,IF(SUM($C574:AB574)&gt;0,AA274+1,0),0)</f>
        <v>0</v>
      </c>
      <c r="AC274" s="272">
        <f>IF(AC$2&lt;=analysis_period,IF(SUM($C574:AC574)&gt;0,AB274+1,0),0)</f>
        <v>0</v>
      </c>
      <c r="AD274" s="272">
        <f>IF(AD$2&lt;=analysis_period,IF(SUM($C574:AD574)&gt;0,AC274+1,0),0)</f>
        <v>0</v>
      </c>
      <c r="AE274" s="272">
        <f>IF(AE$2&lt;=analysis_period,IF(SUM($C574:AE574)&gt;0,AD274+1,0),0)</f>
        <v>0</v>
      </c>
      <c r="AF274" s="272">
        <f>IF(AF$2&lt;=analysis_period,IF(SUM($C574:AF574)&gt;0,AE274+1,0),0)</f>
        <v>0</v>
      </c>
      <c r="AG274" s="272">
        <f>IF(AG$2&lt;=analysis_period,IF(SUM($C574:AG574)&gt;0,AF274+1,0),0)</f>
        <v>0</v>
      </c>
      <c r="AH274" s="272">
        <f>IF(AH$2&lt;=analysis_period,IF(SUM($C574:AH574)&gt;0,AG274+1,0),0)</f>
        <v>0</v>
      </c>
      <c r="AI274" s="272">
        <f>IF(AI$2&lt;=analysis_period,IF(SUM($C574:AI574)&gt;0,AH274+1,0),0)</f>
        <v>0</v>
      </c>
      <c r="AJ274" s="272">
        <f>IF(AJ$2&lt;=analysis_period,IF(SUM($C574:AJ574)&gt;0,AI274+1,0),0)</f>
        <v>0</v>
      </c>
      <c r="AK274" s="272">
        <f>IF(AK$2&lt;=analysis_period,IF(SUM($C574:AK574)&gt;0,AJ274+1,0),0)</f>
        <v>0</v>
      </c>
      <c r="AL274" s="272">
        <f>IF(AL$2&lt;=analysis_period,IF(SUM($C574:AL574)&gt;0,AK274+1,0),0)</f>
        <v>0</v>
      </c>
      <c r="AM274" s="272">
        <f>IF(AM$2&lt;=analysis_period,IF(SUM($C574:AM574)&gt;0,AL274+1,0),0)</f>
        <v>0</v>
      </c>
      <c r="AN274" s="272">
        <f>IF(AN$2&lt;=analysis_period,IF(SUM($C574:AN574)&gt;0,AM274+1,0),0)</f>
        <v>0</v>
      </c>
      <c r="AO274" s="272">
        <f>IF(AO$2&lt;=analysis_period,IF(SUM($C574:AO574)&gt;0,AN274+1,0),0)</f>
        <v>0</v>
      </c>
      <c r="AP274" s="272">
        <f>IF(AP$2&lt;=analysis_period,IF(SUM($C574:AP574)&gt;0,AO274+1,0),0)</f>
        <v>0</v>
      </c>
    </row>
    <row r="275" spans="1:42" x14ac:dyDescent="0.2">
      <c r="A275" s="7">
        <f t="shared" si="121"/>
        <v>10</v>
      </c>
      <c r="B275" s="7">
        <v>0</v>
      </c>
      <c r="C275" s="272">
        <f>IF(C$2&lt;=analysis_period,IF(SUM($C575:C575)&gt;0,B275+1,0),0)</f>
        <v>0</v>
      </c>
      <c r="D275" s="272">
        <f>IF(D$2&lt;=analysis_period,IF(SUM($C575:D575)&gt;0,C275+1,0),0)</f>
        <v>0</v>
      </c>
      <c r="E275" s="272">
        <f>IF(E$2&lt;=analysis_period,IF(SUM($C575:E575)&gt;0,D275+1,0),0)</f>
        <v>0</v>
      </c>
      <c r="F275" s="272">
        <f>IF(F$2&lt;=analysis_period,IF(SUM($C575:F575)&gt;0,E275+1,0),0)</f>
        <v>0</v>
      </c>
      <c r="G275" s="272">
        <f>IF(G$2&lt;=analysis_period,IF(SUM($C575:G575)&gt;0,F275+1,0),0)</f>
        <v>0</v>
      </c>
      <c r="H275" s="272">
        <f>IF(H$2&lt;=analysis_period,IF(SUM($C575:H575)&gt;0,G275+1,0),0)</f>
        <v>0</v>
      </c>
      <c r="I275" s="272">
        <f>IF(I$2&lt;=analysis_period,IF(SUM($C575:I575)&gt;0,H275+1,0),0)</f>
        <v>0</v>
      </c>
      <c r="J275" s="272">
        <f>IF(J$2&lt;=analysis_period,IF(SUM($C575:J575)&gt;0,I275+1,0),0)</f>
        <v>0</v>
      </c>
      <c r="K275" s="272">
        <f>IF(K$2&lt;=analysis_period,IF(SUM($C575:K575)&gt;0,J275+1,0),0)</f>
        <v>0</v>
      </c>
      <c r="L275" s="272">
        <f>IF(L$2&lt;=analysis_period,IF(SUM($C575:L575)&gt;0,K275+1,0),0)</f>
        <v>0</v>
      </c>
      <c r="M275" s="272">
        <f>IF(M$2&lt;=analysis_period,IF(SUM($C575:M575)&gt;0,L275+1,0),0)</f>
        <v>0</v>
      </c>
      <c r="N275" s="272">
        <f>IF(N$2&lt;=analysis_period,IF(SUM($C575:N575)&gt;0,M275+1,0),0)</f>
        <v>0</v>
      </c>
      <c r="O275" s="272">
        <f>IF(O$2&lt;=analysis_period,IF(SUM($C575:O575)&gt;0,N275+1,0),0)</f>
        <v>0</v>
      </c>
      <c r="P275" s="272">
        <f>IF(P$2&lt;=analysis_period,IF(SUM($C575:P575)&gt;0,O275+1,0),0)</f>
        <v>0</v>
      </c>
      <c r="Q275" s="272">
        <f>IF(Q$2&lt;=analysis_period,IF(SUM($C575:Q575)&gt;0,P275+1,0),0)</f>
        <v>0</v>
      </c>
      <c r="R275" s="272">
        <f>IF(R$2&lt;=analysis_period,IF(SUM($C575:R575)&gt;0,Q275+1,0),0)</f>
        <v>0</v>
      </c>
      <c r="S275" s="272">
        <f>IF(S$2&lt;=analysis_period,IF(SUM($C575:S575)&gt;0,R275+1,0),0)</f>
        <v>0</v>
      </c>
      <c r="T275" s="272">
        <f>IF(T$2&lt;=analysis_period,IF(SUM($C575:T575)&gt;0,S275+1,0),0)</f>
        <v>0</v>
      </c>
      <c r="U275" s="272">
        <f>IF(U$2&lt;=analysis_period,IF(SUM($C575:U575)&gt;0,T275+1,0),0)</f>
        <v>0</v>
      </c>
      <c r="V275" s="272">
        <f>IF(V$2&lt;=analysis_period,IF(SUM($C575:V575)&gt;0,U275+1,0),0)</f>
        <v>0</v>
      </c>
      <c r="W275" s="272">
        <f>IF(W$2&lt;=analysis_period,IF(SUM($C575:W575)&gt;0,V275+1,0),0)</f>
        <v>0</v>
      </c>
      <c r="X275" s="272">
        <f>IF(X$2&lt;=analysis_period,IF(SUM($C575:X575)&gt;0,W275+1,0),0)</f>
        <v>0</v>
      </c>
      <c r="Y275" s="272">
        <f>IF(Y$2&lt;=analysis_period,IF(SUM($C575:Y575)&gt;0,X275+1,0),0)</f>
        <v>0</v>
      </c>
      <c r="Z275" s="272">
        <f>IF(Z$2&lt;=analysis_period,IF(SUM($C575:Z575)&gt;0,Y275+1,0),0)</f>
        <v>0</v>
      </c>
      <c r="AA275" s="272">
        <f>IF(AA$2&lt;=analysis_period,IF(SUM($C575:AA575)&gt;0,Z275+1,0),0)</f>
        <v>0</v>
      </c>
      <c r="AB275" s="272">
        <f>IF(AB$2&lt;=analysis_period,IF(SUM($C575:AB575)&gt;0,AA275+1,0),0)</f>
        <v>0</v>
      </c>
      <c r="AC275" s="272">
        <f>IF(AC$2&lt;=analysis_period,IF(SUM($C575:AC575)&gt;0,AB275+1,0),0)</f>
        <v>0</v>
      </c>
      <c r="AD275" s="272">
        <f>IF(AD$2&lt;=analysis_period,IF(SUM($C575:AD575)&gt;0,AC275+1,0),0)</f>
        <v>0</v>
      </c>
      <c r="AE275" s="272">
        <f>IF(AE$2&lt;=analysis_period,IF(SUM($C575:AE575)&gt;0,AD275+1,0),0)</f>
        <v>0</v>
      </c>
      <c r="AF275" s="272">
        <f>IF(AF$2&lt;=analysis_period,IF(SUM($C575:AF575)&gt;0,AE275+1,0),0)</f>
        <v>0</v>
      </c>
      <c r="AG275" s="272">
        <f>IF(AG$2&lt;=analysis_period,IF(SUM($C575:AG575)&gt;0,AF275+1,0),0)</f>
        <v>0</v>
      </c>
      <c r="AH275" s="272">
        <f>IF(AH$2&lt;=analysis_period,IF(SUM($C575:AH575)&gt;0,AG275+1,0),0)</f>
        <v>0</v>
      </c>
      <c r="AI275" s="272">
        <f>IF(AI$2&lt;=analysis_period,IF(SUM($C575:AI575)&gt;0,AH275+1,0),0)</f>
        <v>0</v>
      </c>
      <c r="AJ275" s="272">
        <f>IF(AJ$2&lt;=analysis_period,IF(SUM($C575:AJ575)&gt;0,AI275+1,0),0)</f>
        <v>0</v>
      </c>
      <c r="AK275" s="272">
        <f>IF(AK$2&lt;=analysis_period,IF(SUM($C575:AK575)&gt;0,AJ275+1,0),0)</f>
        <v>0</v>
      </c>
      <c r="AL275" s="272">
        <f>IF(AL$2&lt;=analysis_period,IF(SUM($C575:AL575)&gt;0,AK275+1,0),0)</f>
        <v>0</v>
      </c>
      <c r="AM275" s="272">
        <f>IF(AM$2&lt;=analysis_period,IF(SUM($C575:AM575)&gt;0,AL275+1,0),0)</f>
        <v>0</v>
      </c>
      <c r="AN275" s="272">
        <f>IF(AN$2&lt;=analysis_period,IF(SUM($C575:AN575)&gt;0,AM275+1,0),0)</f>
        <v>0</v>
      </c>
      <c r="AO275" s="272">
        <f>IF(AO$2&lt;=analysis_period,IF(SUM($C575:AO575)&gt;0,AN275+1,0),0)</f>
        <v>0</v>
      </c>
      <c r="AP275" s="272">
        <f>IF(AP$2&lt;=analysis_period,IF(SUM($C575:AP575)&gt;0,AO275+1,0),0)</f>
        <v>0</v>
      </c>
    </row>
    <row r="276" spans="1:42" x14ac:dyDescent="0.2">
      <c r="A276" s="38" t="s">
        <v>112</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x14ac:dyDescent="0.2">
      <c r="A277" s="7">
        <v>1</v>
      </c>
      <c r="B277" s="292">
        <f t="shared" ref="B277:B286" si="122">SUM(C277:AP277)</f>
        <v>6560433.289006331</v>
      </c>
      <c r="C277" s="272">
        <f>LOOKUP(C266,$B$261:$AP$261,$B$262:$AP$262)/100*$B566</f>
        <v>0</v>
      </c>
      <c r="D277" s="272">
        <f t="shared" ref="D277:AP277" si="123">LOOKUP(D266,$B$261:$AP$261,$B$262:$AP$262)/100*$B566</f>
        <v>0</v>
      </c>
      <c r="E277" s="272">
        <f t="shared" si="123"/>
        <v>0</v>
      </c>
      <c r="F277" s="272">
        <f t="shared" si="123"/>
        <v>0</v>
      </c>
      <c r="G277" s="272">
        <f t="shared" si="123"/>
        <v>0</v>
      </c>
      <c r="H277" s="272">
        <f t="shared" si="123"/>
        <v>0</v>
      </c>
      <c r="I277" s="272">
        <f t="shared" si="123"/>
        <v>0</v>
      </c>
      <c r="J277" s="272">
        <f t="shared" si="123"/>
        <v>0</v>
      </c>
      <c r="K277" s="272">
        <f t="shared" si="123"/>
        <v>0</v>
      </c>
      <c r="L277" s="272">
        <f t="shared" si="123"/>
        <v>0</v>
      </c>
      <c r="M277" s="272">
        <f t="shared" si="123"/>
        <v>0</v>
      </c>
      <c r="N277" s="272">
        <f t="shared" si="123"/>
        <v>1312086.6578012661</v>
      </c>
      <c r="O277" s="272">
        <f t="shared" si="123"/>
        <v>2099338.6524820258</v>
      </c>
      <c r="P277" s="272">
        <f t="shared" si="123"/>
        <v>1259603.1914892155</v>
      </c>
      <c r="Q277" s="272">
        <f t="shared" si="123"/>
        <v>755761.91489352926</v>
      </c>
      <c r="R277" s="272">
        <f t="shared" si="123"/>
        <v>755761.91489352926</v>
      </c>
      <c r="S277" s="272">
        <f t="shared" si="123"/>
        <v>377880.95744676463</v>
      </c>
      <c r="T277" s="272">
        <f t="shared" si="123"/>
        <v>0</v>
      </c>
      <c r="U277" s="272">
        <f t="shared" si="123"/>
        <v>0</v>
      </c>
      <c r="V277" s="272">
        <f t="shared" si="123"/>
        <v>0</v>
      </c>
      <c r="W277" s="272">
        <f t="shared" si="123"/>
        <v>0</v>
      </c>
      <c r="X277" s="272">
        <f t="shared" si="123"/>
        <v>0</v>
      </c>
      <c r="Y277" s="272">
        <f t="shared" si="123"/>
        <v>0</v>
      </c>
      <c r="Z277" s="272">
        <f t="shared" si="123"/>
        <v>0</v>
      </c>
      <c r="AA277" s="272">
        <f t="shared" si="123"/>
        <v>0</v>
      </c>
      <c r="AB277" s="272">
        <f t="shared" si="123"/>
        <v>0</v>
      </c>
      <c r="AC277" s="272">
        <f t="shared" si="123"/>
        <v>0</v>
      </c>
      <c r="AD277" s="272">
        <f t="shared" si="123"/>
        <v>0</v>
      </c>
      <c r="AE277" s="272">
        <f t="shared" si="123"/>
        <v>0</v>
      </c>
      <c r="AF277" s="272">
        <f t="shared" si="123"/>
        <v>0</v>
      </c>
      <c r="AG277" s="272">
        <f t="shared" si="123"/>
        <v>0</v>
      </c>
      <c r="AH277" s="272">
        <f t="shared" si="123"/>
        <v>0</v>
      </c>
      <c r="AI277" s="272">
        <f t="shared" si="123"/>
        <v>0</v>
      </c>
      <c r="AJ277" s="272">
        <f t="shared" si="123"/>
        <v>0</v>
      </c>
      <c r="AK277" s="272">
        <f t="shared" si="123"/>
        <v>0</v>
      </c>
      <c r="AL277" s="272">
        <f t="shared" si="123"/>
        <v>0</v>
      </c>
      <c r="AM277" s="272">
        <f t="shared" si="123"/>
        <v>0</v>
      </c>
      <c r="AN277" s="272">
        <f t="shared" si="123"/>
        <v>0</v>
      </c>
      <c r="AO277" s="272">
        <f t="shared" si="123"/>
        <v>0</v>
      </c>
      <c r="AP277" s="272">
        <f t="shared" si="123"/>
        <v>0</v>
      </c>
    </row>
    <row r="278" spans="1:42" x14ac:dyDescent="0.2">
      <c r="A278" s="7">
        <f>A277+1</f>
        <v>2</v>
      </c>
      <c r="B278" s="292">
        <f t="shared" si="122"/>
        <v>4587987.7745509576</v>
      </c>
      <c r="C278" s="272">
        <f t="shared" ref="C278:AP278" si="124">LOOKUP(C267,$B$261:$AP$261,$B$262:$AP$262)/100*$B567</f>
        <v>0</v>
      </c>
      <c r="D278" s="272">
        <f t="shared" si="124"/>
        <v>0</v>
      </c>
      <c r="E278" s="272">
        <f t="shared" si="124"/>
        <v>0</v>
      </c>
      <c r="F278" s="272">
        <f t="shared" si="124"/>
        <v>0</v>
      </c>
      <c r="G278" s="272">
        <f t="shared" si="124"/>
        <v>0</v>
      </c>
      <c r="H278" s="272">
        <f t="shared" si="124"/>
        <v>0</v>
      </c>
      <c r="I278" s="272">
        <f t="shared" si="124"/>
        <v>0</v>
      </c>
      <c r="J278" s="272">
        <f t="shared" si="124"/>
        <v>0</v>
      </c>
      <c r="K278" s="272">
        <f t="shared" si="124"/>
        <v>0</v>
      </c>
      <c r="L278" s="272">
        <f t="shared" si="124"/>
        <v>0</v>
      </c>
      <c r="M278" s="272">
        <f t="shared" si="124"/>
        <v>0</v>
      </c>
      <c r="N278" s="272">
        <f t="shared" si="124"/>
        <v>0</v>
      </c>
      <c r="O278" s="272">
        <f t="shared" si="124"/>
        <v>0</v>
      </c>
      <c r="P278" s="272">
        <f t="shared" si="124"/>
        <v>0</v>
      </c>
      <c r="Q278" s="272">
        <f t="shared" si="124"/>
        <v>0</v>
      </c>
      <c r="R278" s="272">
        <f t="shared" si="124"/>
        <v>0</v>
      </c>
      <c r="S278" s="272">
        <f t="shared" si="124"/>
        <v>0</v>
      </c>
      <c r="T278" s="272">
        <f t="shared" si="124"/>
        <v>0</v>
      </c>
      <c r="U278" s="272">
        <f t="shared" si="124"/>
        <v>0</v>
      </c>
      <c r="V278" s="272">
        <f t="shared" si="124"/>
        <v>0</v>
      </c>
      <c r="W278" s="272">
        <f t="shared" si="124"/>
        <v>0</v>
      </c>
      <c r="X278" s="272">
        <f t="shared" si="124"/>
        <v>0</v>
      </c>
      <c r="Y278" s="272">
        <f t="shared" si="124"/>
        <v>0</v>
      </c>
      <c r="Z278" s="272">
        <f t="shared" si="124"/>
        <v>1764610.6825195991</v>
      </c>
      <c r="AA278" s="272">
        <f t="shared" si="124"/>
        <v>2823377.0920313587</v>
      </c>
      <c r="AB278" s="272">
        <f t="shared" si="124"/>
        <v>0</v>
      </c>
      <c r="AC278" s="272">
        <f t="shared" si="124"/>
        <v>0</v>
      </c>
      <c r="AD278" s="272">
        <f t="shared" si="124"/>
        <v>0</v>
      </c>
      <c r="AE278" s="272">
        <f t="shared" si="124"/>
        <v>0</v>
      </c>
      <c r="AF278" s="272">
        <f t="shared" si="124"/>
        <v>0</v>
      </c>
      <c r="AG278" s="272">
        <f t="shared" si="124"/>
        <v>0</v>
      </c>
      <c r="AH278" s="272">
        <f t="shared" si="124"/>
        <v>0</v>
      </c>
      <c r="AI278" s="272">
        <f t="shared" si="124"/>
        <v>0</v>
      </c>
      <c r="AJ278" s="272">
        <f t="shared" si="124"/>
        <v>0</v>
      </c>
      <c r="AK278" s="272">
        <f t="shared" si="124"/>
        <v>0</v>
      </c>
      <c r="AL278" s="272">
        <f t="shared" si="124"/>
        <v>0</v>
      </c>
      <c r="AM278" s="272">
        <f t="shared" si="124"/>
        <v>0</v>
      </c>
      <c r="AN278" s="272">
        <f t="shared" si="124"/>
        <v>0</v>
      </c>
      <c r="AO278" s="272">
        <f t="shared" si="124"/>
        <v>0</v>
      </c>
      <c r="AP278" s="272">
        <f t="shared" si="124"/>
        <v>0</v>
      </c>
    </row>
    <row r="279" spans="1:42" x14ac:dyDescent="0.2">
      <c r="A279" s="7">
        <f t="shared" ref="A279:A286" si="125">A278+1</f>
        <v>3</v>
      </c>
      <c r="B279" s="292">
        <f t="shared" si="122"/>
        <v>0</v>
      </c>
      <c r="C279" s="272">
        <f t="shared" ref="C279:AP279" si="126">LOOKUP(C268,$B$261:$AP$261,$B$262:$AP$262)/100*$B568</f>
        <v>0</v>
      </c>
      <c r="D279" s="272">
        <f t="shared" si="126"/>
        <v>0</v>
      </c>
      <c r="E279" s="272">
        <f t="shared" si="126"/>
        <v>0</v>
      </c>
      <c r="F279" s="272">
        <f t="shared" si="126"/>
        <v>0</v>
      </c>
      <c r="G279" s="272">
        <f t="shared" si="126"/>
        <v>0</v>
      </c>
      <c r="H279" s="272">
        <f t="shared" si="126"/>
        <v>0</v>
      </c>
      <c r="I279" s="272">
        <f t="shared" si="126"/>
        <v>0</v>
      </c>
      <c r="J279" s="272">
        <f t="shared" si="126"/>
        <v>0</v>
      </c>
      <c r="K279" s="272">
        <f t="shared" si="126"/>
        <v>0</v>
      </c>
      <c r="L279" s="272">
        <f t="shared" si="126"/>
        <v>0</v>
      </c>
      <c r="M279" s="272">
        <f t="shared" si="126"/>
        <v>0</v>
      </c>
      <c r="N279" s="272">
        <f t="shared" si="126"/>
        <v>0</v>
      </c>
      <c r="O279" s="272">
        <f t="shared" si="126"/>
        <v>0</v>
      </c>
      <c r="P279" s="272">
        <f t="shared" si="126"/>
        <v>0</v>
      </c>
      <c r="Q279" s="272">
        <f t="shared" si="126"/>
        <v>0</v>
      </c>
      <c r="R279" s="272">
        <f t="shared" si="126"/>
        <v>0</v>
      </c>
      <c r="S279" s="272">
        <f t="shared" si="126"/>
        <v>0</v>
      </c>
      <c r="T279" s="272">
        <f t="shared" si="126"/>
        <v>0</v>
      </c>
      <c r="U279" s="272">
        <f t="shared" si="126"/>
        <v>0</v>
      </c>
      <c r="V279" s="272">
        <f t="shared" si="126"/>
        <v>0</v>
      </c>
      <c r="W279" s="272">
        <f t="shared" si="126"/>
        <v>0</v>
      </c>
      <c r="X279" s="272">
        <f t="shared" si="126"/>
        <v>0</v>
      </c>
      <c r="Y279" s="272">
        <f t="shared" si="126"/>
        <v>0</v>
      </c>
      <c r="Z279" s="272">
        <f t="shared" si="126"/>
        <v>0</v>
      </c>
      <c r="AA279" s="272">
        <f t="shared" si="126"/>
        <v>0</v>
      </c>
      <c r="AB279" s="272">
        <f t="shared" si="126"/>
        <v>0</v>
      </c>
      <c r="AC279" s="272">
        <f t="shared" si="126"/>
        <v>0</v>
      </c>
      <c r="AD279" s="272">
        <f t="shared" si="126"/>
        <v>0</v>
      </c>
      <c r="AE279" s="272">
        <f t="shared" si="126"/>
        <v>0</v>
      </c>
      <c r="AF279" s="272">
        <f t="shared" si="126"/>
        <v>0</v>
      </c>
      <c r="AG279" s="272">
        <f t="shared" si="126"/>
        <v>0</v>
      </c>
      <c r="AH279" s="272">
        <f t="shared" si="126"/>
        <v>0</v>
      </c>
      <c r="AI279" s="272">
        <f t="shared" si="126"/>
        <v>0</v>
      </c>
      <c r="AJ279" s="272">
        <f t="shared" si="126"/>
        <v>0</v>
      </c>
      <c r="AK279" s="272">
        <f t="shared" si="126"/>
        <v>0</v>
      </c>
      <c r="AL279" s="272">
        <f t="shared" si="126"/>
        <v>0</v>
      </c>
      <c r="AM279" s="272">
        <f t="shared" si="126"/>
        <v>0</v>
      </c>
      <c r="AN279" s="272">
        <f t="shared" si="126"/>
        <v>0</v>
      </c>
      <c r="AO279" s="272">
        <f t="shared" si="126"/>
        <v>0</v>
      </c>
      <c r="AP279" s="272">
        <f t="shared" si="126"/>
        <v>0</v>
      </c>
    </row>
    <row r="280" spans="1:42" x14ac:dyDescent="0.2">
      <c r="A280" s="7">
        <f t="shared" si="125"/>
        <v>4</v>
      </c>
      <c r="B280" s="292">
        <f t="shared" si="122"/>
        <v>0</v>
      </c>
      <c r="C280" s="272">
        <f t="shared" ref="C280:AP280" si="127">LOOKUP(C269,$B$261:$AP$261,$B$262:$AP$262)/100*$B569</f>
        <v>0</v>
      </c>
      <c r="D280" s="272">
        <f t="shared" si="127"/>
        <v>0</v>
      </c>
      <c r="E280" s="272">
        <f t="shared" si="127"/>
        <v>0</v>
      </c>
      <c r="F280" s="272">
        <f t="shared" si="127"/>
        <v>0</v>
      </c>
      <c r="G280" s="272">
        <f t="shared" si="127"/>
        <v>0</v>
      </c>
      <c r="H280" s="272">
        <f t="shared" si="127"/>
        <v>0</v>
      </c>
      <c r="I280" s="272">
        <f t="shared" si="127"/>
        <v>0</v>
      </c>
      <c r="J280" s="272">
        <f t="shared" si="127"/>
        <v>0</v>
      </c>
      <c r="K280" s="272">
        <f t="shared" si="127"/>
        <v>0</v>
      </c>
      <c r="L280" s="272">
        <f t="shared" si="127"/>
        <v>0</v>
      </c>
      <c r="M280" s="272">
        <f t="shared" si="127"/>
        <v>0</v>
      </c>
      <c r="N280" s="272">
        <f t="shared" si="127"/>
        <v>0</v>
      </c>
      <c r="O280" s="272">
        <f t="shared" si="127"/>
        <v>0</v>
      </c>
      <c r="P280" s="272">
        <f t="shared" si="127"/>
        <v>0</v>
      </c>
      <c r="Q280" s="272">
        <f t="shared" si="127"/>
        <v>0</v>
      </c>
      <c r="R280" s="272">
        <f t="shared" si="127"/>
        <v>0</v>
      </c>
      <c r="S280" s="272">
        <f t="shared" si="127"/>
        <v>0</v>
      </c>
      <c r="T280" s="272">
        <f t="shared" si="127"/>
        <v>0</v>
      </c>
      <c r="U280" s="272">
        <f t="shared" si="127"/>
        <v>0</v>
      </c>
      <c r="V280" s="272">
        <f t="shared" si="127"/>
        <v>0</v>
      </c>
      <c r="W280" s="272">
        <f t="shared" si="127"/>
        <v>0</v>
      </c>
      <c r="X280" s="272">
        <f t="shared" si="127"/>
        <v>0</v>
      </c>
      <c r="Y280" s="272">
        <f t="shared" si="127"/>
        <v>0</v>
      </c>
      <c r="Z280" s="272">
        <f t="shared" si="127"/>
        <v>0</v>
      </c>
      <c r="AA280" s="272">
        <f t="shared" si="127"/>
        <v>0</v>
      </c>
      <c r="AB280" s="272">
        <f t="shared" si="127"/>
        <v>0</v>
      </c>
      <c r="AC280" s="272">
        <f t="shared" si="127"/>
        <v>0</v>
      </c>
      <c r="AD280" s="272">
        <f t="shared" si="127"/>
        <v>0</v>
      </c>
      <c r="AE280" s="272">
        <f t="shared" si="127"/>
        <v>0</v>
      </c>
      <c r="AF280" s="272">
        <f t="shared" si="127"/>
        <v>0</v>
      </c>
      <c r="AG280" s="272">
        <f t="shared" si="127"/>
        <v>0</v>
      </c>
      <c r="AH280" s="272">
        <f t="shared" si="127"/>
        <v>0</v>
      </c>
      <c r="AI280" s="272">
        <f t="shared" si="127"/>
        <v>0</v>
      </c>
      <c r="AJ280" s="272">
        <f t="shared" si="127"/>
        <v>0</v>
      </c>
      <c r="AK280" s="272">
        <f t="shared" si="127"/>
        <v>0</v>
      </c>
      <c r="AL280" s="272">
        <f t="shared" si="127"/>
        <v>0</v>
      </c>
      <c r="AM280" s="272">
        <f t="shared" si="127"/>
        <v>0</v>
      </c>
      <c r="AN280" s="272">
        <f t="shared" si="127"/>
        <v>0</v>
      </c>
      <c r="AO280" s="272">
        <f t="shared" si="127"/>
        <v>0</v>
      </c>
      <c r="AP280" s="272">
        <f t="shared" si="127"/>
        <v>0</v>
      </c>
    </row>
    <row r="281" spans="1:42" x14ac:dyDescent="0.2">
      <c r="A281" s="7">
        <f t="shared" si="125"/>
        <v>5</v>
      </c>
      <c r="B281" s="292">
        <f t="shared" si="122"/>
        <v>0</v>
      </c>
      <c r="C281" s="272">
        <f t="shared" ref="C281:AP281" si="128">LOOKUP(C270,$B$261:$AP$261,$B$262:$AP$262)/100*$B570</f>
        <v>0</v>
      </c>
      <c r="D281" s="272">
        <f t="shared" si="128"/>
        <v>0</v>
      </c>
      <c r="E281" s="272">
        <f t="shared" si="128"/>
        <v>0</v>
      </c>
      <c r="F281" s="272">
        <f t="shared" si="128"/>
        <v>0</v>
      </c>
      <c r="G281" s="272">
        <f t="shared" si="128"/>
        <v>0</v>
      </c>
      <c r="H281" s="272">
        <f t="shared" si="128"/>
        <v>0</v>
      </c>
      <c r="I281" s="272">
        <f t="shared" si="128"/>
        <v>0</v>
      </c>
      <c r="J281" s="272">
        <f t="shared" si="128"/>
        <v>0</v>
      </c>
      <c r="K281" s="272">
        <f t="shared" si="128"/>
        <v>0</v>
      </c>
      <c r="L281" s="272">
        <f t="shared" si="128"/>
        <v>0</v>
      </c>
      <c r="M281" s="272">
        <f t="shared" si="128"/>
        <v>0</v>
      </c>
      <c r="N281" s="272">
        <f t="shared" si="128"/>
        <v>0</v>
      </c>
      <c r="O281" s="272">
        <f t="shared" si="128"/>
        <v>0</v>
      </c>
      <c r="P281" s="272">
        <f t="shared" si="128"/>
        <v>0</v>
      </c>
      <c r="Q281" s="272">
        <f t="shared" si="128"/>
        <v>0</v>
      </c>
      <c r="R281" s="272">
        <f t="shared" si="128"/>
        <v>0</v>
      </c>
      <c r="S281" s="272">
        <f t="shared" si="128"/>
        <v>0</v>
      </c>
      <c r="T281" s="272">
        <f t="shared" si="128"/>
        <v>0</v>
      </c>
      <c r="U281" s="272">
        <f t="shared" si="128"/>
        <v>0</v>
      </c>
      <c r="V281" s="272">
        <f t="shared" si="128"/>
        <v>0</v>
      </c>
      <c r="W281" s="272">
        <f t="shared" si="128"/>
        <v>0</v>
      </c>
      <c r="X281" s="272">
        <f t="shared" si="128"/>
        <v>0</v>
      </c>
      <c r="Y281" s="272">
        <f t="shared" si="128"/>
        <v>0</v>
      </c>
      <c r="Z281" s="272">
        <f t="shared" si="128"/>
        <v>0</v>
      </c>
      <c r="AA281" s="272">
        <f t="shared" si="128"/>
        <v>0</v>
      </c>
      <c r="AB281" s="272">
        <f t="shared" si="128"/>
        <v>0</v>
      </c>
      <c r="AC281" s="272">
        <f t="shared" si="128"/>
        <v>0</v>
      </c>
      <c r="AD281" s="272">
        <f t="shared" si="128"/>
        <v>0</v>
      </c>
      <c r="AE281" s="272">
        <f t="shared" si="128"/>
        <v>0</v>
      </c>
      <c r="AF281" s="272">
        <f t="shared" si="128"/>
        <v>0</v>
      </c>
      <c r="AG281" s="272">
        <f t="shared" si="128"/>
        <v>0</v>
      </c>
      <c r="AH281" s="272">
        <f t="shared" si="128"/>
        <v>0</v>
      </c>
      <c r="AI281" s="272">
        <f t="shared" si="128"/>
        <v>0</v>
      </c>
      <c r="AJ281" s="272">
        <f t="shared" si="128"/>
        <v>0</v>
      </c>
      <c r="AK281" s="272">
        <f t="shared" si="128"/>
        <v>0</v>
      </c>
      <c r="AL281" s="272">
        <f t="shared" si="128"/>
        <v>0</v>
      </c>
      <c r="AM281" s="272">
        <f t="shared" si="128"/>
        <v>0</v>
      </c>
      <c r="AN281" s="272">
        <f t="shared" si="128"/>
        <v>0</v>
      </c>
      <c r="AO281" s="272">
        <f t="shared" si="128"/>
        <v>0</v>
      </c>
      <c r="AP281" s="272">
        <f t="shared" si="128"/>
        <v>0</v>
      </c>
    </row>
    <row r="282" spans="1:42" x14ac:dyDescent="0.2">
      <c r="A282" s="21">
        <f t="shared" si="125"/>
        <v>6</v>
      </c>
      <c r="B282" s="292">
        <f t="shared" si="122"/>
        <v>0</v>
      </c>
      <c r="C282" s="272">
        <f t="shared" ref="C282:AP282" si="129">LOOKUP(C271,$B$261:$AP$261,$B$262:$AP$262)/100*$B571</f>
        <v>0</v>
      </c>
      <c r="D282" s="272">
        <f t="shared" si="129"/>
        <v>0</v>
      </c>
      <c r="E282" s="272">
        <f t="shared" si="129"/>
        <v>0</v>
      </c>
      <c r="F282" s="272">
        <f t="shared" si="129"/>
        <v>0</v>
      </c>
      <c r="G282" s="272">
        <f t="shared" si="129"/>
        <v>0</v>
      </c>
      <c r="H282" s="272">
        <f t="shared" si="129"/>
        <v>0</v>
      </c>
      <c r="I282" s="272">
        <f t="shared" si="129"/>
        <v>0</v>
      </c>
      <c r="J282" s="272">
        <f t="shared" si="129"/>
        <v>0</v>
      </c>
      <c r="K282" s="272">
        <f t="shared" si="129"/>
        <v>0</v>
      </c>
      <c r="L282" s="272">
        <f t="shared" si="129"/>
        <v>0</v>
      </c>
      <c r="M282" s="272">
        <f t="shared" si="129"/>
        <v>0</v>
      </c>
      <c r="N282" s="272">
        <f t="shared" si="129"/>
        <v>0</v>
      </c>
      <c r="O282" s="272">
        <f t="shared" si="129"/>
        <v>0</v>
      </c>
      <c r="P282" s="272">
        <f t="shared" si="129"/>
        <v>0</v>
      </c>
      <c r="Q282" s="272">
        <f t="shared" si="129"/>
        <v>0</v>
      </c>
      <c r="R282" s="272">
        <f t="shared" si="129"/>
        <v>0</v>
      </c>
      <c r="S282" s="272">
        <f t="shared" si="129"/>
        <v>0</v>
      </c>
      <c r="T282" s="272">
        <f t="shared" si="129"/>
        <v>0</v>
      </c>
      <c r="U282" s="272">
        <f t="shared" si="129"/>
        <v>0</v>
      </c>
      <c r="V282" s="272">
        <f t="shared" si="129"/>
        <v>0</v>
      </c>
      <c r="W282" s="272">
        <f t="shared" si="129"/>
        <v>0</v>
      </c>
      <c r="X282" s="272">
        <f t="shared" si="129"/>
        <v>0</v>
      </c>
      <c r="Y282" s="272">
        <f t="shared" si="129"/>
        <v>0</v>
      </c>
      <c r="Z282" s="272">
        <f t="shared" si="129"/>
        <v>0</v>
      </c>
      <c r="AA282" s="272">
        <f t="shared" si="129"/>
        <v>0</v>
      </c>
      <c r="AB282" s="272">
        <f t="shared" si="129"/>
        <v>0</v>
      </c>
      <c r="AC282" s="272">
        <f t="shared" si="129"/>
        <v>0</v>
      </c>
      <c r="AD282" s="272">
        <f t="shared" si="129"/>
        <v>0</v>
      </c>
      <c r="AE282" s="272">
        <f t="shared" si="129"/>
        <v>0</v>
      </c>
      <c r="AF282" s="272">
        <f t="shared" si="129"/>
        <v>0</v>
      </c>
      <c r="AG282" s="272">
        <f t="shared" si="129"/>
        <v>0</v>
      </c>
      <c r="AH282" s="272">
        <f t="shared" si="129"/>
        <v>0</v>
      </c>
      <c r="AI282" s="272">
        <f t="shared" si="129"/>
        <v>0</v>
      </c>
      <c r="AJ282" s="272">
        <f t="shared" si="129"/>
        <v>0</v>
      </c>
      <c r="AK282" s="272">
        <f t="shared" si="129"/>
        <v>0</v>
      </c>
      <c r="AL282" s="272">
        <f t="shared" si="129"/>
        <v>0</v>
      </c>
      <c r="AM282" s="272">
        <f t="shared" si="129"/>
        <v>0</v>
      </c>
      <c r="AN282" s="272">
        <f t="shared" si="129"/>
        <v>0</v>
      </c>
      <c r="AO282" s="272">
        <f t="shared" si="129"/>
        <v>0</v>
      </c>
      <c r="AP282" s="272">
        <f t="shared" si="129"/>
        <v>0</v>
      </c>
    </row>
    <row r="283" spans="1:42" x14ac:dyDescent="0.2">
      <c r="A283" s="21">
        <f t="shared" si="125"/>
        <v>7</v>
      </c>
      <c r="B283" s="292">
        <f t="shared" si="122"/>
        <v>0</v>
      </c>
      <c r="C283" s="272">
        <f t="shared" ref="C283:AP283" si="130">LOOKUP(C272,$B$261:$AP$261,$B$262:$AP$262)/100*$B572</f>
        <v>0</v>
      </c>
      <c r="D283" s="272">
        <f t="shared" si="130"/>
        <v>0</v>
      </c>
      <c r="E283" s="272">
        <f t="shared" si="130"/>
        <v>0</v>
      </c>
      <c r="F283" s="272">
        <f t="shared" si="130"/>
        <v>0</v>
      </c>
      <c r="G283" s="272">
        <f t="shared" si="130"/>
        <v>0</v>
      </c>
      <c r="H283" s="272">
        <f t="shared" si="130"/>
        <v>0</v>
      </c>
      <c r="I283" s="272">
        <f t="shared" si="130"/>
        <v>0</v>
      </c>
      <c r="J283" s="272">
        <f t="shared" si="130"/>
        <v>0</v>
      </c>
      <c r="K283" s="272">
        <f t="shared" si="130"/>
        <v>0</v>
      </c>
      <c r="L283" s="272">
        <f t="shared" si="130"/>
        <v>0</v>
      </c>
      <c r="M283" s="272">
        <f t="shared" si="130"/>
        <v>0</v>
      </c>
      <c r="N283" s="272">
        <f t="shared" si="130"/>
        <v>0</v>
      </c>
      <c r="O283" s="272">
        <f t="shared" si="130"/>
        <v>0</v>
      </c>
      <c r="P283" s="272">
        <f t="shared" si="130"/>
        <v>0</v>
      </c>
      <c r="Q283" s="272">
        <f t="shared" si="130"/>
        <v>0</v>
      </c>
      <c r="R283" s="272">
        <f t="shared" si="130"/>
        <v>0</v>
      </c>
      <c r="S283" s="272">
        <f t="shared" si="130"/>
        <v>0</v>
      </c>
      <c r="T283" s="272">
        <f t="shared" si="130"/>
        <v>0</v>
      </c>
      <c r="U283" s="272">
        <f t="shared" si="130"/>
        <v>0</v>
      </c>
      <c r="V283" s="272">
        <f t="shared" si="130"/>
        <v>0</v>
      </c>
      <c r="W283" s="272">
        <f t="shared" si="130"/>
        <v>0</v>
      </c>
      <c r="X283" s="272">
        <f t="shared" si="130"/>
        <v>0</v>
      </c>
      <c r="Y283" s="272">
        <f t="shared" si="130"/>
        <v>0</v>
      </c>
      <c r="Z283" s="272">
        <f t="shared" si="130"/>
        <v>0</v>
      </c>
      <c r="AA283" s="272">
        <f t="shared" si="130"/>
        <v>0</v>
      </c>
      <c r="AB283" s="272">
        <f t="shared" si="130"/>
        <v>0</v>
      </c>
      <c r="AC283" s="272">
        <f t="shared" si="130"/>
        <v>0</v>
      </c>
      <c r="AD283" s="272">
        <f t="shared" si="130"/>
        <v>0</v>
      </c>
      <c r="AE283" s="272">
        <f t="shared" si="130"/>
        <v>0</v>
      </c>
      <c r="AF283" s="272">
        <f t="shared" si="130"/>
        <v>0</v>
      </c>
      <c r="AG283" s="272">
        <f t="shared" si="130"/>
        <v>0</v>
      </c>
      <c r="AH283" s="272">
        <f t="shared" si="130"/>
        <v>0</v>
      </c>
      <c r="AI283" s="272">
        <f t="shared" si="130"/>
        <v>0</v>
      </c>
      <c r="AJ283" s="272">
        <f t="shared" si="130"/>
        <v>0</v>
      </c>
      <c r="AK283" s="272">
        <f t="shared" si="130"/>
        <v>0</v>
      </c>
      <c r="AL283" s="272">
        <f t="shared" si="130"/>
        <v>0</v>
      </c>
      <c r="AM283" s="272">
        <f t="shared" si="130"/>
        <v>0</v>
      </c>
      <c r="AN283" s="272">
        <f t="shared" si="130"/>
        <v>0</v>
      </c>
      <c r="AO283" s="272">
        <f t="shared" si="130"/>
        <v>0</v>
      </c>
      <c r="AP283" s="272">
        <f t="shared" si="130"/>
        <v>0</v>
      </c>
    </row>
    <row r="284" spans="1:42" x14ac:dyDescent="0.2">
      <c r="A284" s="21">
        <f t="shared" si="125"/>
        <v>8</v>
      </c>
      <c r="B284" s="292">
        <f t="shared" si="122"/>
        <v>0</v>
      </c>
      <c r="C284" s="272">
        <f t="shared" ref="C284:AP284" si="131">LOOKUP(C273,$B$261:$AP$261,$B$262:$AP$262)/100*$B573</f>
        <v>0</v>
      </c>
      <c r="D284" s="272">
        <f t="shared" si="131"/>
        <v>0</v>
      </c>
      <c r="E284" s="272">
        <f t="shared" si="131"/>
        <v>0</v>
      </c>
      <c r="F284" s="272">
        <f t="shared" si="131"/>
        <v>0</v>
      </c>
      <c r="G284" s="272">
        <f t="shared" si="131"/>
        <v>0</v>
      </c>
      <c r="H284" s="272">
        <f t="shared" si="131"/>
        <v>0</v>
      </c>
      <c r="I284" s="272">
        <f t="shared" si="131"/>
        <v>0</v>
      </c>
      <c r="J284" s="272">
        <f t="shared" si="131"/>
        <v>0</v>
      </c>
      <c r="K284" s="272">
        <f t="shared" si="131"/>
        <v>0</v>
      </c>
      <c r="L284" s="272">
        <f t="shared" si="131"/>
        <v>0</v>
      </c>
      <c r="M284" s="272">
        <f t="shared" si="131"/>
        <v>0</v>
      </c>
      <c r="N284" s="272">
        <f t="shared" si="131"/>
        <v>0</v>
      </c>
      <c r="O284" s="272">
        <f t="shared" si="131"/>
        <v>0</v>
      </c>
      <c r="P284" s="272">
        <f t="shared" si="131"/>
        <v>0</v>
      </c>
      <c r="Q284" s="272">
        <f t="shared" si="131"/>
        <v>0</v>
      </c>
      <c r="R284" s="272">
        <f t="shared" si="131"/>
        <v>0</v>
      </c>
      <c r="S284" s="272">
        <f t="shared" si="131"/>
        <v>0</v>
      </c>
      <c r="T284" s="272">
        <f t="shared" si="131"/>
        <v>0</v>
      </c>
      <c r="U284" s="272">
        <f t="shared" si="131"/>
        <v>0</v>
      </c>
      <c r="V284" s="272">
        <f t="shared" si="131"/>
        <v>0</v>
      </c>
      <c r="W284" s="272">
        <f t="shared" si="131"/>
        <v>0</v>
      </c>
      <c r="X284" s="272">
        <f t="shared" si="131"/>
        <v>0</v>
      </c>
      <c r="Y284" s="272">
        <f t="shared" si="131"/>
        <v>0</v>
      </c>
      <c r="Z284" s="272">
        <f t="shared" si="131"/>
        <v>0</v>
      </c>
      <c r="AA284" s="272">
        <f t="shared" si="131"/>
        <v>0</v>
      </c>
      <c r="AB284" s="272">
        <f t="shared" si="131"/>
        <v>0</v>
      </c>
      <c r="AC284" s="272">
        <f t="shared" si="131"/>
        <v>0</v>
      </c>
      <c r="AD284" s="272">
        <f t="shared" si="131"/>
        <v>0</v>
      </c>
      <c r="AE284" s="272">
        <f t="shared" si="131"/>
        <v>0</v>
      </c>
      <c r="AF284" s="272">
        <f t="shared" si="131"/>
        <v>0</v>
      </c>
      <c r="AG284" s="272">
        <f t="shared" si="131"/>
        <v>0</v>
      </c>
      <c r="AH284" s="272">
        <f t="shared" si="131"/>
        <v>0</v>
      </c>
      <c r="AI284" s="272">
        <f t="shared" si="131"/>
        <v>0</v>
      </c>
      <c r="AJ284" s="272">
        <f t="shared" si="131"/>
        <v>0</v>
      </c>
      <c r="AK284" s="272">
        <f t="shared" si="131"/>
        <v>0</v>
      </c>
      <c r="AL284" s="272">
        <f t="shared" si="131"/>
        <v>0</v>
      </c>
      <c r="AM284" s="272">
        <f t="shared" si="131"/>
        <v>0</v>
      </c>
      <c r="AN284" s="272">
        <f t="shared" si="131"/>
        <v>0</v>
      </c>
      <c r="AO284" s="272">
        <f t="shared" si="131"/>
        <v>0</v>
      </c>
      <c r="AP284" s="272">
        <f t="shared" si="131"/>
        <v>0</v>
      </c>
    </row>
    <row r="285" spans="1:42" x14ac:dyDescent="0.2">
      <c r="A285" s="21">
        <f>A284+1</f>
        <v>9</v>
      </c>
      <c r="B285" s="292">
        <f t="shared" si="122"/>
        <v>0</v>
      </c>
      <c r="C285" s="272">
        <f t="shared" ref="C285:AP285" si="132">LOOKUP(C274,$B$261:$AP$261,$B$262:$AP$262)/100*$B574</f>
        <v>0</v>
      </c>
      <c r="D285" s="272">
        <f t="shared" si="132"/>
        <v>0</v>
      </c>
      <c r="E285" s="272">
        <f t="shared" si="132"/>
        <v>0</v>
      </c>
      <c r="F285" s="272">
        <f t="shared" si="132"/>
        <v>0</v>
      </c>
      <c r="G285" s="272">
        <f t="shared" si="132"/>
        <v>0</v>
      </c>
      <c r="H285" s="272">
        <f t="shared" si="132"/>
        <v>0</v>
      </c>
      <c r="I285" s="272">
        <f t="shared" si="132"/>
        <v>0</v>
      </c>
      <c r="J285" s="272">
        <f t="shared" si="132"/>
        <v>0</v>
      </c>
      <c r="K285" s="272">
        <f t="shared" si="132"/>
        <v>0</v>
      </c>
      <c r="L285" s="272">
        <f t="shared" si="132"/>
        <v>0</v>
      </c>
      <c r="M285" s="272">
        <f t="shared" si="132"/>
        <v>0</v>
      </c>
      <c r="N285" s="272">
        <f t="shared" si="132"/>
        <v>0</v>
      </c>
      <c r="O285" s="272">
        <f t="shared" si="132"/>
        <v>0</v>
      </c>
      <c r="P285" s="272">
        <f t="shared" si="132"/>
        <v>0</v>
      </c>
      <c r="Q285" s="272">
        <f t="shared" si="132"/>
        <v>0</v>
      </c>
      <c r="R285" s="272">
        <f t="shared" si="132"/>
        <v>0</v>
      </c>
      <c r="S285" s="272">
        <f t="shared" si="132"/>
        <v>0</v>
      </c>
      <c r="T285" s="272">
        <f t="shared" si="132"/>
        <v>0</v>
      </c>
      <c r="U285" s="272">
        <f t="shared" si="132"/>
        <v>0</v>
      </c>
      <c r="V285" s="272">
        <f t="shared" si="132"/>
        <v>0</v>
      </c>
      <c r="W285" s="272">
        <f t="shared" si="132"/>
        <v>0</v>
      </c>
      <c r="X285" s="272">
        <f t="shared" si="132"/>
        <v>0</v>
      </c>
      <c r="Y285" s="272">
        <f t="shared" si="132"/>
        <v>0</v>
      </c>
      <c r="Z285" s="272">
        <f t="shared" si="132"/>
        <v>0</v>
      </c>
      <c r="AA285" s="272">
        <f t="shared" si="132"/>
        <v>0</v>
      </c>
      <c r="AB285" s="272">
        <f t="shared" si="132"/>
        <v>0</v>
      </c>
      <c r="AC285" s="272">
        <f t="shared" si="132"/>
        <v>0</v>
      </c>
      <c r="AD285" s="272">
        <f t="shared" si="132"/>
        <v>0</v>
      </c>
      <c r="AE285" s="272">
        <f t="shared" si="132"/>
        <v>0</v>
      </c>
      <c r="AF285" s="272">
        <f t="shared" si="132"/>
        <v>0</v>
      </c>
      <c r="AG285" s="272">
        <f t="shared" si="132"/>
        <v>0</v>
      </c>
      <c r="AH285" s="272">
        <f t="shared" si="132"/>
        <v>0</v>
      </c>
      <c r="AI285" s="272">
        <f t="shared" si="132"/>
        <v>0</v>
      </c>
      <c r="AJ285" s="272">
        <f t="shared" si="132"/>
        <v>0</v>
      </c>
      <c r="AK285" s="272">
        <f t="shared" si="132"/>
        <v>0</v>
      </c>
      <c r="AL285" s="272">
        <f t="shared" si="132"/>
        <v>0</v>
      </c>
      <c r="AM285" s="272">
        <f t="shared" si="132"/>
        <v>0</v>
      </c>
      <c r="AN285" s="272">
        <f t="shared" si="132"/>
        <v>0</v>
      </c>
      <c r="AO285" s="272">
        <f t="shared" si="132"/>
        <v>0</v>
      </c>
      <c r="AP285" s="272">
        <f t="shared" si="132"/>
        <v>0</v>
      </c>
    </row>
    <row r="286" spans="1:42" x14ac:dyDescent="0.2">
      <c r="A286" s="21">
        <f t="shared" si="125"/>
        <v>10</v>
      </c>
      <c r="B286" s="292">
        <f t="shared" si="122"/>
        <v>0</v>
      </c>
      <c r="C286" s="272">
        <f t="shared" ref="C286:AP286" si="133">LOOKUP(C275,$B$261:$AP$261,$B$262:$AP$262)/100*$B575</f>
        <v>0</v>
      </c>
      <c r="D286" s="272">
        <f t="shared" si="133"/>
        <v>0</v>
      </c>
      <c r="E286" s="272">
        <f t="shared" si="133"/>
        <v>0</v>
      </c>
      <c r="F286" s="272">
        <f t="shared" si="133"/>
        <v>0</v>
      </c>
      <c r="G286" s="272">
        <f t="shared" si="133"/>
        <v>0</v>
      </c>
      <c r="H286" s="272">
        <f t="shared" si="133"/>
        <v>0</v>
      </c>
      <c r="I286" s="272">
        <f t="shared" si="133"/>
        <v>0</v>
      </c>
      <c r="J286" s="272">
        <f t="shared" si="133"/>
        <v>0</v>
      </c>
      <c r="K286" s="272">
        <f t="shared" si="133"/>
        <v>0</v>
      </c>
      <c r="L286" s="272">
        <f t="shared" si="133"/>
        <v>0</v>
      </c>
      <c r="M286" s="272">
        <f t="shared" si="133"/>
        <v>0</v>
      </c>
      <c r="N286" s="272">
        <f t="shared" si="133"/>
        <v>0</v>
      </c>
      <c r="O286" s="272">
        <f t="shared" si="133"/>
        <v>0</v>
      </c>
      <c r="P286" s="272">
        <f t="shared" si="133"/>
        <v>0</v>
      </c>
      <c r="Q286" s="272">
        <f t="shared" si="133"/>
        <v>0</v>
      </c>
      <c r="R286" s="272">
        <f t="shared" si="133"/>
        <v>0</v>
      </c>
      <c r="S286" s="272">
        <f t="shared" si="133"/>
        <v>0</v>
      </c>
      <c r="T286" s="272">
        <f t="shared" si="133"/>
        <v>0</v>
      </c>
      <c r="U286" s="272">
        <f t="shared" si="133"/>
        <v>0</v>
      </c>
      <c r="V286" s="272">
        <f t="shared" si="133"/>
        <v>0</v>
      </c>
      <c r="W286" s="272">
        <f t="shared" si="133"/>
        <v>0</v>
      </c>
      <c r="X286" s="272">
        <f t="shared" si="133"/>
        <v>0</v>
      </c>
      <c r="Y286" s="272">
        <f t="shared" si="133"/>
        <v>0</v>
      </c>
      <c r="Z286" s="272">
        <f t="shared" si="133"/>
        <v>0</v>
      </c>
      <c r="AA286" s="272">
        <f t="shared" si="133"/>
        <v>0</v>
      </c>
      <c r="AB286" s="272">
        <f t="shared" si="133"/>
        <v>0</v>
      </c>
      <c r="AC286" s="272">
        <f t="shared" si="133"/>
        <v>0</v>
      </c>
      <c r="AD286" s="272">
        <f t="shared" si="133"/>
        <v>0</v>
      </c>
      <c r="AE286" s="272">
        <f t="shared" si="133"/>
        <v>0</v>
      </c>
      <c r="AF286" s="272">
        <f t="shared" si="133"/>
        <v>0</v>
      </c>
      <c r="AG286" s="272">
        <f t="shared" si="133"/>
        <v>0</v>
      </c>
      <c r="AH286" s="272">
        <f t="shared" si="133"/>
        <v>0</v>
      </c>
      <c r="AI286" s="272">
        <f t="shared" si="133"/>
        <v>0</v>
      </c>
      <c r="AJ286" s="272">
        <f t="shared" si="133"/>
        <v>0</v>
      </c>
      <c r="AK286" s="272">
        <f t="shared" si="133"/>
        <v>0</v>
      </c>
      <c r="AL286" s="272">
        <f t="shared" si="133"/>
        <v>0</v>
      </c>
      <c r="AM286" s="272">
        <f t="shared" si="133"/>
        <v>0</v>
      </c>
      <c r="AN286" s="272">
        <f t="shared" si="133"/>
        <v>0</v>
      </c>
      <c r="AO286" s="272">
        <f t="shared" si="133"/>
        <v>0</v>
      </c>
      <c r="AP286" s="272">
        <f t="shared" si="133"/>
        <v>0</v>
      </c>
    </row>
    <row r="287" spans="1:42" s="21" customFormat="1" ht="12" customHeight="1" x14ac:dyDescent="0.2">
      <c r="A287" s="46" t="s">
        <v>18</v>
      </c>
      <c r="B287" s="273"/>
      <c r="C287" s="273">
        <f>SUM(C277:C286)</f>
        <v>0</v>
      </c>
      <c r="D287" s="273">
        <f t="shared" ref="D287:AP287" si="134">SUM(D277:D286)</f>
        <v>0</v>
      </c>
      <c r="E287" s="273">
        <f t="shared" si="134"/>
        <v>0</v>
      </c>
      <c r="F287" s="273">
        <f t="shared" si="134"/>
        <v>0</v>
      </c>
      <c r="G287" s="273">
        <f t="shared" si="134"/>
        <v>0</v>
      </c>
      <c r="H287" s="273">
        <f t="shared" si="134"/>
        <v>0</v>
      </c>
      <c r="I287" s="273">
        <f t="shared" si="134"/>
        <v>0</v>
      </c>
      <c r="J287" s="273">
        <f t="shared" si="134"/>
        <v>0</v>
      </c>
      <c r="K287" s="273">
        <f t="shared" si="134"/>
        <v>0</v>
      </c>
      <c r="L287" s="273">
        <f t="shared" si="134"/>
        <v>0</v>
      </c>
      <c r="M287" s="273">
        <f t="shared" si="134"/>
        <v>0</v>
      </c>
      <c r="N287" s="273">
        <f t="shared" si="134"/>
        <v>1312086.6578012661</v>
      </c>
      <c r="O287" s="273">
        <f t="shared" si="134"/>
        <v>2099338.6524820258</v>
      </c>
      <c r="P287" s="273">
        <f t="shared" si="134"/>
        <v>1259603.1914892155</v>
      </c>
      <c r="Q287" s="273">
        <f t="shared" si="134"/>
        <v>755761.91489352926</v>
      </c>
      <c r="R287" s="273">
        <f t="shared" si="134"/>
        <v>755761.91489352926</v>
      </c>
      <c r="S287" s="273">
        <f t="shared" si="134"/>
        <v>377880.95744676463</v>
      </c>
      <c r="T287" s="273">
        <f t="shared" si="134"/>
        <v>0</v>
      </c>
      <c r="U287" s="273">
        <f t="shared" si="134"/>
        <v>0</v>
      </c>
      <c r="V287" s="273">
        <f t="shared" si="134"/>
        <v>0</v>
      </c>
      <c r="W287" s="273">
        <f t="shared" si="134"/>
        <v>0</v>
      </c>
      <c r="X287" s="273">
        <f t="shared" si="134"/>
        <v>0</v>
      </c>
      <c r="Y287" s="273">
        <f t="shared" si="134"/>
        <v>0</v>
      </c>
      <c r="Z287" s="273">
        <f t="shared" si="134"/>
        <v>1764610.6825195991</v>
      </c>
      <c r="AA287" s="273">
        <f t="shared" si="134"/>
        <v>2823377.0920313587</v>
      </c>
      <c r="AB287" s="273">
        <f t="shared" si="134"/>
        <v>0</v>
      </c>
      <c r="AC287" s="273">
        <f t="shared" si="134"/>
        <v>0</v>
      </c>
      <c r="AD287" s="273">
        <f t="shared" si="134"/>
        <v>0</v>
      </c>
      <c r="AE287" s="273">
        <f t="shared" si="134"/>
        <v>0</v>
      </c>
      <c r="AF287" s="273">
        <f t="shared" si="134"/>
        <v>0</v>
      </c>
      <c r="AG287" s="273">
        <f t="shared" si="134"/>
        <v>0</v>
      </c>
      <c r="AH287" s="273">
        <f t="shared" si="134"/>
        <v>0</v>
      </c>
      <c r="AI287" s="273">
        <f t="shared" si="134"/>
        <v>0</v>
      </c>
      <c r="AJ287" s="273">
        <f t="shared" si="134"/>
        <v>0</v>
      </c>
      <c r="AK287" s="273">
        <f t="shared" si="134"/>
        <v>0</v>
      </c>
      <c r="AL287" s="273">
        <f t="shared" si="134"/>
        <v>0</v>
      </c>
      <c r="AM287" s="273">
        <f t="shared" si="134"/>
        <v>0</v>
      </c>
      <c r="AN287" s="273">
        <f t="shared" si="134"/>
        <v>0</v>
      </c>
      <c r="AO287" s="273">
        <f t="shared" si="134"/>
        <v>0</v>
      </c>
      <c r="AP287" s="273">
        <f t="shared" si="134"/>
        <v>0</v>
      </c>
    </row>
    <row r="288" spans="1:42" x14ac:dyDescent="0.2">
      <c r="A288" s="3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x14ac:dyDescent="0.2">
      <c r="A289" s="36" t="s">
        <v>142</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x14ac:dyDescent="0.2">
      <c r="A290" s="38" t="s">
        <v>108</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x14ac:dyDescent="0.2">
      <c r="A291" s="21">
        <v>1</v>
      </c>
      <c r="B291" s="7">
        <v>0</v>
      </c>
      <c r="C291" s="272">
        <f>IF(C$2&lt;=analysis_period,IF(SUM($C598:C598)&gt;0,B291+1,0),0)</f>
        <v>0</v>
      </c>
      <c r="D291" s="272">
        <f>IF(D$2&lt;=analysis_period,IF(SUM($C598:D598)&gt;0,C291+1,0),0)</f>
        <v>0</v>
      </c>
      <c r="E291" s="272">
        <f>IF(E$2&lt;=analysis_period,IF(SUM($C598:E598)&gt;0,D291+1,0),0)</f>
        <v>0</v>
      </c>
      <c r="F291" s="272">
        <f>IF(F$2&lt;=analysis_period,IF(SUM($C598:F598)&gt;0,E291+1,0),0)</f>
        <v>0</v>
      </c>
      <c r="G291" s="272">
        <f>IF(G$2&lt;=analysis_period,IF(SUM($C598:G598)&gt;0,F291+1,0),0)</f>
        <v>0</v>
      </c>
      <c r="H291" s="272">
        <f>IF(H$2&lt;=analysis_period,IF(SUM($C598:H598)&gt;0,G291+1,0),0)</f>
        <v>0</v>
      </c>
      <c r="I291" s="272">
        <f>IF(I$2&lt;=analysis_period,IF(SUM($C598:I598)&gt;0,H291+1,0),0)</f>
        <v>0</v>
      </c>
      <c r="J291" s="272">
        <f>IF(J$2&lt;=analysis_period,IF(SUM($C598:J598)&gt;0,I291+1,0),0)</f>
        <v>0</v>
      </c>
      <c r="K291" s="272">
        <f>IF(K$2&lt;=analysis_period,IF(SUM($C598:K598)&gt;0,J291+1,0),0)</f>
        <v>0</v>
      </c>
      <c r="L291" s="272">
        <f>IF(L$2&lt;=analysis_period,IF(SUM($C598:L598)&gt;0,K291+1,0),0)</f>
        <v>0</v>
      </c>
      <c r="M291" s="272">
        <f>IF(M$2&lt;=analysis_period,IF(SUM($C598:M598)&gt;0,L291+1,0),0)</f>
        <v>0</v>
      </c>
      <c r="N291" s="272">
        <f>IF(N$2&lt;=analysis_period,IF(SUM($C598:N598)&gt;0,M291+1,0),0)</f>
        <v>0</v>
      </c>
      <c r="O291" s="272">
        <f>IF(O$2&lt;=analysis_period,IF(SUM($C598:O598)&gt;0,N291+1,0),0)</f>
        <v>0</v>
      </c>
      <c r="P291" s="272">
        <f>IF(P$2&lt;=analysis_period,IF(SUM($C598:P598)&gt;0,O291+1,0),0)</f>
        <v>0</v>
      </c>
      <c r="Q291" s="272">
        <f>IF(Q$2&lt;=analysis_period,IF(SUM($C598:Q598)&gt;0,P291+1,0),0)</f>
        <v>0</v>
      </c>
      <c r="R291" s="272">
        <f>IF(R$2&lt;=analysis_period,IF(SUM($C598:R598)&gt;0,Q291+1,0),0)</f>
        <v>0</v>
      </c>
      <c r="S291" s="272">
        <f>IF(S$2&lt;=analysis_period,IF(SUM($C598:S598)&gt;0,R291+1,0),0)</f>
        <v>0</v>
      </c>
      <c r="T291" s="272">
        <f>IF(T$2&lt;=analysis_period,IF(SUM($C598:T598)&gt;0,S291+1,0),0)</f>
        <v>0</v>
      </c>
      <c r="U291" s="272">
        <f>IF(U$2&lt;=analysis_period,IF(SUM($C598:U598)&gt;0,T291+1,0),0)</f>
        <v>0</v>
      </c>
      <c r="V291" s="272">
        <f>IF(V$2&lt;=analysis_period,IF(SUM($C598:V598)&gt;0,U291+1,0),0)</f>
        <v>0</v>
      </c>
      <c r="W291" s="272">
        <f>IF(W$2&lt;=analysis_period,IF(SUM($C598:W598)&gt;0,V291+1,0),0)</f>
        <v>0</v>
      </c>
      <c r="X291" s="272">
        <f>IF(X$2&lt;=analysis_period,IF(SUM($C598:X598)&gt;0,W291+1,0),0)</f>
        <v>0</v>
      </c>
      <c r="Y291" s="272">
        <f>IF(Y$2&lt;=analysis_period,IF(SUM($C598:Y598)&gt;0,X291+1,0),0)</f>
        <v>0</v>
      </c>
      <c r="Z291" s="272">
        <f>IF(Z$2&lt;=analysis_period,IF(SUM($C598:Z598)&gt;0,Y291+1,0),0)</f>
        <v>0</v>
      </c>
      <c r="AA291" s="272">
        <f>IF(AA$2&lt;=analysis_period,IF(SUM($C598:AA598)&gt;0,Z291+1,0),0)</f>
        <v>0</v>
      </c>
      <c r="AB291" s="272">
        <f>IF(AB$2&lt;=analysis_period,IF(SUM($C598:AB598)&gt;0,AA291+1,0),0)</f>
        <v>0</v>
      </c>
      <c r="AC291" s="272">
        <f>IF(AC$2&lt;=analysis_period,IF(SUM($C598:AC598)&gt;0,AB291+1,0),0)</f>
        <v>0</v>
      </c>
      <c r="AD291" s="272">
        <f>IF(AD$2&lt;=analysis_period,IF(SUM($C598:AD598)&gt;0,AC291+1,0),0)</f>
        <v>0</v>
      </c>
      <c r="AE291" s="272">
        <f>IF(AE$2&lt;=analysis_period,IF(SUM($C598:AE598)&gt;0,AD291+1,0),0)</f>
        <v>0</v>
      </c>
      <c r="AF291" s="272">
        <f>IF(AF$2&lt;=analysis_period,IF(SUM($C598:AF598)&gt;0,AE291+1,0),0)</f>
        <v>0</v>
      </c>
      <c r="AG291" s="272">
        <f>IF(AG$2&lt;=analysis_period,IF(SUM($C598:AG598)&gt;0,AF291+1,0),0)</f>
        <v>0</v>
      </c>
      <c r="AH291" s="272">
        <f>IF(AH$2&lt;=analysis_period,IF(SUM($C598:AH598)&gt;0,AG291+1,0),0)</f>
        <v>0</v>
      </c>
      <c r="AI291" s="272">
        <f>IF(AI$2&lt;=analysis_period,IF(SUM($C598:AI598)&gt;0,AH291+1,0),0)</f>
        <v>0</v>
      </c>
      <c r="AJ291" s="272">
        <f>IF(AJ$2&lt;=analysis_period,IF(SUM($C598:AJ598)&gt;0,AI291+1,0),0)</f>
        <v>0</v>
      </c>
      <c r="AK291" s="272">
        <f>IF(AK$2&lt;=analysis_period,IF(SUM($C598:AK598)&gt;0,AJ291+1,0),0)</f>
        <v>0</v>
      </c>
      <c r="AL291" s="272">
        <f>IF(AL$2&lt;=analysis_period,IF(SUM($C598:AL598)&gt;0,AK291+1,0),0)</f>
        <v>0</v>
      </c>
      <c r="AM291" s="272">
        <f>IF(AM$2&lt;=analysis_period,IF(SUM($C598:AM598)&gt;0,AL291+1,0),0)</f>
        <v>0</v>
      </c>
      <c r="AN291" s="272">
        <f>IF(AN$2&lt;=analysis_period,IF(SUM($C598:AN598)&gt;0,AM291+1,0),0)</f>
        <v>0</v>
      </c>
      <c r="AO291" s="272">
        <f>IF(AO$2&lt;=analysis_period,IF(SUM($C598:AO598)&gt;0,AN291+1,0),0)</f>
        <v>0</v>
      </c>
      <c r="AP291" s="272">
        <f>IF(AP$2&lt;=analysis_period,IF(SUM($C598:AP598)&gt;0,AO291+1,0),0)</f>
        <v>0</v>
      </c>
    </row>
    <row r="292" spans="1:42" x14ac:dyDescent="0.2">
      <c r="A292" s="21">
        <f>A291+1</f>
        <v>2</v>
      </c>
      <c r="B292" s="7">
        <v>0</v>
      </c>
      <c r="C292" s="272">
        <f>IF(C$2&lt;=analysis_period,IF(SUM($C599:C599)&gt;0,B292+1,0),0)</f>
        <v>0</v>
      </c>
      <c r="D292" s="272">
        <f>IF(D$2&lt;=analysis_period,IF(SUM($C599:D599)&gt;0,C292+1,0),0)</f>
        <v>0</v>
      </c>
      <c r="E292" s="272">
        <f>IF(E$2&lt;=analysis_period,IF(SUM($C599:E599)&gt;0,D292+1,0),0)</f>
        <v>0</v>
      </c>
      <c r="F292" s="272">
        <f>IF(F$2&lt;=analysis_period,IF(SUM($C599:F599)&gt;0,E292+1,0),0)</f>
        <v>0</v>
      </c>
      <c r="G292" s="272">
        <f>IF(G$2&lt;=analysis_period,IF(SUM($C599:G599)&gt;0,F292+1,0),0)</f>
        <v>0</v>
      </c>
      <c r="H292" s="272">
        <f>IF(H$2&lt;=analysis_period,IF(SUM($C599:H599)&gt;0,G292+1,0),0)</f>
        <v>0</v>
      </c>
      <c r="I292" s="272">
        <f>IF(I$2&lt;=analysis_period,IF(SUM($C599:I599)&gt;0,H292+1,0),0)</f>
        <v>0</v>
      </c>
      <c r="J292" s="272">
        <f>IF(J$2&lt;=analysis_period,IF(SUM($C599:J599)&gt;0,I292+1,0),0)</f>
        <v>0</v>
      </c>
      <c r="K292" s="272">
        <f>IF(K$2&lt;=analysis_period,IF(SUM($C599:K599)&gt;0,J292+1,0),0)</f>
        <v>0</v>
      </c>
      <c r="L292" s="272">
        <f>IF(L$2&lt;=analysis_period,IF(SUM($C599:L599)&gt;0,K292+1,0),0)</f>
        <v>0</v>
      </c>
      <c r="M292" s="272">
        <f>IF(M$2&lt;=analysis_period,IF(SUM($C599:M599)&gt;0,L292+1,0),0)</f>
        <v>0</v>
      </c>
      <c r="N292" s="272">
        <f>IF(N$2&lt;=analysis_period,IF(SUM($C599:N599)&gt;0,M292+1,0),0)</f>
        <v>0</v>
      </c>
      <c r="O292" s="272">
        <f>IF(O$2&lt;=analysis_period,IF(SUM($C599:O599)&gt;0,N292+1,0),0)</f>
        <v>0</v>
      </c>
      <c r="P292" s="272">
        <f>IF(P$2&lt;=analysis_period,IF(SUM($C599:P599)&gt;0,O292+1,0),0)</f>
        <v>0</v>
      </c>
      <c r="Q292" s="272">
        <f>IF(Q$2&lt;=analysis_period,IF(SUM($C599:Q599)&gt;0,P292+1,0),0)</f>
        <v>0</v>
      </c>
      <c r="R292" s="272">
        <f>IF(R$2&lt;=analysis_period,IF(SUM($C599:R599)&gt;0,Q292+1,0),0)</f>
        <v>0</v>
      </c>
      <c r="S292" s="272">
        <f>IF(S$2&lt;=analysis_period,IF(SUM($C599:S599)&gt;0,R292+1,0),0)</f>
        <v>0</v>
      </c>
      <c r="T292" s="272">
        <f>IF(T$2&lt;=analysis_period,IF(SUM($C599:T599)&gt;0,S292+1,0),0)</f>
        <v>0</v>
      </c>
      <c r="U292" s="272">
        <f>IF(U$2&lt;=analysis_period,IF(SUM($C599:U599)&gt;0,T292+1,0),0)</f>
        <v>0</v>
      </c>
      <c r="V292" s="272">
        <f>IF(V$2&lt;=analysis_period,IF(SUM($C599:V599)&gt;0,U292+1,0),0)</f>
        <v>0</v>
      </c>
      <c r="W292" s="272">
        <f>IF(W$2&lt;=analysis_period,IF(SUM($C599:W599)&gt;0,V292+1,0),0)</f>
        <v>0</v>
      </c>
      <c r="X292" s="272">
        <f>IF(X$2&lt;=analysis_period,IF(SUM($C599:X599)&gt;0,W292+1,0),0)</f>
        <v>0</v>
      </c>
      <c r="Y292" s="272">
        <f>IF(Y$2&lt;=analysis_period,IF(SUM($C599:Y599)&gt;0,X292+1,0),0)</f>
        <v>0</v>
      </c>
      <c r="Z292" s="272">
        <f>IF(Z$2&lt;=analysis_period,IF(SUM($C599:Z599)&gt;0,Y292+1,0),0)</f>
        <v>0</v>
      </c>
      <c r="AA292" s="272">
        <f>IF(AA$2&lt;=analysis_period,IF(SUM($C599:AA599)&gt;0,Z292+1,0),0)</f>
        <v>0</v>
      </c>
      <c r="AB292" s="272">
        <f>IF(AB$2&lt;=analysis_period,IF(SUM($C599:AB599)&gt;0,AA292+1,0),0)</f>
        <v>0</v>
      </c>
      <c r="AC292" s="272">
        <f>IF(AC$2&lt;=analysis_period,IF(SUM($C599:AC599)&gt;0,AB292+1,0),0)</f>
        <v>0</v>
      </c>
      <c r="AD292" s="272">
        <f>IF(AD$2&lt;=analysis_period,IF(SUM($C599:AD599)&gt;0,AC292+1,0),0)</f>
        <v>0</v>
      </c>
      <c r="AE292" s="272">
        <f>IF(AE$2&lt;=analysis_period,IF(SUM($C599:AE599)&gt;0,AD292+1,0),0)</f>
        <v>0</v>
      </c>
      <c r="AF292" s="272">
        <f>IF(AF$2&lt;=analysis_period,IF(SUM($C599:AF599)&gt;0,AE292+1,0),0)</f>
        <v>0</v>
      </c>
      <c r="AG292" s="272">
        <f>IF(AG$2&lt;=analysis_period,IF(SUM($C599:AG599)&gt;0,AF292+1,0),0)</f>
        <v>0</v>
      </c>
      <c r="AH292" s="272">
        <f>IF(AH$2&lt;=analysis_period,IF(SUM($C599:AH599)&gt;0,AG292+1,0),0)</f>
        <v>0</v>
      </c>
      <c r="AI292" s="272">
        <f>IF(AI$2&lt;=analysis_period,IF(SUM($C599:AI599)&gt;0,AH292+1,0),0)</f>
        <v>0</v>
      </c>
      <c r="AJ292" s="272">
        <f>IF(AJ$2&lt;=analysis_period,IF(SUM($C599:AJ599)&gt;0,AI292+1,0),0)</f>
        <v>0</v>
      </c>
      <c r="AK292" s="272">
        <f>IF(AK$2&lt;=analysis_period,IF(SUM($C599:AK599)&gt;0,AJ292+1,0),0)</f>
        <v>0</v>
      </c>
      <c r="AL292" s="272">
        <f>IF(AL$2&lt;=analysis_period,IF(SUM($C599:AL599)&gt;0,AK292+1,0),0)</f>
        <v>0</v>
      </c>
      <c r="AM292" s="272">
        <f>IF(AM$2&lt;=analysis_period,IF(SUM($C599:AM599)&gt;0,AL292+1,0),0)</f>
        <v>0</v>
      </c>
      <c r="AN292" s="272">
        <f>IF(AN$2&lt;=analysis_period,IF(SUM($C599:AN599)&gt;0,AM292+1,0),0)</f>
        <v>0</v>
      </c>
      <c r="AO292" s="272">
        <f>IF(AO$2&lt;=analysis_period,IF(SUM($C599:AO599)&gt;0,AN292+1,0),0)</f>
        <v>0</v>
      </c>
      <c r="AP292" s="272">
        <f>IF(AP$2&lt;=analysis_period,IF(SUM($C599:AP599)&gt;0,AO292+1,0),0)</f>
        <v>0</v>
      </c>
    </row>
    <row r="293" spans="1:42" x14ac:dyDescent="0.2">
      <c r="A293" s="21">
        <f t="shared" ref="A293:A300" si="135">A292+1</f>
        <v>3</v>
      </c>
      <c r="B293" s="7">
        <v>0</v>
      </c>
      <c r="C293" s="272">
        <f>IF(C$2&lt;=analysis_period,IF(SUM($C600:C600)&gt;0,B293+1,0),0)</f>
        <v>0</v>
      </c>
      <c r="D293" s="272">
        <f>IF(D$2&lt;=analysis_period,IF(SUM($C600:D600)&gt;0,C293+1,0),0)</f>
        <v>0</v>
      </c>
      <c r="E293" s="272">
        <f>IF(E$2&lt;=analysis_period,IF(SUM($C600:E600)&gt;0,D293+1,0),0)</f>
        <v>0</v>
      </c>
      <c r="F293" s="272">
        <f>IF(F$2&lt;=analysis_period,IF(SUM($C600:F600)&gt;0,E293+1,0),0)</f>
        <v>0</v>
      </c>
      <c r="G293" s="272">
        <f>IF(G$2&lt;=analysis_period,IF(SUM($C600:G600)&gt;0,F293+1,0),0)</f>
        <v>0</v>
      </c>
      <c r="H293" s="272">
        <f>IF(H$2&lt;=analysis_period,IF(SUM($C600:H600)&gt;0,G293+1,0),0)</f>
        <v>0</v>
      </c>
      <c r="I293" s="272">
        <f>IF(I$2&lt;=analysis_period,IF(SUM($C600:I600)&gt;0,H293+1,0),0)</f>
        <v>0</v>
      </c>
      <c r="J293" s="272">
        <f>IF(J$2&lt;=analysis_period,IF(SUM($C600:J600)&gt;0,I293+1,0),0)</f>
        <v>0</v>
      </c>
      <c r="K293" s="272">
        <f>IF(K$2&lt;=analysis_period,IF(SUM($C600:K600)&gt;0,J293+1,0),0)</f>
        <v>0</v>
      </c>
      <c r="L293" s="272">
        <f>IF(L$2&lt;=analysis_period,IF(SUM($C600:L600)&gt;0,K293+1,0),0)</f>
        <v>0</v>
      </c>
      <c r="M293" s="272">
        <f>IF(M$2&lt;=analysis_period,IF(SUM($C600:M600)&gt;0,L293+1,0),0)</f>
        <v>0</v>
      </c>
      <c r="N293" s="272">
        <f>IF(N$2&lt;=analysis_period,IF(SUM($C600:N600)&gt;0,M293+1,0),0)</f>
        <v>0</v>
      </c>
      <c r="O293" s="272">
        <f>IF(O$2&lt;=analysis_period,IF(SUM($C600:O600)&gt;0,N293+1,0),0)</f>
        <v>0</v>
      </c>
      <c r="P293" s="272">
        <f>IF(P$2&lt;=analysis_period,IF(SUM($C600:P600)&gt;0,O293+1,0),0)</f>
        <v>0</v>
      </c>
      <c r="Q293" s="272">
        <f>IF(Q$2&lt;=analysis_period,IF(SUM($C600:Q600)&gt;0,P293+1,0),0)</f>
        <v>0</v>
      </c>
      <c r="R293" s="272">
        <f>IF(R$2&lt;=analysis_period,IF(SUM($C600:R600)&gt;0,Q293+1,0),0)</f>
        <v>0</v>
      </c>
      <c r="S293" s="272">
        <f>IF(S$2&lt;=analysis_period,IF(SUM($C600:S600)&gt;0,R293+1,0),0)</f>
        <v>0</v>
      </c>
      <c r="T293" s="272">
        <f>IF(T$2&lt;=analysis_period,IF(SUM($C600:T600)&gt;0,S293+1,0),0)</f>
        <v>0</v>
      </c>
      <c r="U293" s="272">
        <f>IF(U$2&lt;=analysis_period,IF(SUM($C600:U600)&gt;0,T293+1,0),0)</f>
        <v>0</v>
      </c>
      <c r="V293" s="272">
        <f>IF(V$2&lt;=analysis_period,IF(SUM($C600:V600)&gt;0,U293+1,0),0)</f>
        <v>0</v>
      </c>
      <c r="W293" s="272">
        <f>IF(W$2&lt;=analysis_period,IF(SUM($C600:W600)&gt;0,V293+1,0),0)</f>
        <v>0</v>
      </c>
      <c r="X293" s="272">
        <f>IF(X$2&lt;=analysis_period,IF(SUM($C600:X600)&gt;0,W293+1,0),0)</f>
        <v>0</v>
      </c>
      <c r="Y293" s="272">
        <f>IF(Y$2&lt;=analysis_period,IF(SUM($C600:Y600)&gt;0,X293+1,0),0)</f>
        <v>0</v>
      </c>
      <c r="Z293" s="272">
        <f>IF(Z$2&lt;=analysis_period,IF(SUM($C600:Z600)&gt;0,Y293+1,0),0)</f>
        <v>0</v>
      </c>
      <c r="AA293" s="272">
        <f>IF(AA$2&lt;=analysis_period,IF(SUM($C600:AA600)&gt;0,Z293+1,0),0)</f>
        <v>0</v>
      </c>
      <c r="AB293" s="272">
        <f>IF(AB$2&lt;=analysis_period,IF(SUM($C600:AB600)&gt;0,AA293+1,0),0)</f>
        <v>0</v>
      </c>
      <c r="AC293" s="272">
        <f>IF(AC$2&lt;=analysis_period,IF(SUM($C600:AC600)&gt;0,AB293+1,0),0)</f>
        <v>0</v>
      </c>
      <c r="AD293" s="272">
        <f>IF(AD$2&lt;=analysis_period,IF(SUM($C600:AD600)&gt;0,AC293+1,0),0)</f>
        <v>0</v>
      </c>
      <c r="AE293" s="272">
        <f>IF(AE$2&lt;=analysis_period,IF(SUM($C600:AE600)&gt;0,AD293+1,0),0)</f>
        <v>0</v>
      </c>
      <c r="AF293" s="272">
        <f>IF(AF$2&lt;=analysis_period,IF(SUM($C600:AF600)&gt;0,AE293+1,0),0)</f>
        <v>0</v>
      </c>
      <c r="AG293" s="272">
        <f>IF(AG$2&lt;=analysis_period,IF(SUM($C600:AG600)&gt;0,AF293+1,0),0)</f>
        <v>0</v>
      </c>
      <c r="AH293" s="272">
        <f>IF(AH$2&lt;=analysis_period,IF(SUM($C600:AH600)&gt;0,AG293+1,0),0)</f>
        <v>0</v>
      </c>
      <c r="AI293" s="272">
        <f>IF(AI$2&lt;=analysis_period,IF(SUM($C600:AI600)&gt;0,AH293+1,0),0)</f>
        <v>0</v>
      </c>
      <c r="AJ293" s="272">
        <f>IF(AJ$2&lt;=analysis_period,IF(SUM($C600:AJ600)&gt;0,AI293+1,0),0)</f>
        <v>0</v>
      </c>
      <c r="AK293" s="272">
        <f>IF(AK$2&lt;=analysis_period,IF(SUM($C600:AK600)&gt;0,AJ293+1,0),0)</f>
        <v>0</v>
      </c>
      <c r="AL293" s="272">
        <f>IF(AL$2&lt;=analysis_period,IF(SUM($C600:AL600)&gt;0,AK293+1,0),0)</f>
        <v>0</v>
      </c>
      <c r="AM293" s="272">
        <f>IF(AM$2&lt;=analysis_period,IF(SUM($C600:AM600)&gt;0,AL293+1,0),0)</f>
        <v>0</v>
      </c>
      <c r="AN293" s="272">
        <f>IF(AN$2&lt;=analysis_period,IF(SUM($C600:AN600)&gt;0,AM293+1,0),0)</f>
        <v>0</v>
      </c>
      <c r="AO293" s="272">
        <f>IF(AO$2&lt;=analysis_period,IF(SUM($C600:AO600)&gt;0,AN293+1,0),0)</f>
        <v>0</v>
      </c>
      <c r="AP293" s="272">
        <f>IF(AP$2&lt;=analysis_period,IF(SUM($C600:AP600)&gt;0,AO293+1,0),0)</f>
        <v>0</v>
      </c>
    </row>
    <row r="294" spans="1:42" x14ac:dyDescent="0.2">
      <c r="A294" s="21">
        <f t="shared" si="135"/>
        <v>4</v>
      </c>
      <c r="B294" s="7">
        <v>0</v>
      </c>
      <c r="C294" s="272">
        <f>IF(C$2&lt;=analysis_period,IF(SUM($C601:C601)&gt;0,B294+1,0),0)</f>
        <v>0</v>
      </c>
      <c r="D294" s="272">
        <f>IF(D$2&lt;=analysis_period,IF(SUM($C601:D601)&gt;0,C294+1,0),0)</f>
        <v>0</v>
      </c>
      <c r="E294" s="272">
        <f>IF(E$2&lt;=analysis_period,IF(SUM($C601:E601)&gt;0,D294+1,0),0)</f>
        <v>0</v>
      </c>
      <c r="F294" s="272">
        <f>IF(F$2&lt;=analysis_period,IF(SUM($C601:F601)&gt;0,E294+1,0),0)</f>
        <v>0</v>
      </c>
      <c r="G294" s="272">
        <f>IF(G$2&lt;=analysis_period,IF(SUM($C601:G601)&gt;0,F294+1,0),0)</f>
        <v>0</v>
      </c>
      <c r="H294" s="272">
        <f>IF(H$2&lt;=analysis_period,IF(SUM($C601:H601)&gt;0,G294+1,0),0)</f>
        <v>0</v>
      </c>
      <c r="I294" s="272">
        <f>IF(I$2&lt;=analysis_period,IF(SUM($C601:I601)&gt;0,H294+1,0),0)</f>
        <v>0</v>
      </c>
      <c r="J294" s="272">
        <f>IF(J$2&lt;=analysis_period,IF(SUM($C601:J601)&gt;0,I294+1,0),0)</f>
        <v>0</v>
      </c>
      <c r="K294" s="272">
        <f>IF(K$2&lt;=analysis_period,IF(SUM($C601:K601)&gt;0,J294+1,0),0)</f>
        <v>0</v>
      </c>
      <c r="L294" s="272">
        <f>IF(L$2&lt;=analysis_period,IF(SUM($C601:L601)&gt;0,K294+1,0),0)</f>
        <v>0</v>
      </c>
      <c r="M294" s="272">
        <f>IF(M$2&lt;=analysis_period,IF(SUM($C601:M601)&gt;0,L294+1,0),0)</f>
        <v>0</v>
      </c>
      <c r="N294" s="272">
        <f>IF(N$2&lt;=analysis_period,IF(SUM($C601:N601)&gt;0,M294+1,0),0)</f>
        <v>0</v>
      </c>
      <c r="O294" s="272">
        <f>IF(O$2&lt;=analysis_period,IF(SUM($C601:O601)&gt;0,N294+1,0),0)</f>
        <v>0</v>
      </c>
      <c r="P294" s="272">
        <f>IF(P$2&lt;=analysis_period,IF(SUM($C601:P601)&gt;0,O294+1,0),0)</f>
        <v>0</v>
      </c>
      <c r="Q294" s="272">
        <f>IF(Q$2&lt;=analysis_period,IF(SUM($C601:Q601)&gt;0,P294+1,0),0)</f>
        <v>0</v>
      </c>
      <c r="R294" s="272">
        <f>IF(R$2&lt;=analysis_period,IF(SUM($C601:R601)&gt;0,Q294+1,0),0)</f>
        <v>0</v>
      </c>
      <c r="S294" s="272">
        <f>IF(S$2&lt;=analysis_period,IF(SUM($C601:S601)&gt;0,R294+1,0),0)</f>
        <v>0</v>
      </c>
      <c r="T294" s="272">
        <f>IF(T$2&lt;=analysis_period,IF(SUM($C601:T601)&gt;0,S294+1,0),0)</f>
        <v>0</v>
      </c>
      <c r="U294" s="272">
        <f>IF(U$2&lt;=analysis_period,IF(SUM($C601:U601)&gt;0,T294+1,0),0)</f>
        <v>0</v>
      </c>
      <c r="V294" s="272">
        <f>IF(V$2&lt;=analysis_period,IF(SUM($C601:V601)&gt;0,U294+1,0),0)</f>
        <v>0</v>
      </c>
      <c r="W294" s="272">
        <f>IF(W$2&lt;=analysis_period,IF(SUM($C601:W601)&gt;0,V294+1,0),0)</f>
        <v>0</v>
      </c>
      <c r="X294" s="272">
        <f>IF(X$2&lt;=analysis_period,IF(SUM($C601:X601)&gt;0,W294+1,0),0)</f>
        <v>0</v>
      </c>
      <c r="Y294" s="272">
        <f>IF(Y$2&lt;=analysis_period,IF(SUM($C601:Y601)&gt;0,X294+1,0),0)</f>
        <v>0</v>
      </c>
      <c r="Z294" s="272">
        <f>IF(Z$2&lt;=analysis_period,IF(SUM($C601:Z601)&gt;0,Y294+1,0),0)</f>
        <v>0</v>
      </c>
      <c r="AA294" s="272">
        <f>IF(AA$2&lt;=analysis_period,IF(SUM($C601:AA601)&gt;0,Z294+1,0),0)</f>
        <v>0</v>
      </c>
      <c r="AB294" s="272">
        <f>IF(AB$2&lt;=analysis_period,IF(SUM($C601:AB601)&gt;0,AA294+1,0),0)</f>
        <v>0</v>
      </c>
      <c r="AC294" s="272">
        <f>IF(AC$2&lt;=analysis_period,IF(SUM($C601:AC601)&gt;0,AB294+1,0),0)</f>
        <v>0</v>
      </c>
      <c r="AD294" s="272">
        <f>IF(AD$2&lt;=analysis_period,IF(SUM($C601:AD601)&gt;0,AC294+1,0),0)</f>
        <v>0</v>
      </c>
      <c r="AE294" s="272">
        <f>IF(AE$2&lt;=analysis_period,IF(SUM($C601:AE601)&gt;0,AD294+1,0),0)</f>
        <v>0</v>
      </c>
      <c r="AF294" s="272">
        <f>IF(AF$2&lt;=analysis_period,IF(SUM($C601:AF601)&gt;0,AE294+1,0),0)</f>
        <v>0</v>
      </c>
      <c r="AG294" s="272">
        <f>IF(AG$2&lt;=analysis_period,IF(SUM($C601:AG601)&gt;0,AF294+1,0),0)</f>
        <v>0</v>
      </c>
      <c r="AH294" s="272">
        <f>IF(AH$2&lt;=analysis_period,IF(SUM($C601:AH601)&gt;0,AG294+1,0),0)</f>
        <v>0</v>
      </c>
      <c r="AI294" s="272">
        <f>IF(AI$2&lt;=analysis_period,IF(SUM($C601:AI601)&gt;0,AH294+1,0),0)</f>
        <v>0</v>
      </c>
      <c r="AJ294" s="272">
        <f>IF(AJ$2&lt;=analysis_period,IF(SUM($C601:AJ601)&gt;0,AI294+1,0),0)</f>
        <v>0</v>
      </c>
      <c r="AK294" s="272">
        <f>IF(AK$2&lt;=analysis_period,IF(SUM($C601:AK601)&gt;0,AJ294+1,0),0)</f>
        <v>0</v>
      </c>
      <c r="AL294" s="272">
        <f>IF(AL$2&lt;=analysis_period,IF(SUM($C601:AL601)&gt;0,AK294+1,0),0)</f>
        <v>0</v>
      </c>
      <c r="AM294" s="272">
        <f>IF(AM$2&lt;=analysis_period,IF(SUM($C601:AM601)&gt;0,AL294+1,0),0)</f>
        <v>0</v>
      </c>
      <c r="AN294" s="272">
        <f>IF(AN$2&lt;=analysis_period,IF(SUM($C601:AN601)&gt;0,AM294+1,0),0)</f>
        <v>0</v>
      </c>
      <c r="AO294" s="272">
        <f>IF(AO$2&lt;=analysis_period,IF(SUM($C601:AO601)&gt;0,AN294+1,0),0)</f>
        <v>0</v>
      </c>
      <c r="AP294" s="272">
        <f>IF(AP$2&lt;=analysis_period,IF(SUM($C601:AP601)&gt;0,AO294+1,0),0)</f>
        <v>0</v>
      </c>
    </row>
    <row r="295" spans="1:42" x14ac:dyDescent="0.2">
      <c r="A295" s="21">
        <f t="shared" si="135"/>
        <v>5</v>
      </c>
      <c r="B295" s="7">
        <v>0</v>
      </c>
      <c r="C295" s="272">
        <f>IF(C$2&lt;=analysis_period,IF(SUM($C602:C602)&gt;0,B295+1,0),0)</f>
        <v>0</v>
      </c>
      <c r="D295" s="272">
        <f>IF(D$2&lt;=analysis_period,IF(SUM($C602:D602)&gt;0,C295+1,0),0)</f>
        <v>0</v>
      </c>
      <c r="E295" s="272">
        <f>IF(E$2&lt;=analysis_period,IF(SUM($C602:E602)&gt;0,D295+1,0),0)</f>
        <v>0</v>
      </c>
      <c r="F295" s="272">
        <f>IF(F$2&lt;=analysis_period,IF(SUM($C602:F602)&gt;0,E295+1,0),0)</f>
        <v>0</v>
      </c>
      <c r="G295" s="272">
        <f>IF(G$2&lt;=analysis_period,IF(SUM($C602:G602)&gt;0,F295+1,0),0)</f>
        <v>0</v>
      </c>
      <c r="H295" s="272">
        <f>IF(H$2&lt;=analysis_period,IF(SUM($C602:H602)&gt;0,G295+1,0),0)</f>
        <v>0</v>
      </c>
      <c r="I295" s="272">
        <f>IF(I$2&lt;=analysis_period,IF(SUM($C602:I602)&gt;0,H295+1,0),0)</f>
        <v>0</v>
      </c>
      <c r="J295" s="272">
        <f>IF(J$2&lt;=analysis_period,IF(SUM($C602:J602)&gt;0,I295+1,0),0)</f>
        <v>0</v>
      </c>
      <c r="K295" s="272">
        <f>IF(K$2&lt;=analysis_period,IF(SUM($C602:K602)&gt;0,J295+1,0),0)</f>
        <v>0</v>
      </c>
      <c r="L295" s="272">
        <f>IF(L$2&lt;=analysis_period,IF(SUM($C602:L602)&gt;0,K295+1,0),0)</f>
        <v>0</v>
      </c>
      <c r="M295" s="272">
        <f>IF(M$2&lt;=analysis_period,IF(SUM($C602:M602)&gt;0,L295+1,0),0)</f>
        <v>0</v>
      </c>
      <c r="N295" s="272">
        <f>IF(N$2&lt;=analysis_period,IF(SUM($C602:N602)&gt;0,M295+1,0),0)</f>
        <v>0</v>
      </c>
      <c r="O295" s="272">
        <f>IF(O$2&lt;=analysis_period,IF(SUM($C602:O602)&gt;0,N295+1,0),0)</f>
        <v>0</v>
      </c>
      <c r="P295" s="272">
        <f>IF(P$2&lt;=analysis_period,IF(SUM($C602:P602)&gt;0,O295+1,0),0)</f>
        <v>0</v>
      </c>
      <c r="Q295" s="272">
        <f>IF(Q$2&lt;=analysis_period,IF(SUM($C602:Q602)&gt;0,P295+1,0),0)</f>
        <v>0</v>
      </c>
      <c r="R295" s="272">
        <f>IF(R$2&lt;=analysis_period,IF(SUM($C602:R602)&gt;0,Q295+1,0),0)</f>
        <v>0</v>
      </c>
      <c r="S295" s="272">
        <f>IF(S$2&lt;=analysis_period,IF(SUM($C602:S602)&gt;0,R295+1,0),0)</f>
        <v>0</v>
      </c>
      <c r="T295" s="272">
        <f>IF(T$2&lt;=analysis_period,IF(SUM($C602:T602)&gt;0,S295+1,0),0)</f>
        <v>0</v>
      </c>
      <c r="U295" s="272">
        <f>IF(U$2&lt;=analysis_period,IF(SUM($C602:U602)&gt;0,T295+1,0),0)</f>
        <v>0</v>
      </c>
      <c r="V295" s="272">
        <f>IF(V$2&lt;=analysis_period,IF(SUM($C602:V602)&gt;0,U295+1,0),0)</f>
        <v>0</v>
      </c>
      <c r="W295" s="272">
        <f>IF(W$2&lt;=analysis_period,IF(SUM($C602:W602)&gt;0,V295+1,0),0)</f>
        <v>0</v>
      </c>
      <c r="X295" s="272">
        <f>IF(X$2&lt;=analysis_period,IF(SUM($C602:X602)&gt;0,W295+1,0),0)</f>
        <v>0</v>
      </c>
      <c r="Y295" s="272">
        <f>IF(Y$2&lt;=analysis_period,IF(SUM($C602:Y602)&gt;0,X295+1,0),0)</f>
        <v>0</v>
      </c>
      <c r="Z295" s="272">
        <f>IF(Z$2&lt;=analysis_period,IF(SUM($C602:Z602)&gt;0,Y295+1,0),0)</f>
        <v>0</v>
      </c>
      <c r="AA295" s="272">
        <f>IF(AA$2&lt;=analysis_period,IF(SUM($C602:AA602)&gt;0,Z295+1,0),0)</f>
        <v>0</v>
      </c>
      <c r="AB295" s="272">
        <f>IF(AB$2&lt;=analysis_period,IF(SUM($C602:AB602)&gt;0,AA295+1,0),0)</f>
        <v>0</v>
      </c>
      <c r="AC295" s="272">
        <f>IF(AC$2&lt;=analysis_period,IF(SUM($C602:AC602)&gt;0,AB295+1,0),0)</f>
        <v>0</v>
      </c>
      <c r="AD295" s="272">
        <f>IF(AD$2&lt;=analysis_period,IF(SUM($C602:AD602)&gt;0,AC295+1,0),0)</f>
        <v>0</v>
      </c>
      <c r="AE295" s="272">
        <f>IF(AE$2&lt;=analysis_period,IF(SUM($C602:AE602)&gt;0,AD295+1,0),0)</f>
        <v>0</v>
      </c>
      <c r="AF295" s="272">
        <f>IF(AF$2&lt;=analysis_period,IF(SUM($C602:AF602)&gt;0,AE295+1,0),0)</f>
        <v>0</v>
      </c>
      <c r="AG295" s="272">
        <f>IF(AG$2&lt;=analysis_period,IF(SUM($C602:AG602)&gt;0,AF295+1,0),0)</f>
        <v>0</v>
      </c>
      <c r="AH295" s="272">
        <f>IF(AH$2&lt;=analysis_period,IF(SUM($C602:AH602)&gt;0,AG295+1,0),0)</f>
        <v>0</v>
      </c>
      <c r="AI295" s="272">
        <f>IF(AI$2&lt;=analysis_period,IF(SUM($C602:AI602)&gt;0,AH295+1,0),0)</f>
        <v>0</v>
      </c>
      <c r="AJ295" s="272">
        <f>IF(AJ$2&lt;=analysis_period,IF(SUM($C602:AJ602)&gt;0,AI295+1,0),0)</f>
        <v>0</v>
      </c>
      <c r="AK295" s="272">
        <f>IF(AK$2&lt;=analysis_period,IF(SUM($C602:AK602)&gt;0,AJ295+1,0),0)</f>
        <v>0</v>
      </c>
      <c r="AL295" s="272">
        <f>IF(AL$2&lt;=analysis_period,IF(SUM($C602:AL602)&gt;0,AK295+1,0),0)</f>
        <v>0</v>
      </c>
      <c r="AM295" s="272">
        <f>IF(AM$2&lt;=analysis_period,IF(SUM($C602:AM602)&gt;0,AL295+1,0),0)</f>
        <v>0</v>
      </c>
      <c r="AN295" s="272">
        <f>IF(AN$2&lt;=analysis_period,IF(SUM($C602:AN602)&gt;0,AM295+1,0),0)</f>
        <v>0</v>
      </c>
      <c r="AO295" s="272">
        <f>IF(AO$2&lt;=analysis_period,IF(SUM($C602:AO602)&gt;0,AN295+1,0),0)</f>
        <v>0</v>
      </c>
      <c r="AP295" s="272">
        <f>IF(AP$2&lt;=analysis_period,IF(SUM($C602:AP602)&gt;0,AO295+1,0),0)</f>
        <v>0</v>
      </c>
    </row>
    <row r="296" spans="1:42" x14ac:dyDescent="0.2">
      <c r="A296" s="21">
        <f t="shared" si="135"/>
        <v>6</v>
      </c>
      <c r="B296" s="7">
        <v>0</v>
      </c>
      <c r="C296" s="272">
        <f>IF(C$2&lt;=analysis_period,IF(SUM($C603:C603)&gt;0,B296+1,0),0)</f>
        <v>0</v>
      </c>
      <c r="D296" s="272">
        <f>IF(D$2&lt;=analysis_period,IF(SUM($C603:D603)&gt;0,C296+1,0),0)</f>
        <v>0</v>
      </c>
      <c r="E296" s="272">
        <f>IF(E$2&lt;=analysis_period,IF(SUM($C603:E603)&gt;0,D296+1,0),0)</f>
        <v>0</v>
      </c>
      <c r="F296" s="272">
        <f>IF(F$2&lt;=analysis_period,IF(SUM($C603:F603)&gt;0,E296+1,0),0)</f>
        <v>0</v>
      </c>
      <c r="G296" s="272">
        <f>IF(G$2&lt;=analysis_period,IF(SUM($C603:G603)&gt;0,F296+1,0),0)</f>
        <v>0</v>
      </c>
      <c r="H296" s="272">
        <f>IF(H$2&lt;=analysis_period,IF(SUM($C603:H603)&gt;0,G296+1,0),0)</f>
        <v>0</v>
      </c>
      <c r="I296" s="272">
        <f>IF(I$2&lt;=analysis_period,IF(SUM($C603:I603)&gt;0,H296+1,0),0)</f>
        <v>0</v>
      </c>
      <c r="J296" s="272">
        <f>IF(J$2&lt;=analysis_period,IF(SUM($C603:J603)&gt;0,I296+1,0),0)</f>
        <v>0</v>
      </c>
      <c r="K296" s="272">
        <f>IF(K$2&lt;=analysis_period,IF(SUM($C603:K603)&gt;0,J296+1,0),0)</f>
        <v>0</v>
      </c>
      <c r="L296" s="272">
        <f>IF(L$2&lt;=analysis_period,IF(SUM($C603:L603)&gt;0,K296+1,0),0)</f>
        <v>0</v>
      </c>
      <c r="M296" s="272">
        <f>IF(M$2&lt;=analysis_period,IF(SUM($C603:M603)&gt;0,L296+1,0),0)</f>
        <v>0</v>
      </c>
      <c r="N296" s="272">
        <f>IF(N$2&lt;=analysis_period,IF(SUM($C603:N603)&gt;0,M296+1,0),0)</f>
        <v>0</v>
      </c>
      <c r="O296" s="272">
        <f>IF(O$2&lt;=analysis_period,IF(SUM($C603:O603)&gt;0,N296+1,0),0)</f>
        <v>0</v>
      </c>
      <c r="P296" s="272">
        <f>IF(P$2&lt;=analysis_period,IF(SUM($C603:P603)&gt;0,O296+1,0),0)</f>
        <v>0</v>
      </c>
      <c r="Q296" s="272">
        <f>IF(Q$2&lt;=analysis_period,IF(SUM($C603:Q603)&gt;0,P296+1,0),0)</f>
        <v>0</v>
      </c>
      <c r="R296" s="272">
        <f>IF(R$2&lt;=analysis_period,IF(SUM($C603:R603)&gt;0,Q296+1,0),0)</f>
        <v>0</v>
      </c>
      <c r="S296" s="272">
        <f>IF(S$2&lt;=analysis_period,IF(SUM($C603:S603)&gt;0,R296+1,0),0)</f>
        <v>0</v>
      </c>
      <c r="T296" s="272">
        <f>IF(T$2&lt;=analysis_period,IF(SUM($C603:T603)&gt;0,S296+1,0),0)</f>
        <v>0</v>
      </c>
      <c r="U296" s="272">
        <f>IF(U$2&lt;=analysis_period,IF(SUM($C603:U603)&gt;0,T296+1,0),0)</f>
        <v>0</v>
      </c>
      <c r="V296" s="272">
        <f>IF(V$2&lt;=analysis_period,IF(SUM($C603:V603)&gt;0,U296+1,0),0)</f>
        <v>0</v>
      </c>
      <c r="W296" s="272">
        <f>IF(W$2&lt;=analysis_period,IF(SUM($C603:W603)&gt;0,V296+1,0),0)</f>
        <v>0</v>
      </c>
      <c r="X296" s="272">
        <f>IF(X$2&lt;=analysis_period,IF(SUM($C603:X603)&gt;0,W296+1,0),0)</f>
        <v>0</v>
      </c>
      <c r="Y296" s="272">
        <f>IF(Y$2&lt;=analysis_period,IF(SUM($C603:Y603)&gt;0,X296+1,0),0)</f>
        <v>0</v>
      </c>
      <c r="Z296" s="272">
        <f>IF(Z$2&lt;=analysis_period,IF(SUM($C603:Z603)&gt;0,Y296+1,0),0)</f>
        <v>0</v>
      </c>
      <c r="AA296" s="272">
        <f>IF(AA$2&lt;=analysis_period,IF(SUM($C603:AA603)&gt;0,Z296+1,0),0)</f>
        <v>0</v>
      </c>
      <c r="AB296" s="272">
        <f>IF(AB$2&lt;=analysis_period,IF(SUM($C603:AB603)&gt;0,AA296+1,0),0)</f>
        <v>0</v>
      </c>
      <c r="AC296" s="272">
        <f>IF(AC$2&lt;=analysis_period,IF(SUM($C603:AC603)&gt;0,AB296+1,0),0)</f>
        <v>0</v>
      </c>
      <c r="AD296" s="272">
        <f>IF(AD$2&lt;=analysis_period,IF(SUM($C603:AD603)&gt;0,AC296+1,0),0)</f>
        <v>0</v>
      </c>
      <c r="AE296" s="272">
        <f>IF(AE$2&lt;=analysis_period,IF(SUM($C603:AE603)&gt;0,AD296+1,0),0)</f>
        <v>0</v>
      </c>
      <c r="AF296" s="272">
        <f>IF(AF$2&lt;=analysis_period,IF(SUM($C603:AF603)&gt;0,AE296+1,0),0)</f>
        <v>0</v>
      </c>
      <c r="AG296" s="272">
        <f>IF(AG$2&lt;=analysis_period,IF(SUM($C603:AG603)&gt;0,AF296+1,0),0)</f>
        <v>0</v>
      </c>
      <c r="AH296" s="272">
        <f>IF(AH$2&lt;=analysis_period,IF(SUM($C603:AH603)&gt;0,AG296+1,0),0)</f>
        <v>0</v>
      </c>
      <c r="AI296" s="272">
        <f>IF(AI$2&lt;=analysis_period,IF(SUM($C603:AI603)&gt;0,AH296+1,0),0)</f>
        <v>0</v>
      </c>
      <c r="AJ296" s="272">
        <f>IF(AJ$2&lt;=analysis_period,IF(SUM($C603:AJ603)&gt;0,AI296+1,0),0)</f>
        <v>0</v>
      </c>
      <c r="AK296" s="272">
        <f>IF(AK$2&lt;=analysis_period,IF(SUM($C603:AK603)&gt;0,AJ296+1,0),0)</f>
        <v>0</v>
      </c>
      <c r="AL296" s="272">
        <f>IF(AL$2&lt;=analysis_period,IF(SUM($C603:AL603)&gt;0,AK296+1,0),0)</f>
        <v>0</v>
      </c>
      <c r="AM296" s="272">
        <f>IF(AM$2&lt;=analysis_period,IF(SUM($C603:AM603)&gt;0,AL296+1,0),0)</f>
        <v>0</v>
      </c>
      <c r="AN296" s="272">
        <f>IF(AN$2&lt;=analysis_period,IF(SUM($C603:AN603)&gt;0,AM296+1,0),0)</f>
        <v>0</v>
      </c>
      <c r="AO296" s="272">
        <f>IF(AO$2&lt;=analysis_period,IF(SUM($C603:AO603)&gt;0,AN296+1,0),0)</f>
        <v>0</v>
      </c>
      <c r="AP296" s="272">
        <f>IF(AP$2&lt;=analysis_period,IF(SUM($C603:AP603)&gt;0,AO296+1,0),0)</f>
        <v>0</v>
      </c>
    </row>
    <row r="297" spans="1:42" x14ac:dyDescent="0.2">
      <c r="A297" s="21">
        <f t="shared" si="135"/>
        <v>7</v>
      </c>
      <c r="B297" s="7">
        <v>0</v>
      </c>
      <c r="C297" s="272">
        <f>IF(C$2&lt;=analysis_period,IF(SUM($C604:C604)&gt;0,B297+1,0),0)</f>
        <v>0</v>
      </c>
      <c r="D297" s="272">
        <f>IF(D$2&lt;=analysis_period,IF(SUM($C604:D604)&gt;0,C297+1,0),0)</f>
        <v>0</v>
      </c>
      <c r="E297" s="272">
        <f>IF(E$2&lt;=analysis_period,IF(SUM($C604:E604)&gt;0,D297+1,0),0)</f>
        <v>0</v>
      </c>
      <c r="F297" s="272">
        <f>IF(F$2&lt;=analysis_period,IF(SUM($C604:F604)&gt;0,E297+1,0),0)</f>
        <v>0</v>
      </c>
      <c r="G297" s="272">
        <f>IF(G$2&lt;=analysis_period,IF(SUM($C604:G604)&gt;0,F297+1,0),0)</f>
        <v>0</v>
      </c>
      <c r="H297" s="272">
        <f>IF(H$2&lt;=analysis_period,IF(SUM($C604:H604)&gt;0,G297+1,0),0)</f>
        <v>0</v>
      </c>
      <c r="I297" s="272">
        <f>IF(I$2&lt;=analysis_period,IF(SUM($C604:I604)&gt;0,H297+1,0),0)</f>
        <v>0</v>
      </c>
      <c r="J297" s="272">
        <f>IF(J$2&lt;=analysis_period,IF(SUM($C604:J604)&gt;0,I297+1,0),0)</f>
        <v>0</v>
      </c>
      <c r="K297" s="272">
        <f>IF(K$2&lt;=analysis_period,IF(SUM($C604:K604)&gt;0,J297+1,0),0)</f>
        <v>0</v>
      </c>
      <c r="L297" s="272">
        <f>IF(L$2&lt;=analysis_period,IF(SUM($C604:L604)&gt;0,K297+1,0),0)</f>
        <v>0</v>
      </c>
      <c r="M297" s="272">
        <f>IF(M$2&lt;=analysis_period,IF(SUM($C604:M604)&gt;0,L297+1,0),0)</f>
        <v>0</v>
      </c>
      <c r="N297" s="272">
        <f>IF(N$2&lt;=analysis_period,IF(SUM($C604:N604)&gt;0,M297+1,0),0)</f>
        <v>0</v>
      </c>
      <c r="O297" s="272">
        <f>IF(O$2&lt;=analysis_period,IF(SUM($C604:O604)&gt;0,N297+1,0),0)</f>
        <v>0</v>
      </c>
      <c r="P297" s="272">
        <f>IF(P$2&lt;=analysis_period,IF(SUM($C604:P604)&gt;0,O297+1,0),0)</f>
        <v>0</v>
      </c>
      <c r="Q297" s="272">
        <f>IF(Q$2&lt;=analysis_period,IF(SUM($C604:Q604)&gt;0,P297+1,0),0)</f>
        <v>0</v>
      </c>
      <c r="R297" s="272">
        <f>IF(R$2&lt;=analysis_period,IF(SUM($C604:R604)&gt;0,Q297+1,0),0)</f>
        <v>0</v>
      </c>
      <c r="S297" s="272">
        <f>IF(S$2&lt;=analysis_period,IF(SUM($C604:S604)&gt;0,R297+1,0),0)</f>
        <v>0</v>
      </c>
      <c r="T297" s="272">
        <f>IF(T$2&lt;=analysis_period,IF(SUM($C604:T604)&gt;0,S297+1,0),0)</f>
        <v>0</v>
      </c>
      <c r="U297" s="272">
        <f>IF(U$2&lt;=analysis_period,IF(SUM($C604:U604)&gt;0,T297+1,0),0)</f>
        <v>0</v>
      </c>
      <c r="V297" s="272">
        <f>IF(V$2&lt;=analysis_period,IF(SUM($C604:V604)&gt;0,U297+1,0),0)</f>
        <v>0</v>
      </c>
      <c r="W297" s="272">
        <f>IF(W$2&lt;=analysis_period,IF(SUM($C604:W604)&gt;0,V297+1,0),0)</f>
        <v>0</v>
      </c>
      <c r="X297" s="272">
        <f>IF(X$2&lt;=analysis_period,IF(SUM($C604:X604)&gt;0,W297+1,0),0)</f>
        <v>0</v>
      </c>
      <c r="Y297" s="272">
        <f>IF(Y$2&lt;=analysis_period,IF(SUM($C604:Y604)&gt;0,X297+1,0),0)</f>
        <v>0</v>
      </c>
      <c r="Z297" s="272">
        <f>IF(Z$2&lt;=analysis_period,IF(SUM($C604:Z604)&gt;0,Y297+1,0),0)</f>
        <v>0</v>
      </c>
      <c r="AA297" s="272">
        <f>IF(AA$2&lt;=analysis_period,IF(SUM($C604:AA604)&gt;0,Z297+1,0),0)</f>
        <v>0</v>
      </c>
      <c r="AB297" s="272">
        <f>IF(AB$2&lt;=analysis_period,IF(SUM($C604:AB604)&gt;0,AA297+1,0),0)</f>
        <v>0</v>
      </c>
      <c r="AC297" s="272">
        <f>IF(AC$2&lt;=analysis_period,IF(SUM($C604:AC604)&gt;0,AB297+1,0),0)</f>
        <v>0</v>
      </c>
      <c r="AD297" s="272">
        <f>IF(AD$2&lt;=analysis_period,IF(SUM($C604:AD604)&gt;0,AC297+1,0),0)</f>
        <v>0</v>
      </c>
      <c r="AE297" s="272">
        <f>IF(AE$2&lt;=analysis_period,IF(SUM($C604:AE604)&gt;0,AD297+1,0),0)</f>
        <v>0</v>
      </c>
      <c r="AF297" s="272">
        <f>IF(AF$2&lt;=analysis_period,IF(SUM($C604:AF604)&gt;0,AE297+1,0),0)</f>
        <v>0</v>
      </c>
      <c r="AG297" s="272">
        <f>IF(AG$2&lt;=analysis_period,IF(SUM($C604:AG604)&gt;0,AF297+1,0),0)</f>
        <v>0</v>
      </c>
      <c r="AH297" s="272">
        <f>IF(AH$2&lt;=analysis_period,IF(SUM($C604:AH604)&gt;0,AG297+1,0),0)</f>
        <v>0</v>
      </c>
      <c r="AI297" s="272">
        <f>IF(AI$2&lt;=analysis_period,IF(SUM($C604:AI604)&gt;0,AH297+1,0),0)</f>
        <v>0</v>
      </c>
      <c r="AJ297" s="272">
        <f>IF(AJ$2&lt;=analysis_period,IF(SUM($C604:AJ604)&gt;0,AI297+1,0),0)</f>
        <v>0</v>
      </c>
      <c r="AK297" s="272">
        <f>IF(AK$2&lt;=analysis_period,IF(SUM($C604:AK604)&gt;0,AJ297+1,0),0)</f>
        <v>0</v>
      </c>
      <c r="AL297" s="272">
        <f>IF(AL$2&lt;=analysis_period,IF(SUM($C604:AL604)&gt;0,AK297+1,0),0)</f>
        <v>0</v>
      </c>
      <c r="AM297" s="272">
        <f>IF(AM$2&lt;=analysis_period,IF(SUM($C604:AM604)&gt;0,AL297+1,0),0)</f>
        <v>0</v>
      </c>
      <c r="AN297" s="272">
        <f>IF(AN$2&lt;=analysis_period,IF(SUM($C604:AN604)&gt;0,AM297+1,0),0)</f>
        <v>0</v>
      </c>
      <c r="AO297" s="272">
        <f>IF(AO$2&lt;=analysis_period,IF(SUM($C604:AO604)&gt;0,AN297+1,0),0)</f>
        <v>0</v>
      </c>
      <c r="AP297" s="272">
        <f>IF(AP$2&lt;=analysis_period,IF(SUM($C604:AP604)&gt;0,AO297+1,0),0)</f>
        <v>0</v>
      </c>
    </row>
    <row r="298" spans="1:42" x14ac:dyDescent="0.2">
      <c r="A298" s="21">
        <f t="shared" si="135"/>
        <v>8</v>
      </c>
      <c r="B298" s="7">
        <v>0</v>
      </c>
      <c r="C298" s="272">
        <f>IF(C$2&lt;=analysis_period,IF(SUM($C605:C605)&gt;0,B298+1,0),0)</f>
        <v>0</v>
      </c>
      <c r="D298" s="272">
        <f>IF(D$2&lt;=analysis_period,IF(SUM($C605:D605)&gt;0,C298+1,0),0)</f>
        <v>0</v>
      </c>
      <c r="E298" s="272">
        <f>IF(E$2&lt;=analysis_period,IF(SUM($C605:E605)&gt;0,D298+1,0),0)</f>
        <v>0</v>
      </c>
      <c r="F298" s="272">
        <f>IF(F$2&lt;=analysis_period,IF(SUM($C605:F605)&gt;0,E298+1,0),0)</f>
        <v>0</v>
      </c>
      <c r="G298" s="272">
        <f>IF(G$2&lt;=analysis_period,IF(SUM($C605:G605)&gt;0,F298+1,0),0)</f>
        <v>0</v>
      </c>
      <c r="H298" s="272">
        <f>IF(H$2&lt;=analysis_period,IF(SUM($C605:H605)&gt;0,G298+1,0),0)</f>
        <v>0</v>
      </c>
      <c r="I298" s="272">
        <f>IF(I$2&lt;=analysis_period,IF(SUM($C605:I605)&gt;0,H298+1,0),0)</f>
        <v>0</v>
      </c>
      <c r="J298" s="272">
        <f>IF(J$2&lt;=analysis_period,IF(SUM($C605:J605)&gt;0,I298+1,0),0)</f>
        <v>0</v>
      </c>
      <c r="K298" s="272">
        <f>IF(K$2&lt;=analysis_period,IF(SUM($C605:K605)&gt;0,J298+1,0),0)</f>
        <v>0</v>
      </c>
      <c r="L298" s="272">
        <f>IF(L$2&lt;=analysis_period,IF(SUM($C605:L605)&gt;0,K298+1,0),0)</f>
        <v>0</v>
      </c>
      <c r="M298" s="272">
        <f>IF(M$2&lt;=analysis_period,IF(SUM($C605:M605)&gt;0,L298+1,0),0)</f>
        <v>0</v>
      </c>
      <c r="N298" s="272">
        <f>IF(N$2&lt;=analysis_period,IF(SUM($C605:N605)&gt;0,M298+1,0),0)</f>
        <v>0</v>
      </c>
      <c r="O298" s="272">
        <f>IF(O$2&lt;=analysis_period,IF(SUM($C605:O605)&gt;0,N298+1,0),0)</f>
        <v>0</v>
      </c>
      <c r="P298" s="272">
        <f>IF(P$2&lt;=analysis_period,IF(SUM($C605:P605)&gt;0,O298+1,0),0)</f>
        <v>0</v>
      </c>
      <c r="Q298" s="272">
        <f>IF(Q$2&lt;=analysis_period,IF(SUM($C605:Q605)&gt;0,P298+1,0),0)</f>
        <v>0</v>
      </c>
      <c r="R298" s="272">
        <f>IF(R$2&lt;=analysis_period,IF(SUM($C605:R605)&gt;0,Q298+1,0),0)</f>
        <v>0</v>
      </c>
      <c r="S298" s="272">
        <f>IF(S$2&lt;=analysis_period,IF(SUM($C605:S605)&gt;0,R298+1,0),0)</f>
        <v>0</v>
      </c>
      <c r="T298" s="272">
        <f>IF(T$2&lt;=analysis_period,IF(SUM($C605:T605)&gt;0,S298+1,0),0)</f>
        <v>0</v>
      </c>
      <c r="U298" s="272">
        <f>IF(U$2&lt;=analysis_period,IF(SUM($C605:U605)&gt;0,T298+1,0),0)</f>
        <v>0</v>
      </c>
      <c r="V298" s="272">
        <f>IF(V$2&lt;=analysis_period,IF(SUM($C605:V605)&gt;0,U298+1,0),0)</f>
        <v>0</v>
      </c>
      <c r="W298" s="272">
        <f>IF(W$2&lt;=analysis_period,IF(SUM($C605:W605)&gt;0,V298+1,0),0)</f>
        <v>0</v>
      </c>
      <c r="X298" s="272">
        <f>IF(X$2&lt;=analysis_period,IF(SUM($C605:X605)&gt;0,W298+1,0),0)</f>
        <v>0</v>
      </c>
      <c r="Y298" s="272">
        <f>IF(Y$2&lt;=analysis_period,IF(SUM($C605:Y605)&gt;0,X298+1,0),0)</f>
        <v>0</v>
      </c>
      <c r="Z298" s="272">
        <f>IF(Z$2&lt;=analysis_period,IF(SUM($C605:Z605)&gt;0,Y298+1,0),0)</f>
        <v>0</v>
      </c>
      <c r="AA298" s="272">
        <f>IF(AA$2&lt;=analysis_period,IF(SUM($C605:AA605)&gt;0,Z298+1,0),0)</f>
        <v>0</v>
      </c>
      <c r="AB298" s="272">
        <f>IF(AB$2&lt;=analysis_period,IF(SUM($C605:AB605)&gt;0,AA298+1,0),0)</f>
        <v>0</v>
      </c>
      <c r="AC298" s="272">
        <f>IF(AC$2&lt;=analysis_period,IF(SUM($C605:AC605)&gt;0,AB298+1,0),0)</f>
        <v>0</v>
      </c>
      <c r="AD298" s="272">
        <f>IF(AD$2&lt;=analysis_period,IF(SUM($C605:AD605)&gt;0,AC298+1,0),0)</f>
        <v>0</v>
      </c>
      <c r="AE298" s="272">
        <f>IF(AE$2&lt;=analysis_period,IF(SUM($C605:AE605)&gt;0,AD298+1,0),0)</f>
        <v>0</v>
      </c>
      <c r="AF298" s="272">
        <f>IF(AF$2&lt;=analysis_period,IF(SUM($C605:AF605)&gt;0,AE298+1,0),0)</f>
        <v>0</v>
      </c>
      <c r="AG298" s="272">
        <f>IF(AG$2&lt;=analysis_period,IF(SUM($C605:AG605)&gt;0,AF298+1,0),0)</f>
        <v>0</v>
      </c>
      <c r="AH298" s="272">
        <f>IF(AH$2&lt;=analysis_period,IF(SUM($C605:AH605)&gt;0,AG298+1,0),0)</f>
        <v>0</v>
      </c>
      <c r="AI298" s="272">
        <f>IF(AI$2&lt;=analysis_period,IF(SUM($C605:AI605)&gt;0,AH298+1,0),0)</f>
        <v>0</v>
      </c>
      <c r="AJ298" s="272">
        <f>IF(AJ$2&lt;=analysis_period,IF(SUM($C605:AJ605)&gt;0,AI298+1,0),0)</f>
        <v>0</v>
      </c>
      <c r="AK298" s="272">
        <f>IF(AK$2&lt;=analysis_period,IF(SUM($C605:AK605)&gt;0,AJ298+1,0),0)</f>
        <v>0</v>
      </c>
      <c r="AL298" s="272">
        <f>IF(AL$2&lt;=analysis_period,IF(SUM($C605:AL605)&gt;0,AK298+1,0),0)</f>
        <v>0</v>
      </c>
      <c r="AM298" s="272">
        <f>IF(AM$2&lt;=analysis_period,IF(SUM($C605:AM605)&gt;0,AL298+1,0),0)</f>
        <v>0</v>
      </c>
      <c r="AN298" s="272">
        <f>IF(AN$2&lt;=analysis_period,IF(SUM($C605:AN605)&gt;0,AM298+1,0),0)</f>
        <v>0</v>
      </c>
      <c r="AO298" s="272">
        <f>IF(AO$2&lt;=analysis_period,IF(SUM($C605:AO605)&gt;0,AN298+1,0),0)</f>
        <v>0</v>
      </c>
      <c r="AP298" s="272">
        <f>IF(AP$2&lt;=analysis_period,IF(SUM($C605:AP605)&gt;0,AO298+1,0),0)</f>
        <v>0</v>
      </c>
    </row>
    <row r="299" spans="1:42" x14ac:dyDescent="0.2">
      <c r="A299" s="21">
        <f>A298+1</f>
        <v>9</v>
      </c>
      <c r="B299" s="7">
        <v>0</v>
      </c>
      <c r="C299" s="272">
        <f>IF(C$2&lt;=analysis_period,IF(SUM($C606:C606)&gt;0,B299+1,0),0)</f>
        <v>0</v>
      </c>
      <c r="D299" s="272">
        <f>IF(D$2&lt;=analysis_period,IF(SUM($C606:D606)&gt;0,C299+1,0),0)</f>
        <v>0</v>
      </c>
      <c r="E299" s="272">
        <f>IF(E$2&lt;=analysis_period,IF(SUM($C606:E606)&gt;0,D299+1,0),0)</f>
        <v>0</v>
      </c>
      <c r="F299" s="272">
        <f>IF(F$2&lt;=analysis_period,IF(SUM($C606:F606)&gt;0,E299+1,0),0)</f>
        <v>0</v>
      </c>
      <c r="G299" s="272">
        <f>IF(G$2&lt;=analysis_period,IF(SUM($C606:G606)&gt;0,F299+1,0),0)</f>
        <v>0</v>
      </c>
      <c r="H299" s="272">
        <f>IF(H$2&lt;=analysis_period,IF(SUM($C606:H606)&gt;0,G299+1,0),0)</f>
        <v>0</v>
      </c>
      <c r="I299" s="272">
        <f>IF(I$2&lt;=analysis_period,IF(SUM($C606:I606)&gt;0,H299+1,0),0)</f>
        <v>0</v>
      </c>
      <c r="J299" s="272">
        <f>IF(J$2&lt;=analysis_period,IF(SUM($C606:J606)&gt;0,I299+1,0),0)</f>
        <v>0</v>
      </c>
      <c r="K299" s="272">
        <f>IF(K$2&lt;=analysis_period,IF(SUM($C606:K606)&gt;0,J299+1,0),0)</f>
        <v>0</v>
      </c>
      <c r="L299" s="272">
        <f>IF(L$2&lt;=analysis_period,IF(SUM($C606:L606)&gt;0,K299+1,0),0)</f>
        <v>0</v>
      </c>
      <c r="M299" s="272">
        <f>IF(M$2&lt;=analysis_period,IF(SUM($C606:M606)&gt;0,L299+1,0),0)</f>
        <v>0</v>
      </c>
      <c r="N299" s="272">
        <f>IF(N$2&lt;=analysis_period,IF(SUM($C606:N606)&gt;0,M299+1,0),0)</f>
        <v>0</v>
      </c>
      <c r="O299" s="272">
        <f>IF(O$2&lt;=analysis_period,IF(SUM($C606:O606)&gt;0,N299+1,0),0)</f>
        <v>0</v>
      </c>
      <c r="P299" s="272">
        <f>IF(P$2&lt;=analysis_period,IF(SUM($C606:P606)&gt;0,O299+1,0),0)</f>
        <v>0</v>
      </c>
      <c r="Q299" s="272">
        <f>IF(Q$2&lt;=analysis_period,IF(SUM($C606:Q606)&gt;0,P299+1,0),0)</f>
        <v>0</v>
      </c>
      <c r="R299" s="272">
        <f>IF(R$2&lt;=analysis_period,IF(SUM($C606:R606)&gt;0,Q299+1,0),0)</f>
        <v>0</v>
      </c>
      <c r="S299" s="272">
        <f>IF(S$2&lt;=analysis_period,IF(SUM($C606:S606)&gt;0,R299+1,0),0)</f>
        <v>0</v>
      </c>
      <c r="T299" s="272">
        <f>IF(T$2&lt;=analysis_period,IF(SUM($C606:T606)&gt;0,S299+1,0),0)</f>
        <v>0</v>
      </c>
      <c r="U299" s="272">
        <f>IF(U$2&lt;=analysis_period,IF(SUM($C606:U606)&gt;0,T299+1,0),0)</f>
        <v>0</v>
      </c>
      <c r="V299" s="272">
        <f>IF(V$2&lt;=analysis_period,IF(SUM($C606:V606)&gt;0,U299+1,0),0)</f>
        <v>0</v>
      </c>
      <c r="W299" s="272">
        <f>IF(W$2&lt;=analysis_period,IF(SUM($C606:W606)&gt;0,V299+1,0),0)</f>
        <v>0</v>
      </c>
      <c r="X299" s="272">
        <f>IF(X$2&lt;=analysis_period,IF(SUM($C606:X606)&gt;0,W299+1,0),0)</f>
        <v>0</v>
      </c>
      <c r="Y299" s="272">
        <f>IF(Y$2&lt;=analysis_period,IF(SUM($C606:Y606)&gt;0,X299+1,0),0)</f>
        <v>0</v>
      </c>
      <c r="Z299" s="272">
        <f>IF(Z$2&lt;=analysis_period,IF(SUM($C606:Z606)&gt;0,Y299+1,0),0)</f>
        <v>0</v>
      </c>
      <c r="AA299" s="272">
        <f>IF(AA$2&lt;=analysis_period,IF(SUM($C606:AA606)&gt;0,Z299+1,0),0)</f>
        <v>0</v>
      </c>
      <c r="AB299" s="272">
        <f>IF(AB$2&lt;=analysis_period,IF(SUM($C606:AB606)&gt;0,AA299+1,0),0)</f>
        <v>0</v>
      </c>
      <c r="AC299" s="272">
        <f>IF(AC$2&lt;=analysis_period,IF(SUM($C606:AC606)&gt;0,AB299+1,0),0)</f>
        <v>0</v>
      </c>
      <c r="AD299" s="272">
        <f>IF(AD$2&lt;=analysis_period,IF(SUM($C606:AD606)&gt;0,AC299+1,0),0)</f>
        <v>0</v>
      </c>
      <c r="AE299" s="272">
        <f>IF(AE$2&lt;=analysis_period,IF(SUM($C606:AE606)&gt;0,AD299+1,0),0)</f>
        <v>0</v>
      </c>
      <c r="AF299" s="272">
        <f>IF(AF$2&lt;=analysis_period,IF(SUM($C606:AF606)&gt;0,AE299+1,0),0)</f>
        <v>0</v>
      </c>
      <c r="AG299" s="272">
        <f>IF(AG$2&lt;=analysis_period,IF(SUM($C606:AG606)&gt;0,AF299+1,0),0)</f>
        <v>0</v>
      </c>
      <c r="AH299" s="272">
        <f>IF(AH$2&lt;=analysis_period,IF(SUM($C606:AH606)&gt;0,AG299+1,0),0)</f>
        <v>0</v>
      </c>
      <c r="AI299" s="272">
        <f>IF(AI$2&lt;=analysis_period,IF(SUM($C606:AI606)&gt;0,AH299+1,0),0)</f>
        <v>0</v>
      </c>
      <c r="AJ299" s="272">
        <f>IF(AJ$2&lt;=analysis_period,IF(SUM($C606:AJ606)&gt;0,AI299+1,0),0)</f>
        <v>0</v>
      </c>
      <c r="AK299" s="272">
        <f>IF(AK$2&lt;=analysis_period,IF(SUM($C606:AK606)&gt;0,AJ299+1,0),0)</f>
        <v>0</v>
      </c>
      <c r="AL299" s="272">
        <f>IF(AL$2&lt;=analysis_period,IF(SUM($C606:AL606)&gt;0,AK299+1,0),0)</f>
        <v>0</v>
      </c>
      <c r="AM299" s="272">
        <f>IF(AM$2&lt;=analysis_period,IF(SUM($C606:AM606)&gt;0,AL299+1,0),0)</f>
        <v>0</v>
      </c>
      <c r="AN299" s="272">
        <f>IF(AN$2&lt;=analysis_period,IF(SUM($C606:AN606)&gt;0,AM299+1,0),0)</f>
        <v>0</v>
      </c>
      <c r="AO299" s="272">
        <f>IF(AO$2&lt;=analysis_period,IF(SUM($C606:AO606)&gt;0,AN299+1,0),0)</f>
        <v>0</v>
      </c>
      <c r="AP299" s="272">
        <f>IF(AP$2&lt;=analysis_period,IF(SUM($C606:AP606)&gt;0,AO299+1,0),0)</f>
        <v>0</v>
      </c>
    </row>
    <row r="300" spans="1:42" x14ac:dyDescent="0.2">
      <c r="A300" s="21">
        <f t="shared" si="135"/>
        <v>10</v>
      </c>
      <c r="B300" s="7">
        <v>0</v>
      </c>
      <c r="C300" s="272">
        <f>IF(C$2&lt;=analysis_period,IF(SUM($C607:C607)&gt;0,B300+1,0),0)</f>
        <v>0</v>
      </c>
      <c r="D300" s="272">
        <f>IF(D$2&lt;=analysis_period,IF(SUM($C607:D607)&gt;0,C300+1,0),0)</f>
        <v>0</v>
      </c>
      <c r="E300" s="272">
        <f>IF(E$2&lt;=analysis_period,IF(SUM($C607:E607)&gt;0,D300+1,0),0)</f>
        <v>0</v>
      </c>
      <c r="F300" s="272">
        <f>IF(F$2&lt;=analysis_period,IF(SUM($C607:F607)&gt;0,E300+1,0),0)</f>
        <v>0</v>
      </c>
      <c r="G300" s="272">
        <f>IF(G$2&lt;=analysis_period,IF(SUM($C607:G607)&gt;0,F300+1,0),0)</f>
        <v>0</v>
      </c>
      <c r="H300" s="272">
        <f>IF(H$2&lt;=analysis_period,IF(SUM($C607:H607)&gt;0,G300+1,0),0)</f>
        <v>0</v>
      </c>
      <c r="I300" s="272">
        <f>IF(I$2&lt;=analysis_period,IF(SUM($C607:I607)&gt;0,H300+1,0),0)</f>
        <v>0</v>
      </c>
      <c r="J300" s="272">
        <f>IF(J$2&lt;=analysis_period,IF(SUM($C607:J607)&gt;0,I300+1,0),0)</f>
        <v>0</v>
      </c>
      <c r="K300" s="272">
        <f>IF(K$2&lt;=analysis_period,IF(SUM($C607:K607)&gt;0,J300+1,0),0)</f>
        <v>0</v>
      </c>
      <c r="L300" s="272">
        <f>IF(L$2&lt;=analysis_period,IF(SUM($C607:L607)&gt;0,K300+1,0),0)</f>
        <v>0</v>
      </c>
      <c r="M300" s="272">
        <f>IF(M$2&lt;=analysis_period,IF(SUM($C607:M607)&gt;0,L300+1,0),0)</f>
        <v>0</v>
      </c>
      <c r="N300" s="272">
        <f>IF(N$2&lt;=analysis_period,IF(SUM($C607:N607)&gt;0,M300+1,0),0)</f>
        <v>0</v>
      </c>
      <c r="O300" s="272">
        <f>IF(O$2&lt;=analysis_period,IF(SUM($C607:O607)&gt;0,N300+1,0),0)</f>
        <v>0</v>
      </c>
      <c r="P300" s="272">
        <f>IF(P$2&lt;=analysis_period,IF(SUM($C607:P607)&gt;0,O300+1,0),0)</f>
        <v>0</v>
      </c>
      <c r="Q300" s="272">
        <f>IF(Q$2&lt;=analysis_period,IF(SUM($C607:Q607)&gt;0,P300+1,0),0)</f>
        <v>0</v>
      </c>
      <c r="R300" s="272">
        <f>IF(R$2&lt;=analysis_period,IF(SUM($C607:R607)&gt;0,Q300+1,0),0)</f>
        <v>0</v>
      </c>
      <c r="S300" s="272">
        <f>IF(S$2&lt;=analysis_period,IF(SUM($C607:S607)&gt;0,R300+1,0),0)</f>
        <v>0</v>
      </c>
      <c r="T300" s="272">
        <f>IF(T$2&lt;=analysis_period,IF(SUM($C607:T607)&gt;0,S300+1,0),0)</f>
        <v>0</v>
      </c>
      <c r="U300" s="272">
        <f>IF(U$2&lt;=analysis_period,IF(SUM($C607:U607)&gt;0,T300+1,0),0)</f>
        <v>0</v>
      </c>
      <c r="V300" s="272">
        <f>IF(V$2&lt;=analysis_period,IF(SUM($C607:V607)&gt;0,U300+1,0),0)</f>
        <v>0</v>
      </c>
      <c r="W300" s="272">
        <f>IF(W$2&lt;=analysis_period,IF(SUM($C607:W607)&gt;0,V300+1,0),0)</f>
        <v>0</v>
      </c>
      <c r="X300" s="272">
        <f>IF(X$2&lt;=analysis_period,IF(SUM($C607:X607)&gt;0,W300+1,0),0)</f>
        <v>0</v>
      </c>
      <c r="Y300" s="272">
        <f>IF(Y$2&lt;=analysis_period,IF(SUM($C607:Y607)&gt;0,X300+1,0),0)</f>
        <v>0</v>
      </c>
      <c r="Z300" s="272">
        <f>IF(Z$2&lt;=analysis_period,IF(SUM($C607:Z607)&gt;0,Y300+1,0),0)</f>
        <v>0</v>
      </c>
      <c r="AA300" s="272">
        <f>IF(AA$2&lt;=analysis_period,IF(SUM($C607:AA607)&gt;0,Z300+1,0),0)</f>
        <v>0</v>
      </c>
      <c r="AB300" s="272">
        <f>IF(AB$2&lt;=analysis_period,IF(SUM($C607:AB607)&gt;0,AA300+1,0),0)</f>
        <v>0</v>
      </c>
      <c r="AC300" s="272">
        <f>IF(AC$2&lt;=analysis_period,IF(SUM($C607:AC607)&gt;0,AB300+1,0),0)</f>
        <v>0</v>
      </c>
      <c r="AD300" s="272">
        <f>IF(AD$2&lt;=analysis_period,IF(SUM($C607:AD607)&gt;0,AC300+1,0),0)</f>
        <v>0</v>
      </c>
      <c r="AE300" s="272">
        <f>IF(AE$2&lt;=analysis_period,IF(SUM($C607:AE607)&gt;0,AD300+1,0),0)</f>
        <v>0</v>
      </c>
      <c r="AF300" s="272">
        <f>IF(AF$2&lt;=analysis_period,IF(SUM($C607:AF607)&gt;0,AE300+1,0),0)</f>
        <v>0</v>
      </c>
      <c r="AG300" s="272">
        <f>IF(AG$2&lt;=analysis_period,IF(SUM($C607:AG607)&gt;0,AF300+1,0),0)</f>
        <v>0</v>
      </c>
      <c r="AH300" s="272">
        <f>IF(AH$2&lt;=analysis_period,IF(SUM($C607:AH607)&gt;0,AG300+1,0),0)</f>
        <v>0</v>
      </c>
      <c r="AI300" s="272">
        <f>IF(AI$2&lt;=analysis_period,IF(SUM($C607:AI607)&gt;0,AH300+1,0),0)</f>
        <v>0</v>
      </c>
      <c r="AJ300" s="272">
        <f>IF(AJ$2&lt;=analysis_period,IF(SUM($C607:AJ607)&gt;0,AI300+1,0),0)</f>
        <v>0</v>
      </c>
      <c r="AK300" s="272">
        <f>IF(AK$2&lt;=analysis_period,IF(SUM($C607:AK607)&gt;0,AJ300+1,0),0)</f>
        <v>0</v>
      </c>
      <c r="AL300" s="272">
        <f>IF(AL$2&lt;=analysis_period,IF(SUM($C607:AL607)&gt;0,AK300+1,0),0)</f>
        <v>0</v>
      </c>
      <c r="AM300" s="272">
        <f>IF(AM$2&lt;=analysis_period,IF(SUM($C607:AM607)&gt;0,AL300+1,0),0)</f>
        <v>0</v>
      </c>
      <c r="AN300" s="272">
        <f>IF(AN$2&lt;=analysis_period,IF(SUM($C607:AN607)&gt;0,AM300+1,0),0)</f>
        <v>0</v>
      </c>
      <c r="AO300" s="272">
        <f>IF(AO$2&lt;=analysis_period,IF(SUM($C607:AO607)&gt;0,AN300+1,0),0)</f>
        <v>0</v>
      </c>
      <c r="AP300" s="272">
        <f>IF(AP$2&lt;=analysis_period,IF(SUM($C607:AP607)&gt;0,AO300+1,0),0)</f>
        <v>0</v>
      </c>
    </row>
    <row r="301" spans="1:42" x14ac:dyDescent="0.2">
      <c r="A301" s="3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x14ac:dyDescent="0.2">
      <c r="A302" s="38" t="s">
        <v>112</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x14ac:dyDescent="0.2">
      <c r="A303" s="21">
        <v>1</v>
      </c>
      <c r="B303" s="292">
        <f t="shared" ref="B303:B312" si="136">SUM(C303:AP303)</f>
        <v>0</v>
      </c>
      <c r="C303" s="294">
        <f>LOOKUP(C291,$B$261:$AP$261,$B$262:$AP$262)/100*$B598</f>
        <v>0</v>
      </c>
      <c r="D303" s="294">
        <f t="shared" ref="D303:AP303" si="137">LOOKUP(D291,$B$261:$AP$261,$B$262:$AP$262)/100*$B598</f>
        <v>0</v>
      </c>
      <c r="E303" s="294">
        <f t="shared" si="137"/>
        <v>0</v>
      </c>
      <c r="F303" s="294">
        <f t="shared" si="137"/>
        <v>0</v>
      </c>
      <c r="G303" s="294">
        <f t="shared" si="137"/>
        <v>0</v>
      </c>
      <c r="H303" s="294">
        <f t="shared" si="137"/>
        <v>0</v>
      </c>
      <c r="I303" s="294">
        <f t="shared" si="137"/>
        <v>0</v>
      </c>
      <c r="J303" s="294">
        <f t="shared" si="137"/>
        <v>0</v>
      </c>
      <c r="K303" s="294">
        <f t="shared" si="137"/>
        <v>0</v>
      </c>
      <c r="L303" s="294">
        <f t="shared" si="137"/>
        <v>0</v>
      </c>
      <c r="M303" s="294">
        <f t="shared" si="137"/>
        <v>0</v>
      </c>
      <c r="N303" s="294">
        <f t="shared" si="137"/>
        <v>0</v>
      </c>
      <c r="O303" s="294">
        <f t="shared" si="137"/>
        <v>0</v>
      </c>
      <c r="P303" s="294">
        <f t="shared" si="137"/>
        <v>0</v>
      </c>
      <c r="Q303" s="294">
        <f t="shared" si="137"/>
        <v>0</v>
      </c>
      <c r="R303" s="294">
        <f t="shared" si="137"/>
        <v>0</v>
      </c>
      <c r="S303" s="294">
        <f t="shared" si="137"/>
        <v>0</v>
      </c>
      <c r="T303" s="294">
        <f t="shared" si="137"/>
        <v>0</v>
      </c>
      <c r="U303" s="294">
        <f t="shared" si="137"/>
        <v>0</v>
      </c>
      <c r="V303" s="294">
        <f t="shared" si="137"/>
        <v>0</v>
      </c>
      <c r="W303" s="294">
        <f t="shared" si="137"/>
        <v>0</v>
      </c>
      <c r="X303" s="294">
        <f t="shared" si="137"/>
        <v>0</v>
      </c>
      <c r="Y303" s="294">
        <f t="shared" si="137"/>
        <v>0</v>
      </c>
      <c r="Z303" s="294">
        <f t="shared" si="137"/>
        <v>0</v>
      </c>
      <c r="AA303" s="294">
        <f t="shared" si="137"/>
        <v>0</v>
      </c>
      <c r="AB303" s="294">
        <f t="shared" si="137"/>
        <v>0</v>
      </c>
      <c r="AC303" s="294">
        <f t="shared" si="137"/>
        <v>0</v>
      </c>
      <c r="AD303" s="294">
        <f t="shared" si="137"/>
        <v>0</v>
      </c>
      <c r="AE303" s="294">
        <f t="shared" si="137"/>
        <v>0</v>
      </c>
      <c r="AF303" s="294">
        <f t="shared" si="137"/>
        <v>0</v>
      </c>
      <c r="AG303" s="294">
        <f t="shared" si="137"/>
        <v>0</v>
      </c>
      <c r="AH303" s="294">
        <f t="shared" si="137"/>
        <v>0</v>
      </c>
      <c r="AI303" s="294">
        <f t="shared" si="137"/>
        <v>0</v>
      </c>
      <c r="AJ303" s="294">
        <f t="shared" si="137"/>
        <v>0</v>
      </c>
      <c r="AK303" s="294">
        <f t="shared" si="137"/>
        <v>0</v>
      </c>
      <c r="AL303" s="294">
        <f t="shared" si="137"/>
        <v>0</v>
      </c>
      <c r="AM303" s="294">
        <f t="shared" si="137"/>
        <v>0</v>
      </c>
      <c r="AN303" s="294">
        <f t="shared" si="137"/>
        <v>0</v>
      </c>
      <c r="AO303" s="294">
        <f t="shared" si="137"/>
        <v>0</v>
      </c>
      <c r="AP303" s="294">
        <f t="shared" si="137"/>
        <v>0</v>
      </c>
    </row>
    <row r="304" spans="1:42" x14ac:dyDescent="0.2">
      <c r="A304" s="21">
        <f>A303+1</f>
        <v>2</v>
      </c>
      <c r="B304" s="292">
        <f t="shared" si="136"/>
        <v>0</v>
      </c>
      <c r="C304" s="294">
        <f t="shared" ref="C304:AP304" si="138">LOOKUP(C292,$B$261:$AP$261,$B$262:$AP$262)/100*$B599</f>
        <v>0</v>
      </c>
      <c r="D304" s="294">
        <f t="shared" si="138"/>
        <v>0</v>
      </c>
      <c r="E304" s="294">
        <f t="shared" si="138"/>
        <v>0</v>
      </c>
      <c r="F304" s="294">
        <f t="shared" si="138"/>
        <v>0</v>
      </c>
      <c r="G304" s="294">
        <f t="shared" si="138"/>
        <v>0</v>
      </c>
      <c r="H304" s="294">
        <f t="shared" si="138"/>
        <v>0</v>
      </c>
      <c r="I304" s="294">
        <f t="shared" si="138"/>
        <v>0</v>
      </c>
      <c r="J304" s="294">
        <f t="shared" si="138"/>
        <v>0</v>
      </c>
      <c r="K304" s="294">
        <f t="shared" si="138"/>
        <v>0</v>
      </c>
      <c r="L304" s="294">
        <f t="shared" si="138"/>
        <v>0</v>
      </c>
      <c r="M304" s="294">
        <f t="shared" si="138"/>
        <v>0</v>
      </c>
      <c r="N304" s="294">
        <f t="shared" si="138"/>
        <v>0</v>
      </c>
      <c r="O304" s="294">
        <f t="shared" si="138"/>
        <v>0</v>
      </c>
      <c r="P304" s="294">
        <f t="shared" si="138"/>
        <v>0</v>
      </c>
      <c r="Q304" s="294">
        <f t="shared" si="138"/>
        <v>0</v>
      </c>
      <c r="R304" s="294">
        <f t="shared" si="138"/>
        <v>0</v>
      </c>
      <c r="S304" s="294">
        <f t="shared" si="138"/>
        <v>0</v>
      </c>
      <c r="T304" s="294">
        <f t="shared" si="138"/>
        <v>0</v>
      </c>
      <c r="U304" s="294">
        <f t="shared" si="138"/>
        <v>0</v>
      </c>
      <c r="V304" s="294">
        <f t="shared" si="138"/>
        <v>0</v>
      </c>
      <c r="W304" s="294">
        <f t="shared" si="138"/>
        <v>0</v>
      </c>
      <c r="X304" s="294">
        <f t="shared" si="138"/>
        <v>0</v>
      </c>
      <c r="Y304" s="294">
        <f t="shared" si="138"/>
        <v>0</v>
      </c>
      <c r="Z304" s="294">
        <f t="shared" si="138"/>
        <v>0</v>
      </c>
      <c r="AA304" s="294">
        <f t="shared" si="138"/>
        <v>0</v>
      </c>
      <c r="AB304" s="294">
        <f t="shared" si="138"/>
        <v>0</v>
      </c>
      <c r="AC304" s="294">
        <f t="shared" si="138"/>
        <v>0</v>
      </c>
      <c r="AD304" s="294">
        <f t="shared" si="138"/>
        <v>0</v>
      </c>
      <c r="AE304" s="294">
        <f t="shared" si="138"/>
        <v>0</v>
      </c>
      <c r="AF304" s="294">
        <f t="shared" si="138"/>
        <v>0</v>
      </c>
      <c r="AG304" s="294">
        <f t="shared" si="138"/>
        <v>0</v>
      </c>
      <c r="AH304" s="294">
        <f t="shared" si="138"/>
        <v>0</v>
      </c>
      <c r="AI304" s="294">
        <f t="shared" si="138"/>
        <v>0</v>
      </c>
      <c r="AJ304" s="294">
        <f t="shared" si="138"/>
        <v>0</v>
      </c>
      <c r="AK304" s="294">
        <f t="shared" si="138"/>
        <v>0</v>
      </c>
      <c r="AL304" s="294">
        <f t="shared" si="138"/>
        <v>0</v>
      </c>
      <c r="AM304" s="294">
        <f t="shared" si="138"/>
        <v>0</v>
      </c>
      <c r="AN304" s="294">
        <f t="shared" si="138"/>
        <v>0</v>
      </c>
      <c r="AO304" s="294">
        <f t="shared" si="138"/>
        <v>0</v>
      </c>
      <c r="AP304" s="294">
        <f t="shared" si="138"/>
        <v>0</v>
      </c>
    </row>
    <row r="305" spans="1:42" x14ac:dyDescent="0.2">
      <c r="A305" s="21">
        <f t="shared" ref="A305:A312" si="139">A304+1</f>
        <v>3</v>
      </c>
      <c r="B305" s="292">
        <f t="shared" si="136"/>
        <v>0</v>
      </c>
      <c r="C305" s="294">
        <f t="shared" ref="C305:AP305" si="140">LOOKUP(C293,$B$261:$AP$261,$B$262:$AP$262)/100*$B600</f>
        <v>0</v>
      </c>
      <c r="D305" s="294">
        <f t="shared" si="140"/>
        <v>0</v>
      </c>
      <c r="E305" s="294">
        <f t="shared" si="140"/>
        <v>0</v>
      </c>
      <c r="F305" s="294">
        <f t="shared" si="140"/>
        <v>0</v>
      </c>
      <c r="G305" s="294">
        <f t="shared" si="140"/>
        <v>0</v>
      </c>
      <c r="H305" s="294">
        <f t="shared" si="140"/>
        <v>0</v>
      </c>
      <c r="I305" s="294">
        <f t="shared" si="140"/>
        <v>0</v>
      </c>
      <c r="J305" s="294">
        <f t="shared" si="140"/>
        <v>0</v>
      </c>
      <c r="K305" s="294">
        <f t="shared" si="140"/>
        <v>0</v>
      </c>
      <c r="L305" s="294">
        <f t="shared" si="140"/>
        <v>0</v>
      </c>
      <c r="M305" s="294">
        <f t="shared" si="140"/>
        <v>0</v>
      </c>
      <c r="N305" s="294">
        <f t="shared" si="140"/>
        <v>0</v>
      </c>
      <c r="O305" s="294">
        <f t="shared" si="140"/>
        <v>0</v>
      </c>
      <c r="P305" s="294">
        <f t="shared" si="140"/>
        <v>0</v>
      </c>
      <c r="Q305" s="294">
        <f t="shared" si="140"/>
        <v>0</v>
      </c>
      <c r="R305" s="294">
        <f t="shared" si="140"/>
        <v>0</v>
      </c>
      <c r="S305" s="294">
        <f t="shared" si="140"/>
        <v>0</v>
      </c>
      <c r="T305" s="294">
        <f t="shared" si="140"/>
        <v>0</v>
      </c>
      <c r="U305" s="294">
        <f t="shared" si="140"/>
        <v>0</v>
      </c>
      <c r="V305" s="294">
        <f t="shared" si="140"/>
        <v>0</v>
      </c>
      <c r="W305" s="294">
        <f t="shared" si="140"/>
        <v>0</v>
      </c>
      <c r="X305" s="294">
        <f t="shared" si="140"/>
        <v>0</v>
      </c>
      <c r="Y305" s="294">
        <f t="shared" si="140"/>
        <v>0</v>
      </c>
      <c r="Z305" s="294">
        <f t="shared" si="140"/>
        <v>0</v>
      </c>
      <c r="AA305" s="294">
        <f t="shared" si="140"/>
        <v>0</v>
      </c>
      <c r="AB305" s="294">
        <f t="shared" si="140"/>
        <v>0</v>
      </c>
      <c r="AC305" s="294">
        <f t="shared" si="140"/>
        <v>0</v>
      </c>
      <c r="AD305" s="294">
        <f t="shared" si="140"/>
        <v>0</v>
      </c>
      <c r="AE305" s="294">
        <f t="shared" si="140"/>
        <v>0</v>
      </c>
      <c r="AF305" s="294">
        <f t="shared" si="140"/>
        <v>0</v>
      </c>
      <c r="AG305" s="294">
        <f t="shared" si="140"/>
        <v>0</v>
      </c>
      <c r="AH305" s="294">
        <f t="shared" si="140"/>
        <v>0</v>
      </c>
      <c r="AI305" s="294">
        <f t="shared" si="140"/>
        <v>0</v>
      </c>
      <c r="AJ305" s="294">
        <f t="shared" si="140"/>
        <v>0</v>
      </c>
      <c r="AK305" s="294">
        <f t="shared" si="140"/>
        <v>0</v>
      </c>
      <c r="AL305" s="294">
        <f t="shared" si="140"/>
        <v>0</v>
      </c>
      <c r="AM305" s="294">
        <f t="shared" si="140"/>
        <v>0</v>
      </c>
      <c r="AN305" s="294">
        <f t="shared" si="140"/>
        <v>0</v>
      </c>
      <c r="AO305" s="294">
        <f t="shared" si="140"/>
        <v>0</v>
      </c>
      <c r="AP305" s="294">
        <f t="shared" si="140"/>
        <v>0</v>
      </c>
    </row>
    <row r="306" spans="1:42" x14ac:dyDescent="0.2">
      <c r="A306" s="21">
        <f t="shared" si="139"/>
        <v>4</v>
      </c>
      <c r="B306" s="292">
        <f t="shared" si="136"/>
        <v>0</v>
      </c>
      <c r="C306" s="294">
        <f t="shared" ref="C306:AP306" si="141">LOOKUP(C294,$B$261:$AP$261,$B$262:$AP$262)/100*$B601</f>
        <v>0</v>
      </c>
      <c r="D306" s="294">
        <f t="shared" si="141"/>
        <v>0</v>
      </c>
      <c r="E306" s="294">
        <f t="shared" si="141"/>
        <v>0</v>
      </c>
      <c r="F306" s="294">
        <f t="shared" si="141"/>
        <v>0</v>
      </c>
      <c r="G306" s="294">
        <f t="shared" si="141"/>
        <v>0</v>
      </c>
      <c r="H306" s="294">
        <f t="shared" si="141"/>
        <v>0</v>
      </c>
      <c r="I306" s="294">
        <f t="shared" si="141"/>
        <v>0</v>
      </c>
      <c r="J306" s="294">
        <f t="shared" si="141"/>
        <v>0</v>
      </c>
      <c r="K306" s="294">
        <f t="shared" si="141"/>
        <v>0</v>
      </c>
      <c r="L306" s="294">
        <f t="shared" si="141"/>
        <v>0</v>
      </c>
      <c r="M306" s="294">
        <f t="shared" si="141"/>
        <v>0</v>
      </c>
      <c r="N306" s="294">
        <f t="shared" si="141"/>
        <v>0</v>
      </c>
      <c r="O306" s="294">
        <f t="shared" si="141"/>
        <v>0</v>
      </c>
      <c r="P306" s="294">
        <f t="shared" si="141"/>
        <v>0</v>
      </c>
      <c r="Q306" s="294">
        <f t="shared" si="141"/>
        <v>0</v>
      </c>
      <c r="R306" s="294">
        <f t="shared" si="141"/>
        <v>0</v>
      </c>
      <c r="S306" s="294">
        <f t="shared" si="141"/>
        <v>0</v>
      </c>
      <c r="T306" s="294">
        <f t="shared" si="141"/>
        <v>0</v>
      </c>
      <c r="U306" s="294">
        <f t="shared" si="141"/>
        <v>0</v>
      </c>
      <c r="V306" s="294">
        <f t="shared" si="141"/>
        <v>0</v>
      </c>
      <c r="W306" s="294">
        <f t="shared" si="141"/>
        <v>0</v>
      </c>
      <c r="X306" s="294">
        <f t="shared" si="141"/>
        <v>0</v>
      </c>
      <c r="Y306" s="294">
        <f t="shared" si="141"/>
        <v>0</v>
      </c>
      <c r="Z306" s="294">
        <f t="shared" si="141"/>
        <v>0</v>
      </c>
      <c r="AA306" s="294">
        <f t="shared" si="141"/>
        <v>0</v>
      </c>
      <c r="AB306" s="294">
        <f t="shared" si="141"/>
        <v>0</v>
      </c>
      <c r="AC306" s="294">
        <f t="shared" si="141"/>
        <v>0</v>
      </c>
      <c r="AD306" s="294">
        <f t="shared" si="141"/>
        <v>0</v>
      </c>
      <c r="AE306" s="294">
        <f t="shared" si="141"/>
        <v>0</v>
      </c>
      <c r="AF306" s="294">
        <f t="shared" si="141"/>
        <v>0</v>
      </c>
      <c r="AG306" s="294">
        <f t="shared" si="141"/>
        <v>0</v>
      </c>
      <c r="AH306" s="294">
        <f t="shared" si="141"/>
        <v>0</v>
      </c>
      <c r="AI306" s="294">
        <f t="shared" si="141"/>
        <v>0</v>
      </c>
      <c r="AJ306" s="294">
        <f t="shared" si="141"/>
        <v>0</v>
      </c>
      <c r="AK306" s="294">
        <f t="shared" si="141"/>
        <v>0</v>
      </c>
      <c r="AL306" s="294">
        <f t="shared" si="141"/>
        <v>0</v>
      </c>
      <c r="AM306" s="294">
        <f t="shared" si="141"/>
        <v>0</v>
      </c>
      <c r="AN306" s="294">
        <f t="shared" si="141"/>
        <v>0</v>
      </c>
      <c r="AO306" s="294">
        <f t="shared" si="141"/>
        <v>0</v>
      </c>
      <c r="AP306" s="294">
        <f t="shared" si="141"/>
        <v>0</v>
      </c>
    </row>
    <row r="307" spans="1:42" x14ac:dyDescent="0.2">
      <c r="A307" s="21">
        <f t="shared" si="139"/>
        <v>5</v>
      </c>
      <c r="B307" s="292">
        <f t="shared" si="136"/>
        <v>0</v>
      </c>
      <c r="C307" s="294">
        <f t="shared" ref="C307:AP307" si="142">LOOKUP(C295,$B$261:$AP$261,$B$262:$AP$262)/100*$B602</f>
        <v>0</v>
      </c>
      <c r="D307" s="294">
        <f t="shared" si="142"/>
        <v>0</v>
      </c>
      <c r="E307" s="294">
        <f t="shared" si="142"/>
        <v>0</v>
      </c>
      <c r="F307" s="294">
        <f t="shared" si="142"/>
        <v>0</v>
      </c>
      <c r="G307" s="294">
        <f t="shared" si="142"/>
        <v>0</v>
      </c>
      <c r="H307" s="294">
        <f t="shared" si="142"/>
        <v>0</v>
      </c>
      <c r="I307" s="294">
        <f t="shared" si="142"/>
        <v>0</v>
      </c>
      <c r="J307" s="294">
        <f t="shared" si="142"/>
        <v>0</v>
      </c>
      <c r="K307" s="294">
        <f t="shared" si="142"/>
        <v>0</v>
      </c>
      <c r="L307" s="294">
        <f t="shared" si="142"/>
        <v>0</v>
      </c>
      <c r="M307" s="294">
        <f t="shared" si="142"/>
        <v>0</v>
      </c>
      <c r="N307" s="294">
        <f t="shared" si="142"/>
        <v>0</v>
      </c>
      <c r="O307" s="294">
        <f t="shared" si="142"/>
        <v>0</v>
      </c>
      <c r="P307" s="294">
        <f t="shared" si="142"/>
        <v>0</v>
      </c>
      <c r="Q307" s="294">
        <f t="shared" si="142"/>
        <v>0</v>
      </c>
      <c r="R307" s="294">
        <f t="shared" si="142"/>
        <v>0</v>
      </c>
      <c r="S307" s="294">
        <f t="shared" si="142"/>
        <v>0</v>
      </c>
      <c r="T307" s="294">
        <f t="shared" si="142"/>
        <v>0</v>
      </c>
      <c r="U307" s="294">
        <f t="shared" si="142"/>
        <v>0</v>
      </c>
      <c r="V307" s="294">
        <f t="shared" si="142"/>
        <v>0</v>
      </c>
      <c r="W307" s="294">
        <f t="shared" si="142"/>
        <v>0</v>
      </c>
      <c r="X307" s="294">
        <f t="shared" si="142"/>
        <v>0</v>
      </c>
      <c r="Y307" s="294">
        <f t="shared" si="142"/>
        <v>0</v>
      </c>
      <c r="Z307" s="294">
        <f t="shared" si="142"/>
        <v>0</v>
      </c>
      <c r="AA307" s="294">
        <f t="shared" si="142"/>
        <v>0</v>
      </c>
      <c r="AB307" s="294">
        <f t="shared" si="142"/>
        <v>0</v>
      </c>
      <c r="AC307" s="294">
        <f t="shared" si="142"/>
        <v>0</v>
      </c>
      <c r="AD307" s="294">
        <f t="shared" si="142"/>
        <v>0</v>
      </c>
      <c r="AE307" s="294">
        <f t="shared" si="142"/>
        <v>0</v>
      </c>
      <c r="AF307" s="294">
        <f t="shared" si="142"/>
        <v>0</v>
      </c>
      <c r="AG307" s="294">
        <f t="shared" si="142"/>
        <v>0</v>
      </c>
      <c r="AH307" s="294">
        <f t="shared" si="142"/>
        <v>0</v>
      </c>
      <c r="AI307" s="294">
        <f t="shared" si="142"/>
        <v>0</v>
      </c>
      <c r="AJ307" s="294">
        <f t="shared" si="142"/>
        <v>0</v>
      </c>
      <c r="AK307" s="294">
        <f t="shared" si="142"/>
        <v>0</v>
      </c>
      <c r="AL307" s="294">
        <f t="shared" si="142"/>
        <v>0</v>
      </c>
      <c r="AM307" s="294">
        <f t="shared" si="142"/>
        <v>0</v>
      </c>
      <c r="AN307" s="294">
        <f t="shared" si="142"/>
        <v>0</v>
      </c>
      <c r="AO307" s="294">
        <f t="shared" si="142"/>
        <v>0</v>
      </c>
      <c r="AP307" s="294">
        <f t="shared" si="142"/>
        <v>0</v>
      </c>
    </row>
    <row r="308" spans="1:42" x14ac:dyDescent="0.2">
      <c r="A308" s="21">
        <f t="shared" si="139"/>
        <v>6</v>
      </c>
      <c r="B308" s="292">
        <f t="shared" si="136"/>
        <v>0</v>
      </c>
      <c r="C308" s="294">
        <f t="shared" ref="C308:AP308" si="143">LOOKUP(C296,$B$261:$AP$261,$B$262:$AP$262)/100*$B603</f>
        <v>0</v>
      </c>
      <c r="D308" s="294">
        <f t="shared" si="143"/>
        <v>0</v>
      </c>
      <c r="E308" s="294">
        <f t="shared" si="143"/>
        <v>0</v>
      </c>
      <c r="F308" s="294">
        <f t="shared" si="143"/>
        <v>0</v>
      </c>
      <c r="G308" s="294">
        <f t="shared" si="143"/>
        <v>0</v>
      </c>
      <c r="H308" s="294">
        <f t="shared" si="143"/>
        <v>0</v>
      </c>
      <c r="I308" s="294">
        <f t="shared" si="143"/>
        <v>0</v>
      </c>
      <c r="J308" s="294">
        <f t="shared" si="143"/>
        <v>0</v>
      </c>
      <c r="K308" s="294">
        <f t="shared" si="143"/>
        <v>0</v>
      </c>
      <c r="L308" s="294">
        <f t="shared" si="143"/>
        <v>0</v>
      </c>
      <c r="M308" s="294">
        <f t="shared" si="143"/>
        <v>0</v>
      </c>
      <c r="N308" s="294">
        <f t="shared" si="143"/>
        <v>0</v>
      </c>
      <c r="O308" s="294">
        <f t="shared" si="143"/>
        <v>0</v>
      </c>
      <c r="P308" s="294">
        <f t="shared" si="143"/>
        <v>0</v>
      </c>
      <c r="Q308" s="294">
        <f t="shared" si="143"/>
        <v>0</v>
      </c>
      <c r="R308" s="294">
        <f t="shared" si="143"/>
        <v>0</v>
      </c>
      <c r="S308" s="294">
        <f t="shared" si="143"/>
        <v>0</v>
      </c>
      <c r="T308" s="294">
        <f t="shared" si="143"/>
        <v>0</v>
      </c>
      <c r="U308" s="294">
        <f t="shared" si="143"/>
        <v>0</v>
      </c>
      <c r="V308" s="294">
        <f t="shared" si="143"/>
        <v>0</v>
      </c>
      <c r="W308" s="294">
        <f t="shared" si="143"/>
        <v>0</v>
      </c>
      <c r="X308" s="294">
        <f t="shared" si="143"/>
        <v>0</v>
      </c>
      <c r="Y308" s="294">
        <f t="shared" si="143"/>
        <v>0</v>
      </c>
      <c r="Z308" s="294">
        <f t="shared" si="143"/>
        <v>0</v>
      </c>
      <c r="AA308" s="294">
        <f t="shared" si="143"/>
        <v>0</v>
      </c>
      <c r="AB308" s="294">
        <f t="shared" si="143"/>
        <v>0</v>
      </c>
      <c r="AC308" s="294">
        <f t="shared" si="143"/>
        <v>0</v>
      </c>
      <c r="AD308" s="294">
        <f t="shared" si="143"/>
        <v>0</v>
      </c>
      <c r="AE308" s="294">
        <f t="shared" si="143"/>
        <v>0</v>
      </c>
      <c r="AF308" s="294">
        <f t="shared" si="143"/>
        <v>0</v>
      </c>
      <c r="AG308" s="294">
        <f t="shared" si="143"/>
        <v>0</v>
      </c>
      <c r="AH308" s="294">
        <f t="shared" si="143"/>
        <v>0</v>
      </c>
      <c r="AI308" s="294">
        <f t="shared" si="143"/>
        <v>0</v>
      </c>
      <c r="AJ308" s="294">
        <f t="shared" si="143"/>
        <v>0</v>
      </c>
      <c r="AK308" s="294">
        <f t="shared" si="143"/>
        <v>0</v>
      </c>
      <c r="AL308" s="294">
        <f t="shared" si="143"/>
        <v>0</v>
      </c>
      <c r="AM308" s="294">
        <f t="shared" si="143"/>
        <v>0</v>
      </c>
      <c r="AN308" s="294">
        <f t="shared" si="143"/>
        <v>0</v>
      </c>
      <c r="AO308" s="294">
        <f t="shared" si="143"/>
        <v>0</v>
      </c>
      <c r="AP308" s="294">
        <f t="shared" si="143"/>
        <v>0</v>
      </c>
    </row>
    <row r="309" spans="1:42" x14ac:dyDescent="0.2">
      <c r="A309" s="21">
        <f t="shared" si="139"/>
        <v>7</v>
      </c>
      <c r="B309" s="292">
        <f t="shared" si="136"/>
        <v>0</v>
      </c>
      <c r="C309" s="294">
        <f t="shared" ref="C309:AP309" si="144">LOOKUP(C297,$B$261:$AP$261,$B$262:$AP$262)/100*$B604</f>
        <v>0</v>
      </c>
      <c r="D309" s="294">
        <f t="shared" si="144"/>
        <v>0</v>
      </c>
      <c r="E309" s="294">
        <f t="shared" si="144"/>
        <v>0</v>
      </c>
      <c r="F309" s="294">
        <f t="shared" si="144"/>
        <v>0</v>
      </c>
      <c r="G309" s="294">
        <f t="shared" si="144"/>
        <v>0</v>
      </c>
      <c r="H309" s="294">
        <f t="shared" si="144"/>
        <v>0</v>
      </c>
      <c r="I309" s="294">
        <f t="shared" si="144"/>
        <v>0</v>
      </c>
      <c r="J309" s="294">
        <f t="shared" si="144"/>
        <v>0</v>
      </c>
      <c r="K309" s="294">
        <f t="shared" si="144"/>
        <v>0</v>
      </c>
      <c r="L309" s="294">
        <f t="shared" si="144"/>
        <v>0</v>
      </c>
      <c r="M309" s="294">
        <f t="shared" si="144"/>
        <v>0</v>
      </c>
      <c r="N309" s="294">
        <f t="shared" si="144"/>
        <v>0</v>
      </c>
      <c r="O309" s="294">
        <f t="shared" si="144"/>
        <v>0</v>
      </c>
      <c r="P309" s="294">
        <f t="shared" si="144"/>
        <v>0</v>
      </c>
      <c r="Q309" s="294">
        <f t="shared" si="144"/>
        <v>0</v>
      </c>
      <c r="R309" s="294">
        <f t="shared" si="144"/>
        <v>0</v>
      </c>
      <c r="S309" s="294">
        <f t="shared" si="144"/>
        <v>0</v>
      </c>
      <c r="T309" s="294">
        <f t="shared" si="144"/>
        <v>0</v>
      </c>
      <c r="U309" s="294">
        <f t="shared" si="144"/>
        <v>0</v>
      </c>
      <c r="V309" s="294">
        <f t="shared" si="144"/>
        <v>0</v>
      </c>
      <c r="W309" s="294">
        <f t="shared" si="144"/>
        <v>0</v>
      </c>
      <c r="X309" s="294">
        <f t="shared" si="144"/>
        <v>0</v>
      </c>
      <c r="Y309" s="294">
        <f t="shared" si="144"/>
        <v>0</v>
      </c>
      <c r="Z309" s="294">
        <f t="shared" si="144"/>
        <v>0</v>
      </c>
      <c r="AA309" s="294">
        <f t="shared" si="144"/>
        <v>0</v>
      </c>
      <c r="AB309" s="294">
        <f t="shared" si="144"/>
        <v>0</v>
      </c>
      <c r="AC309" s="294">
        <f t="shared" si="144"/>
        <v>0</v>
      </c>
      <c r="AD309" s="294">
        <f t="shared" si="144"/>
        <v>0</v>
      </c>
      <c r="AE309" s="294">
        <f t="shared" si="144"/>
        <v>0</v>
      </c>
      <c r="AF309" s="294">
        <f t="shared" si="144"/>
        <v>0</v>
      </c>
      <c r="AG309" s="294">
        <f t="shared" si="144"/>
        <v>0</v>
      </c>
      <c r="AH309" s="294">
        <f t="shared" si="144"/>
        <v>0</v>
      </c>
      <c r="AI309" s="294">
        <f t="shared" si="144"/>
        <v>0</v>
      </c>
      <c r="AJ309" s="294">
        <f t="shared" si="144"/>
        <v>0</v>
      </c>
      <c r="AK309" s="294">
        <f t="shared" si="144"/>
        <v>0</v>
      </c>
      <c r="AL309" s="294">
        <f t="shared" si="144"/>
        <v>0</v>
      </c>
      <c r="AM309" s="294">
        <f t="shared" si="144"/>
        <v>0</v>
      </c>
      <c r="AN309" s="294">
        <f t="shared" si="144"/>
        <v>0</v>
      </c>
      <c r="AO309" s="294">
        <f t="shared" si="144"/>
        <v>0</v>
      </c>
      <c r="AP309" s="294">
        <f t="shared" si="144"/>
        <v>0</v>
      </c>
    </row>
    <row r="310" spans="1:42" x14ac:dyDescent="0.2">
      <c r="A310" s="21">
        <f t="shared" si="139"/>
        <v>8</v>
      </c>
      <c r="B310" s="292">
        <f t="shared" si="136"/>
        <v>0</v>
      </c>
      <c r="C310" s="294">
        <f t="shared" ref="C310:AP310" si="145">LOOKUP(C298,$B$261:$AP$261,$B$262:$AP$262)/100*$B605</f>
        <v>0</v>
      </c>
      <c r="D310" s="294">
        <f t="shared" si="145"/>
        <v>0</v>
      </c>
      <c r="E310" s="294">
        <f t="shared" si="145"/>
        <v>0</v>
      </c>
      <c r="F310" s="294">
        <f t="shared" si="145"/>
        <v>0</v>
      </c>
      <c r="G310" s="294">
        <f t="shared" si="145"/>
        <v>0</v>
      </c>
      <c r="H310" s="294">
        <f t="shared" si="145"/>
        <v>0</v>
      </c>
      <c r="I310" s="294">
        <f t="shared" si="145"/>
        <v>0</v>
      </c>
      <c r="J310" s="294">
        <f t="shared" si="145"/>
        <v>0</v>
      </c>
      <c r="K310" s="294">
        <f t="shared" si="145"/>
        <v>0</v>
      </c>
      <c r="L310" s="294">
        <f t="shared" si="145"/>
        <v>0</v>
      </c>
      <c r="M310" s="294">
        <f t="shared" si="145"/>
        <v>0</v>
      </c>
      <c r="N310" s="294">
        <f t="shared" si="145"/>
        <v>0</v>
      </c>
      <c r="O310" s="294">
        <f t="shared" si="145"/>
        <v>0</v>
      </c>
      <c r="P310" s="294">
        <f t="shared" si="145"/>
        <v>0</v>
      </c>
      <c r="Q310" s="294">
        <f t="shared" si="145"/>
        <v>0</v>
      </c>
      <c r="R310" s="294">
        <f t="shared" si="145"/>
        <v>0</v>
      </c>
      <c r="S310" s="294">
        <f t="shared" si="145"/>
        <v>0</v>
      </c>
      <c r="T310" s="294">
        <f t="shared" si="145"/>
        <v>0</v>
      </c>
      <c r="U310" s="294">
        <f t="shared" si="145"/>
        <v>0</v>
      </c>
      <c r="V310" s="294">
        <f t="shared" si="145"/>
        <v>0</v>
      </c>
      <c r="W310" s="294">
        <f t="shared" si="145"/>
        <v>0</v>
      </c>
      <c r="X310" s="294">
        <f t="shared" si="145"/>
        <v>0</v>
      </c>
      <c r="Y310" s="294">
        <f t="shared" si="145"/>
        <v>0</v>
      </c>
      <c r="Z310" s="294">
        <f t="shared" si="145"/>
        <v>0</v>
      </c>
      <c r="AA310" s="294">
        <f t="shared" si="145"/>
        <v>0</v>
      </c>
      <c r="AB310" s="294">
        <f t="shared" si="145"/>
        <v>0</v>
      </c>
      <c r="AC310" s="294">
        <f t="shared" si="145"/>
        <v>0</v>
      </c>
      <c r="AD310" s="294">
        <f t="shared" si="145"/>
        <v>0</v>
      </c>
      <c r="AE310" s="294">
        <f t="shared" si="145"/>
        <v>0</v>
      </c>
      <c r="AF310" s="294">
        <f t="shared" si="145"/>
        <v>0</v>
      </c>
      <c r="AG310" s="294">
        <f t="shared" si="145"/>
        <v>0</v>
      </c>
      <c r="AH310" s="294">
        <f t="shared" si="145"/>
        <v>0</v>
      </c>
      <c r="AI310" s="294">
        <f t="shared" si="145"/>
        <v>0</v>
      </c>
      <c r="AJ310" s="294">
        <f t="shared" si="145"/>
        <v>0</v>
      </c>
      <c r="AK310" s="294">
        <f t="shared" si="145"/>
        <v>0</v>
      </c>
      <c r="AL310" s="294">
        <f t="shared" si="145"/>
        <v>0</v>
      </c>
      <c r="AM310" s="294">
        <f t="shared" si="145"/>
        <v>0</v>
      </c>
      <c r="AN310" s="294">
        <f t="shared" si="145"/>
        <v>0</v>
      </c>
      <c r="AO310" s="294">
        <f t="shared" si="145"/>
        <v>0</v>
      </c>
      <c r="AP310" s="294">
        <f t="shared" si="145"/>
        <v>0</v>
      </c>
    </row>
    <row r="311" spans="1:42" x14ac:dyDescent="0.2">
      <c r="A311" s="21">
        <f>A310+1</f>
        <v>9</v>
      </c>
      <c r="B311" s="292">
        <f t="shared" si="136"/>
        <v>0</v>
      </c>
      <c r="C311" s="294">
        <f t="shared" ref="C311:AP311" si="146">LOOKUP(C299,$B$261:$AP$261,$B$262:$AP$262)/100*$B606</f>
        <v>0</v>
      </c>
      <c r="D311" s="294">
        <f t="shared" si="146"/>
        <v>0</v>
      </c>
      <c r="E311" s="294">
        <f t="shared" si="146"/>
        <v>0</v>
      </c>
      <c r="F311" s="294">
        <f t="shared" si="146"/>
        <v>0</v>
      </c>
      <c r="G311" s="294">
        <f t="shared" si="146"/>
        <v>0</v>
      </c>
      <c r="H311" s="294">
        <f t="shared" si="146"/>
        <v>0</v>
      </c>
      <c r="I311" s="294">
        <f t="shared" si="146"/>
        <v>0</v>
      </c>
      <c r="J311" s="294">
        <f t="shared" si="146"/>
        <v>0</v>
      </c>
      <c r="K311" s="294">
        <f t="shared" si="146"/>
        <v>0</v>
      </c>
      <c r="L311" s="294">
        <f t="shared" si="146"/>
        <v>0</v>
      </c>
      <c r="M311" s="294">
        <f t="shared" si="146"/>
        <v>0</v>
      </c>
      <c r="N311" s="294">
        <f t="shared" si="146"/>
        <v>0</v>
      </c>
      <c r="O311" s="294">
        <f t="shared" si="146"/>
        <v>0</v>
      </c>
      <c r="P311" s="294">
        <f t="shared" si="146"/>
        <v>0</v>
      </c>
      <c r="Q311" s="294">
        <f t="shared" si="146"/>
        <v>0</v>
      </c>
      <c r="R311" s="294">
        <f t="shared" si="146"/>
        <v>0</v>
      </c>
      <c r="S311" s="294">
        <f t="shared" si="146"/>
        <v>0</v>
      </c>
      <c r="T311" s="294">
        <f t="shared" si="146"/>
        <v>0</v>
      </c>
      <c r="U311" s="294">
        <f t="shared" si="146"/>
        <v>0</v>
      </c>
      <c r="V311" s="294">
        <f t="shared" si="146"/>
        <v>0</v>
      </c>
      <c r="W311" s="294">
        <f t="shared" si="146"/>
        <v>0</v>
      </c>
      <c r="X311" s="294">
        <f t="shared" si="146"/>
        <v>0</v>
      </c>
      <c r="Y311" s="294">
        <f t="shared" si="146"/>
        <v>0</v>
      </c>
      <c r="Z311" s="294">
        <f t="shared" si="146"/>
        <v>0</v>
      </c>
      <c r="AA311" s="294">
        <f t="shared" si="146"/>
        <v>0</v>
      </c>
      <c r="AB311" s="294">
        <f t="shared" si="146"/>
        <v>0</v>
      </c>
      <c r="AC311" s="294">
        <f t="shared" si="146"/>
        <v>0</v>
      </c>
      <c r="AD311" s="294">
        <f t="shared" si="146"/>
        <v>0</v>
      </c>
      <c r="AE311" s="294">
        <f t="shared" si="146"/>
        <v>0</v>
      </c>
      <c r="AF311" s="294">
        <f t="shared" si="146"/>
        <v>0</v>
      </c>
      <c r="AG311" s="294">
        <f t="shared" si="146"/>
        <v>0</v>
      </c>
      <c r="AH311" s="294">
        <f t="shared" si="146"/>
        <v>0</v>
      </c>
      <c r="AI311" s="294">
        <f t="shared" si="146"/>
        <v>0</v>
      </c>
      <c r="AJ311" s="294">
        <f t="shared" si="146"/>
        <v>0</v>
      </c>
      <c r="AK311" s="294">
        <f t="shared" si="146"/>
        <v>0</v>
      </c>
      <c r="AL311" s="294">
        <f t="shared" si="146"/>
        <v>0</v>
      </c>
      <c r="AM311" s="294">
        <f t="shared" si="146"/>
        <v>0</v>
      </c>
      <c r="AN311" s="294">
        <f t="shared" si="146"/>
        <v>0</v>
      </c>
      <c r="AO311" s="294">
        <f t="shared" si="146"/>
        <v>0</v>
      </c>
      <c r="AP311" s="294">
        <f t="shared" si="146"/>
        <v>0</v>
      </c>
    </row>
    <row r="312" spans="1:42" x14ac:dyDescent="0.2">
      <c r="A312" s="21">
        <f t="shared" si="139"/>
        <v>10</v>
      </c>
      <c r="B312" s="292">
        <f t="shared" si="136"/>
        <v>0</v>
      </c>
      <c r="C312" s="294">
        <f t="shared" ref="C312:AP312" si="147">LOOKUP(C300,$B$261:$AP$261,$B$262:$AP$262)/100*$B607</f>
        <v>0</v>
      </c>
      <c r="D312" s="294">
        <f t="shared" si="147"/>
        <v>0</v>
      </c>
      <c r="E312" s="294">
        <f t="shared" si="147"/>
        <v>0</v>
      </c>
      <c r="F312" s="294">
        <f t="shared" si="147"/>
        <v>0</v>
      </c>
      <c r="G312" s="294">
        <f t="shared" si="147"/>
        <v>0</v>
      </c>
      <c r="H312" s="294">
        <f t="shared" si="147"/>
        <v>0</v>
      </c>
      <c r="I312" s="294">
        <f t="shared" si="147"/>
        <v>0</v>
      </c>
      <c r="J312" s="294">
        <f t="shared" si="147"/>
        <v>0</v>
      </c>
      <c r="K312" s="294">
        <f t="shared" si="147"/>
        <v>0</v>
      </c>
      <c r="L312" s="294">
        <f t="shared" si="147"/>
        <v>0</v>
      </c>
      <c r="M312" s="294">
        <f t="shared" si="147"/>
        <v>0</v>
      </c>
      <c r="N312" s="294">
        <f t="shared" si="147"/>
        <v>0</v>
      </c>
      <c r="O312" s="294">
        <f t="shared" si="147"/>
        <v>0</v>
      </c>
      <c r="P312" s="294">
        <f t="shared" si="147"/>
        <v>0</v>
      </c>
      <c r="Q312" s="294">
        <f t="shared" si="147"/>
        <v>0</v>
      </c>
      <c r="R312" s="294">
        <f t="shared" si="147"/>
        <v>0</v>
      </c>
      <c r="S312" s="294">
        <f t="shared" si="147"/>
        <v>0</v>
      </c>
      <c r="T312" s="294">
        <f t="shared" si="147"/>
        <v>0</v>
      </c>
      <c r="U312" s="294">
        <f t="shared" si="147"/>
        <v>0</v>
      </c>
      <c r="V312" s="294">
        <f t="shared" si="147"/>
        <v>0</v>
      </c>
      <c r="W312" s="294">
        <f t="shared" si="147"/>
        <v>0</v>
      </c>
      <c r="X312" s="294">
        <f t="shared" si="147"/>
        <v>0</v>
      </c>
      <c r="Y312" s="294">
        <f t="shared" si="147"/>
        <v>0</v>
      </c>
      <c r="Z312" s="294">
        <f t="shared" si="147"/>
        <v>0</v>
      </c>
      <c r="AA312" s="294">
        <f t="shared" si="147"/>
        <v>0</v>
      </c>
      <c r="AB312" s="294">
        <f t="shared" si="147"/>
        <v>0</v>
      </c>
      <c r="AC312" s="294">
        <f t="shared" si="147"/>
        <v>0</v>
      </c>
      <c r="AD312" s="294">
        <f t="shared" si="147"/>
        <v>0</v>
      </c>
      <c r="AE312" s="294">
        <f t="shared" si="147"/>
        <v>0</v>
      </c>
      <c r="AF312" s="294">
        <f t="shared" si="147"/>
        <v>0</v>
      </c>
      <c r="AG312" s="294">
        <f t="shared" si="147"/>
        <v>0</v>
      </c>
      <c r="AH312" s="294">
        <f t="shared" si="147"/>
        <v>0</v>
      </c>
      <c r="AI312" s="294">
        <f t="shared" si="147"/>
        <v>0</v>
      </c>
      <c r="AJ312" s="294">
        <f t="shared" si="147"/>
        <v>0</v>
      </c>
      <c r="AK312" s="294">
        <f t="shared" si="147"/>
        <v>0</v>
      </c>
      <c r="AL312" s="294">
        <f t="shared" si="147"/>
        <v>0</v>
      </c>
      <c r="AM312" s="294">
        <f t="shared" si="147"/>
        <v>0</v>
      </c>
      <c r="AN312" s="294">
        <f t="shared" si="147"/>
        <v>0</v>
      </c>
      <c r="AO312" s="294">
        <f t="shared" si="147"/>
        <v>0</v>
      </c>
      <c r="AP312" s="294">
        <f t="shared" si="147"/>
        <v>0</v>
      </c>
    </row>
    <row r="313" spans="1:42" s="21" customFormat="1" ht="12" customHeight="1" x14ac:dyDescent="0.2">
      <c r="A313" s="46" t="s">
        <v>18</v>
      </c>
      <c r="B313" s="169"/>
      <c r="C313" s="273">
        <f>SUM(C303:C312)</f>
        <v>0</v>
      </c>
      <c r="D313" s="273">
        <f t="shared" ref="D313:AP313" si="148">SUM(D303:D312)</f>
        <v>0</v>
      </c>
      <c r="E313" s="273">
        <f t="shared" si="148"/>
        <v>0</v>
      </c>
      <c r="F313" s="273">
        <f t="shared" si="148"/>
        <v>0</v>
      </c>
      <c r="G313" s="273">
        <f t="shared" si="148"/>
        <v>0</v>
      </c>
      <c r="H313" s="273">
        <f t="shared" si="148"/>
        <v>0</v>
      </c>
      <c r="I313" s="273">
        <f t="shared" si="148"/>
        <v>0</v>
      </c>
      <c r="J313" s="273">
        <f t="shared" si="148"/>
        <v>0</v>
      </c>
      <c r="K313" s="273">
        <f t="shared" si="148"/>
        <v>0</v>
      </c>
      <c r="L313" s="273">
        <f t="shared" si="148"/>
        <v>0</v>
      </c>
      <c r="M313" s="273">
        <f t="shared" si="148"/>
        <v>0</v>
      </c>
      <c r="N313" s="273">
        <f t="shared" si="148"/>
        <v>0</v>
      </c>
      <c r="O313" s="273">
        <f t="shared" si="148"/>
        <v>0</v>
      </c>
      <c r="P313" s="273">
        <f t="shared" si="148"/>
        <v>0</v>
      </c>
      <c r="Q313" s="273">
        <f t="shared" si="148"/>
        <v>0</v>
      </c>
      <c r="R313" s="273">
        <f t="shared" si="148"/>
        <v>0</v>
      </c>
      <c r="S313" s="273">
        <f t="shared" si="148"/>
        <v>0</v>
      </c>
      <c r="T313" s="273">
        <f t="shared" si="148"/>
        <v>0</v>
      </c>
      <c r="U313" s="273">
        <f t="shared" si="148"/>
        <v>0</v>
      </c>
      <c r="V313" s="273">
        <f t="shared" si="148"/>
        <v>0</v>
      </c>
      <c r="W313" s="273">
        <f t="shared" si="148"/>
        <v>0</v>
      </c>
      <c r="X313" s="273">
        <f t="shared" si="148"/>
        <v>0</v>
      </c>
      <c r="Y313" s="273">
        <f t="shared" si="148"/>
        <v>0</v>
      </c>
      <c r="Z313" s="273">
        <f t="shared" si="148"/>
        <v>0</v>
      </c>
      <c r="AA313" s="273">
        <f t="shared" si="148"/>
        <v>0</v>
      </c>
      <c r="AB313" s="273">
        <f t="shared" si="148"/>
        <v>0</v>
      </c>
      <c r="AC313" s="273">
        <f t="shared" si="148"/>
        <v>0</v>
      </c>
      <c r="AD313" s="273">
        <f t="shared" si="148"/>
        <v>0</v>
      </c>
      <c r="AE313" s="273">
        <f t="shared" si="148"/>
        <v>0</v>
      </c>
      <c r="AF313" s="273">
        <f t="shared" si="148"/>
        <v>0</v>
      </c>
      <c r="AG313" s="273">
        <f t="shared" si="148"/>
        <v>0</v>
      </c>
      <c r="AH313" s="273">
        <f t="shared" si="148"/>
        <v>0</v>
      </c>
      <c r="AI313" s="273">
        <f t="shared" si="148"/>
        <v>0</v>
      </c>
      <c r="AJ313" s="273">
        <f t="shared" si="148"/>
        <v>0</v>
      </c>
      <c r="AK313" s="273">
        <f t="shared" si="148"/>
        <v>0</v>
      </c>
      <c r="AL313" s="273">
        <f t="shared" si="148"/>
        <v>0</v>
      </c>
      <c r="AM313" s="273">
        <f t="shared" si="148"/>
        <v>0</v>
      </c>
      <c r="AN313" s="273">
        <f t="shared" si="148"/>
        <v>0</v>
      </c>
      <c r="AO313" s="273">
        <f t="shared" si="148"/>
        <v>0</v>
      </c>
      <c r="AP313" s="273">
        <f t="shared" si="148"/>
        <v>0</v>
      </c>
    </row>
    <row r="314" spans="1:42" x14ac:dyDescent="0.2">
      <c r="A314" s="3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x14ac:dyDescent="0.2">
      <c r="A315" s="36" t="s">
        <v>143</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x14ac:dyDescent="0.2">
      <c r="A316" s="38" t="s">
        <v>108</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x14ac:dyDescent="0.2">
      <c r="A317" s="21">
        <v>1</v>
      </c>
      <c r="B317" s="7">
        <v>0</v>
      </c>
      <c r="C317" s="272">
        <f>IF(C$2&lt;=analysis_period,IF(SUM($C630:C630)&gt;0,B317+1,0),0)</f>
        <v>0</v>
      </c>
      <c r="D317" s="272">
        <f>IF(D$2&lt;=analysis_period,IF(SUM($C630:D630)&gt;0,C317+1,0),0)</f>
        <v>0</v>
      </c>
      <c r="E317" s="272">
        <f>IF(E$2&lt;=analysis_period,IF(SUM($C630:E630)&gt;0,D317+1,0),0)</f>
        <v>0</v>
      </c>
      <c r="F317" s="272">
        <f>IF(F$2&lt;=analysis_period,IF(SUM($C630:F630)&gt;0,E317+1,0),0)</f>
        <v>0</v>
      </c>
      <c r="G317" s="272">
        <f>IF(G$2&lt;=analysis_period,IF(SUM($C630:G630)&gt;0,F317+1,0),0)</f>
        <v>0</v>
      </c>
      <c r="H317" s="272">
        <f>IF(H$2&lt;=analysis_period,IF(SUM($C630:H630)&gt;0,G317+1,0),0)</f>
        <v>0</v>
      </c>
      <c r="I317" s="272">
        <f>IF(I$2&lt;=analysis_period,IF(SUM($C630:I630)&gt;0,H317+1,0),0)</f>
        <v>0</v>
      </c>
      <c r="J317" s="272">
        <f>IF(J$2&lt;=analysis_period,IF(SUM($C630:J630)&gt;0,I317+1,0),0)</f>
        <v>0</v>
      </c>
      <c r="K317" s="272">
        <f>IF(K$2&lt;=analysis_period,IF(SUM($C630:K630)&gt;0,J317+1,0),0)</f>
        <v>0</v>
      </c>
      <c r="L317" s="272">
        <f>IF(L$2&lt;=analysis_period,IF(SUM($C630:L630)&gt;0,K317+1,0),0)</f>
        <v>0</v>
      </c>
      <c r="M317" s="272">
        <f>IF(M$2&lt;=analysis_period,IF(SUM($C630:M630)&gt;0,L317+1,0),0)</f>
        <v>0</v>
      </c>
      <c r="N317" s="272">
        <f>IF(N$2&lt;=analysis_period,IF(SUM($C630:N630)&gt;0,M317+1,0),0)</f>
        <v>0</v>
      </c>
      <c r="O317" s="272">
        <f>IF(O$2&lt;=analysis_period,IF(SUM($C630:O630)&gt;0,N317+1,0),0)</f>
        <v>0</v>
      </c>
      <c r="P317" s="272">
        <f>IF(P$2&lt;=analysis_period,IF(SUM($C630:P630)&gt;0,O317+1,0),0)</f>
        <v>0</v>
      </c>
      <c r="Q317" s="272">
        <f>IF(Q$2&lt;=analysis_period,IF(SUM($C630:Q630)&gt;0,P317+1,0),0)</f>
        <v>0</v>
      </c>
      <c r="R317" s="272">
        <f>IF(R$2&lt;=analysis_period,IF(SUM($C630:R630)&gt;0,Q317+1,0),0)</f>
        <v>0</v>
      </c>
      <c r="S317" s="272">
        <f>IF(S$2&lt;=analysis_period,IF(SUM($C630:S630)&gt;0,R317+1,0),0)</f>
        <v>0</v>
      </c>
      <c r="T317" s="272">
        <f>IF(T$2&lt;=analysis_period,IF(SUM($C630:T630)&gt;0,S317+1,0),0)</f>
        <v>0</v>
      </c>
      <c r="U317" s="272">
        <f>IF(U$2&lt;=analysis_period,IF(SUM($C630:U630)&gt;0,T317+1,0),0)</f>
        <v>0</v>
      </c>
      <c r="V317" s="272">
        <f>IF(V$2&lt;=analysis_period,IF(SUM($C630:V630)&gt;0,U317+1,0),0)</f>
        <v>0</v>
      </c>
      <c r="W317" s="272">
        <f>IF(W$2&lt;=analysis_period,IF(SUM($C630:W630)&gt;0,V317+1,0),0)</f>
        <v>0</v>
      </c>
      <c r="X317" s="272">
        <f>IF(X$2&lt;=analysis_period,IF(SUM($C630:X630)&gt;0,W317+1,0),0)</f>
        <v>0</v>
      </c>
      <c r="Y317" s="272">
        <f>IF(Y$2&lt;=analysis_period,IF(SUM($C630:Y630)&gt;0,X317+1,0),0)</f>
        <v>0</v>
      </c>
      <c r="Z317" s="272">
        <f>IF(Z$2&lt;=analysis_period,IF(SUM($C630:Z630)&gt;0,Y317+1,0),0)</f>
        <v>0</v>
      </c>
      <c r="AA317" s="272">
        <f>IF(AA$2&lt;=analysis_period,IF(SUM($C630:AA630)&gt;0,Z317+1,0),0)</f>
        <v>0</v>
      </c>
      <c r="AB317" s="272">
        <f>IF(AB$2&lt;=analysis_period,IF(SUM($C630:AB630)&gt;0,AA317+1,0),0)</f>
        <v>0</v>
      </c>
      <c r="AC317" s="272">
        <f>IF(AC$2&lt;=analysis_period,IF(SUM($C630:AC630)&gt;0,AB317+1,0),0)</f>
        <v>0</v>
      </c>
      <c r="AD317" s="272">
        <f>IF(AD$2&lt;=analysis_period,IF(SUM($C630:AD630)&gt;0,AC317+1,0),0)</f>
        <v>0</v>
      </c>
      <c r="AE317" s="272">
        <f>IF(AE$2&lt;=analysis_period,IF(SUM($C630:AE630)&gt;0,AD317+1,0),0)</f>
        <v>0</v>
      </c>
      <c r="AF317" s="272">
        <f>IF(AF$2&lt;=analysis_period,IF(SUM($C630:AF630)&gt;0,AE317+1,0),0)</f>
        <v>0</v>
      </c>
      <c r="AG317" s="272">
        <f>IF(AG$2&lt;=analysis_period,IF(SUM($C630:AG630)&gt;0,AF317+1,0),0)</f>
        <v>0</v>
      </c>
      <c r="AH317" s="272">
        <f>IF(AH$2&lt;=analysis_period,IF(SUM($C630:AH630)&gt;0,AG317+1,0),0)</f>
        <v>0</v>
      </c>
      <c r="AI317" s="272">
        <f>IF(AI$2&lt;=analysis_period,IF(SUM($C630:AI630)&gt;0,AH317+1,0),0)</f>
        <v>0</v>
      </c>
      <c r="AJ317" s="272">
        <f>IF(AJ$2&lt;=analysis_period,IF(SUM($C630:AJ630)&gt;0,AI317+1,0),0)</f>
        <v>0</v>
      </c>
      <c r="AK317" s="272">
        <f>IF(AK$2&lt;=analysis_period,IF(SUM($C630:AK630)&gt;0,AJ317+1,0),0)</f>
        <v>0</v>
      </c>
      <c r="AL317" s="272">
        <f>IF(AL$2&lt;=analysis_period,IF(SUM($C630:AL630)&gt;0,AK317+1,0),0)</f>
        <v>0</v>
      </c>
      <c r="AM317" s="272">
        <f>IF(AM$2&lt;=analysis_period,IF(SUM($C630:AM630)&gt;0,AL317+1,0),0)</f>
        <v>0</v>
      </c>
      <c r="AN317" s="272">
        <f>IF(AN$2&lt;=analysis_period,IF(SUM($C630:AN630)&gt;0,AM317+1,0),0)</f>
        <v>0</v>
      </c>
      <c r="AO317" s="272">
        <f>IF(AO$2&lt;=analysis_period,IF(SUM($C630:AO630)&gt;0,AN317+1,0),0)</f>
        <v>0</v>
      </c>
      <c r="AP317" s="272">
        <f>IF(AP$2&lt;=analysis_period,IF(SUM($C630:AP630)&gt;0,AO317+1,0),0)</f>
        <v>0</v>
      </c>
    </row>
    <row r="318" spans="1:42" x14ac:dyDescent="0.2">
      <c r="A318" s="21">
        <f>A317+1</f>
        <v>2</v>
      </c>
      <c r="B318" s="7">
        <v>0</v>
      </c>
      <c r="C318" s="272">
        <f>IF(C$2&lt;=analysis_period,IF(SUM($C631:C631)&gt;0,B318+1,0),0)</f>
        <v>0</v>
      </c>
      <c r="D318" s="272">
        <f>IF(D$2&lt;=analysis_period,IF(SUM($C631:D631)&gt;0,C318+1,0),0)</f>
        <v>0</v>
      </c>
      <c r="E318" s="272">
        <f>IF(E$2&lt;=analysis_period,IF(SUM($C631:E631)&gt;0,D318+1,0),0)</f>
        <v>0</v>
      </c>
      <c r="F318" s="272">
        <f>IF(F$2&lt;=analysis_period,IF(SUM($C631:F631)&gt;0,E318+1,0),0)</f>
        <v>0</v>
      </c>
      <c r="G318" s="272">
        <f>IF(G$2&lt;=analysis_period,IF(SUM($C631:G631)&gt;0,F318+1,0),0)</f>
        <v>0</v>
      </c>
      <c r="H318" s="272">
        <f>IF(H$2&lt;=analysis_period,IF(SUM($C631:H631)&gt;0,G318+1,0),0)</f>
        <v>0</v>
      </c>
      <c r="I318" s="272">
        <f>IF(I$2&lt;=analysis_period,IF(SUM($C631:I631)&gt;0,H318+1,0),0)</f>
        <v>0</v>
      </c>
      <c r="J318" s="272">
        <f>IF(J$2&lt;=analysis_period,IF(SUM($C631:J631)&gt;0,I318+1,0),0)</f>
        <v>0</v>
      </c>
      <c r="K318" s="272">
        <f>IF(K$2&lt;=analysis_period,IF(SUM($C631:K631)&gt;0,J318+1,0),0)</f>
        <v>0</v>
      </c>
      <c r="L318" s="272">
        <f>IF(L$2&lt;=analysis_period,IF(SUM($C631:L631)&gt;0,K318+1,0),0)</f>
        <v>0</v>
      </c>
      <c r="M318" s="272">
        <f>IF(M$2&lt;=analysis_period,IF(SUM($C631:M631)&gt;0,L318+1,0),0)</f>
        <v>0</v>
      </c>
      <c r="N318" s="272">
        <f>IF(N$2&lt;=analysis_period,IF(SUM($C631:N631)&gt;0,M318+1,0),0)</f>
        <v>0</v>
      </c>
      <c r="O318" s="272">
        <f>IF(O$2&lt;=analysis_period,IF(SUM($C631:O631)&gt;0,N318+1,0),0)</f>
        <v>0</v>
      </c>
      <c r="P318" s="272">
        <f>IF(P$2&lt;=analysis_period,IF(SUM($C631:P631)&gt;0,O318+1,0),0)</f>
        <v>0</v>
      </c>
      <c r="Q318" s="272">
        <f>IF(Q$2&lt;=analysis_period,IF(SUM($C631:Q631)&gt;0,P318+1,0),0)</f>
        <v>0</v>
      </c>
      <c r="R318" s="272">
        <f>IF(R$2&lt;=analysis_period,IF(SUM($C631:R631)&gt;0,Q318+1,0),0)</f>
        <v>0</v>
      </c>
      <c r="S318" s="272">
        <f>IF(S$2&lt;=analysis_period,IF(SUM($C631:S631)&gt;0,R318+1,0),0)</f>
        <v>0</v>
      </c>
      <c r="T318" s="272">
        <f>IF(T$2&lt;=analysis_period,IF(SUM($C631:T631)&gt;0,S318+1,0),0)</f>
        <v>0</v>
      </c>
      <c r="U318" s="272">
        <f>IF(U$2&lt;=analysis_period,IF(SUM($C631:U631)&gt;0,T318+1,0),0)</f>
        <v>0</v>
      </c>
      <c r="V318" s="272">
        <f>IF(V$2&lt;=analysis_period,IF(SUM($C631:V631)&gt;0,U318+1,0),0)</f>
        <v>0</v>
      </c>
      <c r="W318" s="272">
        <f>IF(W$2&lt;=analysis_period,IF(SUM($C631:W631)&gt;0,V318+1,0),0)</f>
        <v>0</v>
      </c>
      <c r="X318" s="272">
        <f>IF(X$2&lt;=analysis_period,IF(SUM($C631:X631)&gt;0,W318+1,0),0)</f>
        <v>0</v>
      </c>
      <c r="Y318" s="272">
        <f>IF(Y$2&lt;=analysis_period,IF(SUM($C631:Y631)&gt;0,X318+1,0),0)</f>
        <v>0</v>
      </c>
      <c r="Z318" s="272">
        <f>IF(Z$2&lt;=analysis_period,IF(SUM($C631:Z631)&gt;0,Y318+1,0),0)</f>
        <v>0</v>
      </c>
      <c r="AA318" s="272">
        <f>IF(AA$2&lt;=analysis_period,IF(SUM($C631:AA631)&gt;0,Z318+1,0),0)</f>
        <v>0</v>
      </c>
      <c r="AB318" s="272">
        <f>IF(AB$2&lt;=analysis_period,IF(SUM($C631:AB631)&gt;0,AA318+1,0),0)</f>
        <v>0</v>
      </c>
      <c r="AC318" s="272">
        <f>IF(AC$2&lt;=analysis_period,IF(SUM($C631:AC631)&gt;0,AB318+1,0),0)</f>
        <v>0</v>
      </c>
      <c r="AD318" s="272">
        <f>IF(AD$2&lt;=analysis_period,IF(SUM($C631:AD631)&gt;0,AC318+1,0),0)</f>
        <v>0</v>
      </c>
      <c r="AE318" s="272">
        <f>IF(AE$2&lt;=analysis_period,IF(SUM($C631:AE631)&gt;0,AD318+1,0),0)</f>
        <v>0</v>
      </c>
      <c r="AF318" s="272">
        <f>IF(AF$2&lt;=analysis_period,IF(SUM($C631:AF631)&gt;0,AE318+1,0),0)</f>
        <v>0</v>
      </c>
      <c r="AG318" s="272">
        <f>IF(AG$2&lt;=analysis_period,IF(SUM($C631:AG631)&gt;0,AF318+1,0),0)</f>
        <v>0</v>
      </c>
      <c r="AH318" s="272">
        <f>IF(AH$2&lt;=analysis_period,IF(SUM($C631:AH631)&gt;0,AG318+1,0),0)</f>
        <v>0</v>
      </c>
      <c r="AI318" s="272">
        <f>IF(AI$2&lt;=analysis_period,IF(SUM($C631:AI631)&gt;0,AH318+1,0),0)</f>
        <v>0</v>
      </c>
      <c r="AJ318" s="272">
        <f>IF(AJ$2&lt;=analysis_period,IF(SUM($C631:AJ631)&gt;0,AI318+1,0),0)</f>
        <v>0</v>
      </c>
      <c r="AK318" s="272">
        <f>IF(AK$2&lt;=analysis_period,IF(SUM($C631:AK631)&gt;0,AJ318+1,0),0)</f>
        <v>0</v>
      </c>
      <c r="AL318" s="272">
        <f>IF(AL$2&lt;=analysis_period,IF(SUM($C631:AL631)&gt;0,AK318+1,0),0)</f>
        <v>0</v>
      </c>
      <c r="AM318" s="272">
        <f>IF(AM$2&lt;=analysis_period,IF(SUM($C631:AM631)&gt;0,AL318+1,0),0)</f>
        <v>0</v>
      </c>
      <c r="AN318" s="272">
        <f>IF(AN$2&lt;=analysis_period,IF(SUM($C631:AN631)&gt;0,AM318+1,0),0)</f>
        <v>0</v>
      </c>
      <c r="AO318" s="272">
        <f>IF(AO$2&lt;=analysis_period,IF(SUM($C631:AO631)&gt;0,AN318+1,0),0)</f>
        <v>0</v>
      </c>
      <c r="AP318" s="272">
        <f>IF(AP$2&lt;=analysis_period,IF(SUM($C631:AP631)&gt;0,AO318+1,0),0)</f>
        <v>0</v>
      </c>
    </row>
    <row r="319" spans="1:42" x14ac:dyDescent="0.2">
      <c r="A319" s="21">
        <f t="shared" ref="A319:A326" si="149">A318+1</f>
        <v>3</v>
      </c>
      <c r="B319" s="7">
        <v>0</v>
      </c>
      <c r="C319" s="272">
        <f>IF(C$2&lt;=analysis_period,IF(SUM($C632:C632)&gt;0,B319+1,0),0)</f>
        <v>0</v>
      </c>
      <c r="D319" s="272">
        <f>IF(D$2&lt;=analysis_period,IF(SUM($C632:D632)&gt;0,C319+1,0),0)</f>
        <v>0</v>
      </c>
      <c r="E319" s="272">
        <f>IF(E$2&lt;=analysis_period,IF(SUM($C632:E632)&gt;0,D319+1,0),0)</f>
        <v>0</v>
      </c>
      <c r="F319" s="272">
        <f>IF(F$2&lt;=analysis_period,IF(SUM($C632:F632)&gt;0,E319+1,0),0)</f>
        <v>0</v>
      </c>
      <c r="G319" s="272">
        <f>IF(G$2&lt;=analysis_period,IF(SUM($C632:G632)&gt;0,F319+1,0),0)</f>
        <v>0</v>
      </c>
      <c r="H319" s="272">
        <f>IF(H$2&lt;=analysis_period,IF(SUM($C632:H632)&gt;0,G319+1,0),0)</f>
        <v>0</v>
      </c>
      <c r="I319" s="272">
        <f>IF(I$2&lt;=analysis_period,IF(SUM($C632:I632)&gt;0,H319+1,0),0)</f>
        <v>0</v>
      </c>
      <c r="J319" s="272">
        <f>IF(J$2&lt;=analysis_period,IF(SUM($C632:J632)&gt;0,I319+1,0),0)</f>
        <v>0</v>
      </c>
      <c r="K319" s="272">
        <f>IF(K$2&lt;=analysis_period,IF(SUM($C632:K632)&gt;0,J319+1,0),0)</f>
        <v>0</v>
      </c>
      <c r="L319" s="272">
        <f>IF(L$2&lt;=analysis_period,IF(SUM($C632:L632)&gt;0,K319+1,0),0)</f>
        <v>0</v>
      </c>
      <c r="M319" s="272">
        <f>IF(M$2&lt;=analysis_period,IF(SUM($C632:M632)&gt;0,L319+1,0),0)</f>
        <v>0</v>
      </c>
      <c r="N319" s="272">
        <f>IF(N$2&lt;=analysis_period,IF(SUM($C632:N632)&gt;0,M319+1,0),0)</f>
        <v>0</v>
      </c>
      <c r="O319" s="272">
        <f>IF(O$2&lt;=analysis_period,IF(SUM($C632:O632)&gt;0,N319+1,0),0)</f>
        <v>0</v>
      </c>
      <c r="P319" s="272">
        <f>IF(P$2&lt;=analysis_period,IF(SUM($C632:P632)&gt;0,O319+1,0),0)</f>
        <v>0</v>
      </c>
      <c r="Q319" s="272">
        <f>IF(Q$2&lt;=analysis_period,IF(SUM($C632:Q632)&gt;0,P319+1,0),0)</f>
        <v>0</v>
      </c>
      <c r="R319" s="272">
        <f>IF(R$2&lt;=analysis_period,IF(SUM($C632:R632)&gt;0,Q319+1,0),0)</f>
        <v>0</v>
      </c>
      <c r="S319" s="272">
        <f>IF(S$2&lt;=analysis_period,IF(SUM($C632:S632)&gt;0,R319+1,0),0)</f>
        <v>0</v>
      </c>
      <c r="T319" s="272">
        <f>IF(T$2&lt;=analysis_period,IF(SUM($C632:T632)&gt;0,S319+1,0),0)</f>
        <v>0</v>
      </c>
      <c r="U319" s="272">
        <f>IF(U$2&lt;=analysis_period,IF(SUM($C632:U632)&gt;0,T319+1,0),0)</f>
        <v>0</v>
      </c>
      <c r="V319" s="272">
        <f>IF(V$2&lt;=analysis_period,IF(SUM($C632:V632)&gt;0,U319+1,0),0)</f>
        <v>0</v>
      </c>
      <c r="W319" s="272">
        <f>IF(W$2&lt;=analysis_period,IF(SUM($C632:W632)&gt;0,V319+1,0),0)</f>
        <v>0</v>
      </c>
      <c r="X319" s="272">
        <f>IF(X$2&lt;=analysis_period,IF(SUM($C632:X632)&gt;0,W319+1,0),0)</f>
        <v>0</v>
      </c>
      <c r="Y319" s="272">
        <f>IF(Y$2&lt;=analysis_period,IF(SUM($C632:Y632)&gt;0,X319+1,0),0)</f>
        <v>0</v>
      </c>
      <c r="Z319" s="272">
        <f>IF(Z$2&lt;=analysis_period,IF(SUM($C632:Z632)&gt;0,Y319+1,0),0)</f>
        <v>0</v>
      </c>
      <c r="AA319" s="272">
        <f>IF(AA$2&lt;=analysis_period,IF(SUM($C632:AA632)&gt;0,Z319+1,0),0)</f>
        <v>0</v>
      </c>
      <c r="AB319" s="272">
        <f>IF(AB$2&lt;=analysis_period,IF(SUM($C632:AB632)&gt;0,AA319+1,0),0)</f>
        <v>0</v>
      </c>
      <c r="AC319" s="272">
        <f>IF(AC$2&lt;=analysis_period,IF(SUM($C632:AC632)&gt;0,AB319+1,0),0)</f>
        <v>0</v>
      </c>
      <c r="AD319" s="272">
        <f>IF(AD$2&lt;=analysis_period,IF(SUM($C632:AD632)&gt;0,AC319+1,0),0)</f>
        <v>0</v>
      </c>
      <c r="AE319" s="272">
        <f>IF(AE$2&lt;=analysis_period,IF(SUM($C632:AE632)&gt;0,AD319+1,0),0)</f>
        <v>0</v>
      </c>
      <c r="AF319" s="272">
        <f>IF(AF$2&lt;=analysis_period,IF(SUM($C632:AF632)&gt;0,AE319+1,0),0)</f>
        <v>0</v>
      </c>
      <c r="AG319" s="272">
        <f>IF(AG$2&lt;=analysis_period,IF(SUM($C632:AG632)&gt;0,AF319+1,0),0)</f>
        <v>0</v>
      </c>
      <c r="AH319" s="272">
        <f>IF(AH$2&lt;=analysis_period,IF(SUM($C632:AH632)&gt;0,AG319+1,0),0)</f>
        <v>0</v>
      </c>
      <c r="AI319" s="272">
        <f>IF(AI$2&lt;=analysis_period,IF(SUM($C632:AI632)&gt;0,AH319+1,0),0)</f>
        <v>0</v>
      </c>
      <c r="AJ319" s="272">
        <f>IF(AJ$2&lt;=analysis_period,IF(SUM($C632:AJ632)&gt;0,AI319+1,0),0)</f>
        <v>0</v>
      </c>
      <c r="AK319" s="272">
        <f>IF(AK$2&lt;=analysis_period,IF(SUM($C632:AK632)&gt;0,AJ319+1,0),0)</f>
        <v>0</v>
      </c>
      <c r="AL319" s="272">
        <f>IF(AL$2&lt;=analysis_period,IF(SUM($C632:AL632)&gt;0,AK319+1,0),0)</f>
        <v>0</v>
      </c>
      <c r="AM319" s="272">
        <f>IF(AM$2&lt;=analysis_period,IF(SUM($C632:AM632)&gt;0,AL319+1,0),0)</f>
        <v>0</v>
      </c>
      <c r="AN319" s="272">
        <f>IF(AN$2&lt;=analysis_period,IF(SUM($C632:AN632)&gt;0,AM319+1,0),0)</f>
        <v>0</v>
      </c>
      <c r="AO319" s="272">
        <f>IF(AO$2&lt;=analysis_period,IF(SUM($C632:AO632)&gt;0,AN319+1,0),0)</f>
        <v>0</v>
      </c>
      <c r="AP319" s="272">
        <f>IF(AP$2&lt;=analysis_period,IF(SUM($C632:AP632)&gt;0,AO319+1,0),0)</f>
        <v>0</v>
      </c>
    </row>
    <row r="320" spans="1:42" x14ac:dyDescent="0.2">
      <c r="A320" s="21">
        <f t="shared" si="149"/>
        <v>4</v>
      </c>
      <c r="B320" s="7">
        <v>0</v>
      </c>
      <c r="C320" s="272">
        <f>IF(C$2&lt;=analysis_period,IF(SUM($C633:C633)&gt;0,B320+1,0),0)</f>
        <v>0</v>
      </c>
      <c r="D320" s="272">
        <f>IF(D$2&lt;=analysis_period,IF(SUM($C633:D633)&gt;0,C320+1,0),0)</f>
        <v>0</v>
      </c>
      <c r="E320" s="272">
        <f>IF(E$2&lt;=analysis_period,IF(SUM($C633:E633)&gt;0,D320+1,0),0)</f>
        <v>0</v>
      </c>
      <c r="F320" s="272">
        <f>IF(F$2&lt;=analysis_period,IF(SUM($C633:F633)&gt;0,E320+1,0),0)</f>
        <v>0</v>
      </c>
      <c r="G320" s="272">
        <f>IF(G$2&lt;=analysis_period,IF(SUM($C633:G633)&gt;0,F320+1,0),0)</f>
        <v>0</v>
      </c>
      <c r="H320" s="272">
        <f>IF(H$2&lt;=analysis_period,IF(SUM($C633:H633)&gt;0,G320+1,0),0)</f>
        <v>0</v>
      </c>
      <c r="I320" s="272">
        <f>IF(I$2&lt;=analysis_period,IF(SUM($C633:I633)&gt;0,H320+1,0),0)</f>
        <v>0</v>
      </c>
      <c r="J320" s="272">
        <f>IF(J$2&lt;=analysis_period,IF(SUM($C633:J633)&gt;0,I320+1,0),0)</f>
        <v>0</v>
      </c>
      <c r="K320" s="272">
        <f>IF(K$2&lt;=analysis_period,IF(SUM($C633:K633)&gt;0,J320+1,0),0)</f>
        <v>0</v>
      </c>
      <c r="L320" s="272">
        <f>IF(L$2&lt;=analysis_period,IF(SUM($C633:L633)&gt;0,K320+1,0),0)</f>
        <v>0</v>
      </c>
      <c r="M320" s="272">
        <f>IF(M$2&lt;=analysis_period,IF(SUM($C633:M633)&gt;0,L320+1,0),0)</f>
        <v>0</v>
      </c>
      <c r="N320" s="272">
        <f>IF(N$2&lt;=analysis_period,IF(SUM($C633:N633)&gt;0,M320+1,0),0)</f>
        <v>0</v>
      </c>
      <c r="O320" s="272">
        <f>IF(O$2&lt;=analysis_period,IF(SUM($C633:O633)&gt;0,N320+1,0),0)</f>
        <v>0</v>
      </c>
      <c r="P320" s="272">
        <f>IF(P$2&lt;=analysis_period,IF(SUM($C633:P633)&gt;0,O320+1,0),0)</f>
        <v>0</v>
      </c>
      <c r="Q320" s="272">
        <f>IF(Q$2&lt;=analysis_period,IF(SUM($C633:Q633)&gt;0,P320+1,0),0)</f>
        <v>0</v>
      </c>
      <c r="R320" s="272">
        <f>IF(R$2&lt;=analysis_period,IF(SUM($C633:R633)&gt;0,Q320+1,0),0)</f>
        <v>0</v>
      </c>
      <c r="S320" s="272">
        <f>IF(S$2&lt;=analysis_period,IF(SUM($C633:S633)&gt;0,R320+1,0),0)</f>
        <v>0</v>
      </c>
      <c r="T320" s="272">
        <f>IF(T$2&lt;=analysis_period,IF(SUM($C633:T633)&gt;0,S320+1,0),0)</f>
        <v>0</v>
      </c>
      <c r="U320" s="272">
        <f>IF(U$2&lt;=analysis_period,IF(SUM($C633:U633)&gt;0,T320+1,0),0)</f>
        <v>0</v>
      </c>
      <c r="V320" s="272">
        <f>IF(V$2&lt;=analysis_period,IF(SUM($C633:V633)&gt;0,U320+1,0),0)</f>
        <v>0</v>
      </c>
      <c r="W320" s="272">
        <f>IF(W$2&lt;=analysis_period,IF(SUM($C633:W633)&gt;0,V320+1,0),0)</f>
        <v>0</v>
      </c>
      <c r="X320" s="272">
        <f>IF(X$2&lt;=analysis_period,IF(SUM($C633:X633)&gt;0,W320+1,0),0)</f>
        <v>0</v>
      </c>
      <c r="Y320" s="272">
        <f>IF(Y$2&lt;=analysis_period,IF(SUM($C633:Y633)&gt;0,X320+1,0),0)</f>
        <v>0</v>
      </c>
      <c r="Z320" s="272">
        <f>IF(Z$2&lt;=analysis_period,IF(SUM($C633:Z633)&gt;0,Y320+1,0),0)</f>
        <v>0</v>
      </c>
      <c r="AA320" s="272">
        <f>IF(AA$2&lt;=analysis_period,IF(SUM($C633:AA633)&gt;0,Z320+1,0),0)</f>
        <v>0</v>
      </c>
      <c r="AB320" s="272">
        <f>IF(AB$2&lt;=analysis_period,IF(SUM($C633:AB633)&gt;0,AA320+1,0),0)</f>
        <v>0</v>
      </c>
      <c r="AC320" s="272">
        <f>IF(AC$2&lt;=analysis_period,IF(SUM($C633:AC633)&gt;0,AB320+1,0),0)</f>
        <v>0</v>
      </c>
      <c r="AD320" s="272">
        <f>IF(AD$2&lt;=analysis_period,IF(SUM($C633:AD633)&gt;0,AC320+1,0),0)</f>
        <v>0</v>
      </c>
      <c r="AE320" s="272">
        <f>IF(AE$2&lt;=analysis_period,IF(SUM($C633:AE633)&gt;0,AD320+1,0),0)</f>
        <v>0</v>
      </c>
      <c r="AF320" s="272">
        <f>IF(AF$2&lt;=analysis_period,IF(SUM($C633:AF633)&gt;0,AE320+1,0),0)</f>
        <v>0</v>
      </c>
      <c r="AG320" s="272">
        <f>IF(AG$2&lt;=analysis_period,IF(SUM($C633:AG633)&gt;0,AF320+1,0),0)</f>
        <v>0</v>
      </c>
      <c r="AH320" s="272">
        <f>IF(AH$2&lt;=analysis_period,IF(SUM($C633:AH633)&gt;0,AG320+1,0),0)</f>
        <v>0</v>
      </c>
      <c r="AI320" s="272">
        <f>IF(AI$2&lt;=analysis_period,IF(SUM($C633:AI633)&gt;0,AH320+1,0),0)</f>
        <v>0</v>
      </c>
      <c r="AJ320" s="272">
        <f>IF(AJ$2&lt;=analysis_period,IF(SUM($C633:AJ633)&gt;0,AI320+1,0),0)</f>
        <v>0</v>
      </c>
      <c r="AK320" s="272">
        <f>IF(AK$2&lt;=analysis_period,IF(SUM($C633:AK633)&gt;0,AJ320+1,0),0)</f>
        <v>0</v>
      </c>
      <c r="AL320" s="272">
        <f>IF(AL$2&lt;=analysis_period,IF(SUM($C633:AL633)&gt;0,AK320+1,0),0)</f>
        <v>0</v>
      </c>
      <c r="AM320" s="272">
        <f>IF(AM$2&lt;=analysis_period,IF(SUM($C633:AM633)&gt;0,AL320+1,0),0)</f>
        <v>0</v>
      </c>
      <c r="AN320" s="272">
        <f>IF(AN$2&lt;=analysis_period,IF(SUM($C633:AN633)&gt;0,AM320+1,0),0)</f>
        <v>0</v>
      </c>
      <c r="AO320" s="272">
        <f>IF(AO$2&lt;=analysis_period,IF(SUM($C633:AO633)&gt;0,AN320+1,0),0)</f>
        <v>0</v>
      </c>
      <c r="AP320" s="272">
        <f>IF(AP$2&lt;=analysis_period,IF(SUM($C633:AP633)&gt;0,AO320+1,0),0)</f>
        <v>0</v>
      </c>
    </row>
    <row r="321" spans="1:42" x14ac:dyDescent="0.2">
      <c r="A321" s="21">
        <f t="shared" si="149"/>
        <v>5</v>
      </c>
      <c r="B321" s="7">
        <v>0</v>
      </c>
      <c r="C321" s="272">
        <f>IF(C$2&lt;=analysis_period,IF(SUM($C634:C634)&gt;0,B321+1,0),0)</f>
        <v>0</v>
      </c>
      <c r="D321" s="272">
        <f>IF(D$2&lt;=analysis_period,IF(SUM($C634:D634)&gt;0,C321+1,0),0)</f>
        <v>0</v>
      </c>
      <c r="E321" s="272">
        <f>IF(E$2&lt;=analysis_period,IF(SUM($C634:E634)&gt;0,D321+1,0),0)</f>
        <v>0</v>
      </c>
      <c r="F321" s="272">
        <f>IF(F$2&lt;=analysis_period,IF(SUM($C634:F634)&gt;0,E321+1,0),0)</f>
        <v>0</v>
      </c>
      <c r="G321" s="272">
        <f>IF(G$2&lt;=analysis_period,IF(SUM($C634:G634)&gt;0,F321+1,0),0)</f>
        <v>0</v>
      </c>
      <c r="H321" s="272">
        <f>IF(H$2&lt;=analysis_period,IF(SUM($C634:H634)&gt;0,G321+1,0),0)</f>
        <v>0</v>
      </c>
      <c r="I321" s="272">
        <f>IF(I$2&lt;=analysis_period,IF(SUM($C634:I634)&gt;0,H321+1,0),0)</f>
        <v>0</v>
      </c>
      <c r="J321" s="272">
        <f>IF(J$2&lt;=analysis_period,IF(SUM($C634:J634)&gt;0,I321+1,0),0)</f>
        <v>0</v>
      </c>
      <c r="K321" s="272">
        <f>IF(K$2&lt;=analysis_period,IF(SUM($C634:K634)&gt;0,J321+1,0),0)</f>
        <v>0</v>
      </c>
      <c r="L321" s="272">
        <f>IF(L$2&lt;=analysis_period,IF(SUM($C634:L634)&gt;0,K321+1,0),0)</f>
        <v>0</v>
      </c>
      <c r="M321" s="272">
        <f>IF(M$2&lt;=analysis_period,IF(SUM($C634:M634)&gt;0,L321+1,0),0)</f>
        <v>0</v>
      </c>
      <c r="N321" s="272">
        <f>IF(N$2&lt;=analysis_period,IF(SUM($C634:N634)&gt;0,M321+1,0),0)</f>
        <v>0</v>
      </c>
      <c r="O321" s="272">
        <f>IF(O$2&lt;=analysis_period,IF(SUM($C634:O634)&gt;0,N321+1,0),0)</f>
        <v>0</v>
      </c>
      <c r="P321" s="272">
        <f>IF(P$2&lt;=analysis_period,IF(SUM($C634:P634)&gt;0,O321+1,0),0)</f>
        <v>0</v>
      </c>
      <c r="Q321" s="272">
        <f>IF(Q$2&lt;=analysis_period,IF(SUM($C634:Q634)&gt;0,P321+1,0),0)</f>
        <v>0</v>
      </c>
      <c r="R321" s="272">
        <f>IF(R$2&lt;=analysis_period,IF(SUM($C634:R634)&gt;0,Q321+1,0),0)</f>
        <v>0</v>
      </c>
      <c r="S321" s="272">
        <f>IF(S$2&lt;=analysis_period,IF(SUM($C634:S634)&gt;0,R321+1,0),0)</f>
        <v>0</v>
      </c>
      <c r="T321" s="272">
        <f>IF(T$2&lt;=analysis_period,IF(SUM($C634:T634)&gt;0,S321+1,0),0)</f>
        <v>0</v>
      </c>
      <c r="U321" s="272">
        <f>IF(U$2&lt;=analysis_period,IF(SUM($C634:U634)&gt;0,T321+1,0),0)</f>
        <v>0</v>
      </c>
      <c r="V321" s="272">
        <f>IF(V$2&lt;=analysis_period,IF(SUM($C634:V634)&gt;0,U321+1,0),0)</f>
        <v>0</v>
      </c>
      <c r="W321" s="272">
        <f>IF(W$2&lt;=analysis_period,IF(SUM($C634:W634)&gt;0,V321+1,0),0)</f>
        <v>0</v>
      </c>
      <c r="X321" s="272">
        <f>IF(X$2&lt;=analysis_period,IF(SUM($C634:X634)&gt;0,W321+1,0),0)</f>
        <v>0</v>
      </c>
      <c r="Y321" s="272">
        <f>IF(Y$2&lt;=analysis_period,IF(SUM($C634:Y634)&gt;0,X321+1,0),0)</f>
        <v>0</v>
      </c>
      <c r="Z321" s="272">
        <f>IF(Z$2&lt;=analysis_period,IF(SUM($C634:Z634)&gt;0,Y321+1,0),0)</f>
        <v>0</v>
      </c>
      <c r="AA321" s="272">
        <f>IF(AA$2&lt;=analysis_period,IF(SUM($C634:AA634)&gt;0,Z321+1,0),0)</f>
        <v>0</v>
      </c>
      <c r="AB321" s="272">
        <f>IF(AB$2&lt;=analysis_period,IF(SUM($C634:AB634)&gt;0,AA321+1,0),0)</f>
        <v>0</v>
      </c>
      <c r="AC321" s="272">
        <f>IF(AC$2&lt;=analysis_period,IF(SUM($C634:AC634)&gt;0,AB321+1,0),0)</f>
        <v>0</v>
      </c>
      <c r="AD321" s="272">
        <f>IF(AD$2&lt;=analysis_period,IF(SUM($C634:AD634)&gt;0,AC321+1,0),0)</f>
        <v>0</v>
      </c>
      <c r="AE321" s="272">
        <f>IF(AE$2&lt;=analysis_period,IF(SUM($C634:AE634)&gt;0,AD321+1,0),0)</f>
        <v>0</v>
      </c>
      <c r="AF321" s="272">
        <f>IF(AF$2&lt;=analysis_period,IF(SUM($C634:AF634)&gt;0,AE321+1,0),0)</f>
        <v>0</v>
      </c>
      <c r="AG321" s="272">
        <f>IF(AG$2&lt;=analysis_period,IF(SUM($C634:AG634)&gt;0,AF321+1,0),0)</f>
        <v>0</v>
      </c>
      <c r="AH321" s="272">
        <f>IF(AH$2&lt;=analysis_period,IF(SUM($C634:AH634)&gt;0,AG321+1,0),0)</f>
        <v>0</v>
      </c>
      <c r="AI321" s="272">
        <f>IF(AI$2&lt;=analysis_period,IF(SUM($C634:AI634)&gt;0,AH321+1,0),0)</f>
        <v>0</v>
      </c>
      <c r="AJ321" s="272">
        <f>IF(AJ$2&lt;=analysis_period,IF(SUM($C634:AJ634)&gt;0,AI321+1,0),0)</f>
        <v>0</v>
      </c>
      <c r="AK321" s="272">
        <f>IF(AK$2&lt;=analysis_period,IF(SUM($C634:AK634)&gt;0,AJ321+1,0),0)</f>
        <v>0</v>
      </c>
      <c r="AL321" s="272">
        <f>IF(AL$2&lt;=analysis_period,IF(SUM($C634:AL634)&gt;0,AK321+1,0),0)</f>
        <v>0</v>
      </c>
      <c r="AM321" s="272">
        <f>IF(AM$2&lt;=analysis_period,IF(SUM($C634:AM634)&gt;0,AL321+1,0),0)</f>
        <v>0</v>
      </c>
      <c r="AN321" s="272">
        <f>IF(AN$2&lt;=analysis_period,IF(SUM($C634:AN634)&gt;0,AM321+1,0),0)</f>
        <v>0</v>
      </c>
      <c r="AO321" s="272">
        <f>IF(AO$2&lt;=analysis_period,IF(SUM($C634:AO634)&gt;0,AN321+1,0),0)</f>
        <v>0</v>
      </c>
      <c r="AP321" s="272">
        <f>IF(AP$2&lt;=analysis_period,IF(SUM($C634:AP634)&gt;0,AO321+1,0),0)</f>
        <v>0</v>
      </c>
    </row>
    <row r="322" spans="1:42" x14ac:dyDescent="0.2">
      <c r="A322" s="21">
        <f t="shared" si="149"/>
        <v>6</v>
      </c>
      <c r="B322" s="7">
        <v>0</v>
      </c>
      <c r="C322" s="272">
        <f>IF(C$2&lt;=analysis_period,IF(SUM($C635:C635)&gt;0,B322+1,0),0)</f>
        <v>0</v>
      </c>
      <c r="D322" s="272">
        <f>IF(D$2&lt;=analysis_period,IF(SUM($C635:D635)&gt;0,C322+1,0),0)</f>
        <v>0</v>
      </c>
      <c r="E322" s="272">
        <f>IF(E$2&lt;=analysis_period,IF(SUM($C635:E635)&gt;0,D322+1,0),0)</f>
        <v>0</v>
      </c>
      <c r="F322" s="272">
        <f>IF(F$2&lt;=analysis_period,IF(SUM($C635:F635)&gt;0,E322+1,0),0)</f>
        <v>0</v>
      </c>
      <c r="G322" s="272">
        <f>IF(G$2&lt;=analysis_period,IF(SUM($C635:G635)&gt;0,F322+1,0),0)</f>
        <v>0</v>
      </c>
      <c r="H322" s="272">
        <f>IF(H$2&lt;=analysis_period,IF(SUM($C635:H635)&gt;0,G322+1,0),0)</f>
        <v>0</v>
      </c>
      <c r="I322" s="272">
        <f>IF(I$2&lt;=analysis_period,IF(SUM($C635:I635)&gt;0,H322+1,0),0)</f>
        <v>0</v>
      </c>
      <c r="J322" s="272">
        <f>IF(J$2&lt;=analysis_period,IF(SUM($C635:J635)&gt;0,I322+1,0),0)</f>
        <v>0</v>
      </c>
      <c r="K322" s="272">
        <f>IF(K$2&lt;=analysis_period,IF(SUM($C635:K635)&gt;0,J322+1,0),0)</f>
        <v>0</v>
      </c>
      <c r="L322" s="272">
        <f>IF(L$2&lt;=analysis_period,IF(SUM($C635:L635)&gt;0,K322+1,0),0)</f>
        <v>0</v>
      </c>
      <c r="M322" s="272">
        <f>IF(M$2&lt;=analysis_period,IF(SUM($C635:M635)&gt;0,L322+1,0),0)</f>
        <v>0</v>
      </c>
      <c r="N322" s="272">
        <f>IF(N$2&lt;=analysis_period,IF(SUM($C635:N635)&gt;0,M322+1,0),0)</f>
        <v>0</v>
      </c>
      <c r="O322" s="272">
        <f>IF(O$2&lt;=analysis_period,IF(SUM($C635:O635)&gt;0,N322+1,0),0)</f>
        <v>0</v>
      </c>
      <c r="P322" s="272">
        <f>IF(P$2&lt;=analysis_period,IF(SUM($C635:P635)&gt;0,O322+1,0),0)</f>
        <v>0</v>
      </c>
      <c r="Q322" s="272">
        <f>IF(Q$2&lt;=analysis_period,IF(SUM($C635:Q635)&gt;0,P322+1,0),0)</f>
        <v>0</v>
      </c>
      <c r="R322" s="272">
        <f>IF(R$2&lt;=analysis_period,IF(SUM($C635:R635)&gt;0,Q322+1,0),0)</f>
        <v>0</v>
      </c>
      <c r="S322" s="272">
        <f>IF(S$2&lt;=analysis_period,IF(SUM($C635:S635)&gt;0,R322+1,0),0)</f>
        <v>0</v>
      </c>
      <c r="T322" s="272">
        <f>IF(T$2&lt;=analysis_period,IF(SUM($C635:T635)&gt;0,S322+1,0),0)</f>
        <v>0</v>
      </c>
      <c r="U322" s="272">
        <f>IF(U$2&lt;=analysis_period,IF(SUM($C635:U635)&gt;0,T322+1,0),0)</f>
        <v>0</v>
      </c>
      <c r="V322" s="272">
        <f>IF(V$2&lt;=analysis_period,IF(SUM($C635:V635)&gt;0,U322+1,0),0)</f>
        <v>0</v>
      </c>
      <c r="W322" s="272">
        <f>IF(W$2&lt;=analysis_period,IF(SUM($C635:W635)&gt;0,V322+1,0),0)</f>
        <v>0</v>
      </c>
      <c r="X322" s="272">
        <f>IF(X$2&lt;=analysis_period,IF(SUM($C635:X635)&gt;0,W322+1,0),0)</f>
        <v>0</v>
      </c>
      <c r="Y322" s="272">
        <f>IF(Y$2&lt;=analysis_period,IF(SUM($C635:Y635)&gt;0,X322+1,0),0)</f>
        <v>0</v>
      </c>
      <c r="Z322" s="272">
        <f>IF(Z$2&lt;=analysis_period,IF(SUM($C635:Z635)&gt;0,Y322+1,0),0)</f>
        <v>0</v>
      </c>
      <c r="AA322" s="272">
        <f>IF(AA$2&lt;=analysis_period,IF(SUM($C635:AA635)&gt;0,Z322+1,0),0)</f>
        <v>0</v>
      </c>
      <c r="AB322" s="272">
        <f>IF(AB$2&lt;=analysis_period,IF(SUM($C635:AB635)&gt;0,AA322+1,0),0)</f>
        <v>0</v>
      </c>
      <c r="AC322" s="272">
        <f>IF(AC$2&lt;=analysis_period,IF(SUM($C635:AC635)&gt;0,AB322+1,0),0)</f>
        <v>0</v>
      </c>
      <c r="AD322" s="272">
        <f>IF(AD$2&lt;=analysis_period,IF(SUM($C635:AD635)&gt;0,AC322+1,0),0)</f>
        <v>0</v>
      </c>
      <c r="AE322" s="272">
        <f>IF(AE$2&lt;=analysis_period,IF(SUM($C635:AE635)&gt;0,AD322+1,0),0)</f>
        <v>0</v>
      </c>
      <c r="AF322" s="272">
        <f>IF(AF$2&lt;=analysis_period,IF(SUM($C635:AF635)&gt;0,AE322+1,0),0)</f>
        <v>0</v>
      </c>
      <c r="AG322" s="272">
        <f>IF(AG$2&lt;=analysis_period,IF(SUM($C635:AG635)&gt;0,AF322+1,0),0)</f>
        <v>0</v>
      </c>
      <c r="AH322" s="272">
        <f>IF(AH$2&lt;=analysis_period,IF(SUM($C635:AH635)&gt;0,AG322+1,0),0)</f>
        <v>0</v>
      </c>
      <c r="AI322" s="272">
        <f>IF(AI$2&lt;=analysis_period,IF(SUM($C635:AI635)&gt;0,AH322+1,0),0)</f>
        <v>0</v>
      </c>
      <c r="AJ322" s="272">
        <f>IF(AJ$2&lt;=analysis_period,IF(SUM($C635:AJ635)&gt;0,AI322+1,0),0)</f>
        <v>0</v>
      </c>
      <c r="AK322" s="272">
        <f>IF(AK$2&lt;=analysis_period,IF(SUM($C635:AK635)&gt;0,AJ322+1,0),0)</f>
        <v>0</v>
      </c>
      <c r="AL322" s="272">
        <f>IF(AL$2&lt;=analysis_period,IF(SUM($C635:AL635)&gt;0,AK322+1,0),0)</f>
        <v>0</v>
      </c>
      <c r="AM322" s="272">
        <f>IF(AM$2&lt;=analysis_period,IF(SUM($C635:AM635)&gt;0,AL322+1,0),0)</f>
        <v>0</v>
      </c>
      <c r="AN322" s="272">
        <f>IF(AN$2&lt;=analysis_period,IF(SUM($C635:AN635)&gt;0,AM322+1,0),0)</f>
        <v>0</v>
      </c>
      <c r="AO322" s="272">
        <f>IF(AO$2&lt;=analysis_period,IF(SUM($C635:AO635)&gt;0,AN322+1,0),0)</f>
        <v>0</v>
      </c>
      <c r="AP322" s="272">
        <f>IF(AP$2&lt;=analysis_period,IF(SUM($C635:AP635)&gt;0,AO322+1,0),0)</f>
        <v>0</v>
      </c>
    </row>
    <row r="323" spans="1:42" x14ac:dyDescent="0.2">
      <c r="A323" s="21">
        <f t="shared" si="149"/>
        <v>7</v>
      </c>
      <c r="B323" s="7">
        <v>0</v>
      </c>
      <c r="C323" s="272">
        <f>IF(C$2&lt;=analysis_period,IF(SUM($C636:C636)&gt;0,B323+1,0),0)</f>
        <v>0</v>
      </c>
      <c r="D323" s="272">
        <f>IF(D$2&lt;=analysis_period,IF(SUM($C636:D636)&gt;0,C323+1,0),0)</f>
        <v>0</v>
      </c>
      <c r="E323" s="272">
        <f>IF(E$2&lt;=analysis_period,IF(SUM($C636:E636)&gt;0,D323+1,0),0)</f>
        <v>0</v>
      </c>
      <c r="F323" s="272">
        <f>IF(F$2&lt;=analysis_period,IF(SUM($C636:F636)&gt;0,E323+1,0),0)</f>
        <v>0</v>
      </c>
      <c r="G323" s="272">
        <f>IF(G$2&lt;=analysis_period,IF(SUM($C636:G636)&gt;0,F323+1,0),0)</f>
        <v>0</v>
      </c>
      <c r="H323" s="272">
        <f>IF(H$2&lt;=analysis_period,IF(SUM($C636:H636)&gt;0,G323+1,0),0)</f>
        <v>0</v>
      </c>
      <c r="I323" s="272">
        <f>IF(I$2&lt;=analysis_period,IF(SUM($C636:I636)&gt;0,H323+1,0),0)</f>
        <v>0</v>
      </c>
      <c r="J323" s="272">
        <f>IF(J$2&lt;=analysis_period,IF(SUM($C636:J636)&gt;0,I323+1,0),0)</f>
        <v>0</v>
      </c>
      <c r="K323" s="272">
        <f>IF(K$2&lt;=analysis_period,IF(SUM($C636:K636)&gt;0,J323+1,0),0)</f>
        <v>0</v>
      </c>
      <c r="L323" s="272">
        <f>IF(L$2&lt;=analysis_period,IF(SUM($C636:L636)&gt;0,K323+1,0),0)</f>
        <v>0</v>
      </c>
      <c r="M323" s="272">
        <f>IF(M$2&lt;=analysis_period,IF(SUM($C636:M636)&gt;0,L323+1,0),0)</f>
        <v>0</v>
      </c>
      <c r="N323" s="272">
        <f>IF(N$2&lt;=analysis_period,IF(SUM($C636:N636)&gt;0,M323+1,0),0)</f>
        <v>0</v>
      </c>
      <c r="O323" s="272">
        <f>IF(O$2&lt;=analysis_period,IF(SUM($C636:O636)&gt;0,N323+1,0),0)</f>
        <v>0</v>
      </c>
      <c r="P323" s="272">
        <f>IF(P$2&lt;=analysis_period,IF(SUM($C636:P636)&gt;0,O323+1,0),0)</f>
        <v>0</v>
      </c>
      <c r="Q323" s="272">
        <f>IF(Q$2&lt;=analysis_period,IF(SUM($C636:Q636)&gt;0,P323+1,0),0)</f>
        <v>0</v>
      </c>
      <c r="R323" s="272">
        <f>IF(R$2&lt;=analysis_period,IF(SUM($C636:R636)&gt;0,Q323+1,0),0)</f>
        <v>0</v>
      </c>
      <c r="S323" s="272">
        <f>IF(S$2&lt;=analysis_period,IF(SUM($C636:S636)&gt;0,R323+1,0),0)</f>
        <v>0</v>
      </c>
      <c r="T323" s="272">
        <f>IF(T$2&lt;=analysis_period,IF(SUM($C636:T636)&gt;0,S323+1,0),0)</f>
        <v>0</v>
      </c>
      <c r="U323" s="272">
        <f>IF(U$2&lt;=analysis_period,IF(SUM($C636:U636)&gt;0,T323+1,0),0)</f>
        <v>0</v>
      </c>
      <c r="V323" s="272">
        <f>IF(V$2&lt;=analysis_period,IF(SUM($C636:V636)&gt;0,U323+1,0),0)</f>
        <v>0</v>
      </c>
      <c r="W323" s="272">
        <f>IF(W$2&lt;=analysis_period,IF(SUM($C636:W636)&gt;0,V323+1,0),0)</f>
        <v>0</v>
      </c>
      <c r="X323" s="272">
        <f>IF(X$2&lt;=analysis_period,IF(SUM($C636:X636)&gt;0,W323+1,0),0)</f>
        <v>0</v>
      </c>
      <c r="Y323" s="272">
        <f>IF(Y$2&lt;=analysis_period,IF(SUM($C636:Y636)&gt;0,X323+1,0),0)</f>
        <v>0</v>
      </c>
      <c r="Z323" s="272">
        <f>IF(Z$2&lt;=analysis_period,IF(SUM($C636:Z636)&gt;0,Y323+1,0),0)</f>
        <v>0</v>
      </c>
      <c r="AA323" s="272">
        <f>IF(AA$2&lt;=analysis_period,IF(SUM($C636:AA636)&gt;0,Z323+1,0),0)</f>
        <v>0</v>
      </c>
      <c r="AB323" s="272">
        <f>IF(AB$2&lt;=analysis_period,IF(SUM($C636:AB636)&gt;0,AA323+1,0),0)</f>
        <v>0</v>
      </c>
      <c r="AC323" s="272">
        <f>IF(AC$2&lt;=analysis_period,IF(SUM($C636:AC636)&gt;0,AB323+1,0),0)</f>
        <v>0</v>
      </c>
      <c r="AD323" s="272">
        <f>IF(AD$2&lt;=analysis_period,IF(SUM($C636:AD636)&gt;0,AC323+1,0),0)</f>
        <v>0</v>
      </c>
      <c r="AE323" s="272">
        <f>IF(AE$2&lt;=analysis_period,IF(SUM($C636:AE636)&gt;0,AD323+1,0),0)</f>
        <v>0</v>
      </c>
      <c r="AF323" s="272">
        <f>IF(AF$2&lt;=analysis_period,IF(SUM($C636:AF636)&gt;0,AE323+1,0),0)</f>
        <v>0</v>
      </c>
      <c r="AG323" s="272">
        <f>IF(AG$2&lt;=analysis_period,IF(SUM($C636:AG636)&gt;0,AF323+1,0),0)</f>
        <v>0</v>
      </c>
      <c r="AH323" s="272">
        <f>IF(AH$2&lt;=analysis_period,IF(SUM($C636:AH636)&gt;0,AG323+1,0),0)</f>
        <v>0</v>
      </c>
      <c r="AI323" s="272">
        <f>IF(AI$2&lt;=analysis_period,IF(SUM($C636:AI636)&gt;0,AH323+1,0),0)</f>
        <v>0</v>
      </c>
      <c r="AJ323" s="272">
        <f>IF(AJ$2&lt;=analysis_period,IF(SUM($C636:AJ636)&gt;0,AI323+1,0),0)</f>
        <v>0</v>
      </c>
      <c r="AK323" s="272">
        <f>IF(AK$2&lt;=analysis_period,IF(SUM($C636:AK636)&gt;0,AJ323+1,0),0)</f>
        <v>0</v>
      </c>
      <c r="AL323" s="272">
        <f>IF(AL$2&lt;=analysis_period,IF(SUM($C636:AL636)&gt;0,AK323+1,0),0)</f>
        <v>0</v>
      </c>
      <c r="AM323" s="272">
        <f>IF(AM$2&lt;=analysis_period,IF(SUM($C636:AM636)&gt;0,AL323+1,0),0)</f>
        <v>0</v>
      </c>
      <c r="AN323" s="272">
        <f>IF(AN$2&lt;=analysis_period,IF(SUM($C636:AN636)&gt;0,AM323+1,0),0)</f>
        <v>0</v>
      </c>
      <c r="AO323" s="272">
        <f>IF(AO$2&lt;=analysis_period,IF(SUM($C636:AO636)&gt;0,AN323+1,0),0)</f>
        <v>0</v>
      </c>
      <c r="AP323" s="272">
        <f>IF(AP$2&lt;=analysis_period,IF(SUM($C636:AP636)&gt;0,AO323+1,0),0)</f>
        <v>0</v>
      </c>
    </row>
    <row r="324" spans="1:42" x14ac:dyDescent="0.2">
      <c r="A324" s="21">
        <f t="shared" si="149"/>
        <v>8</v>
      </c>
      <c r="B324" s="7">
        <v>0</v>
      </c>
      <c r="C324" s="272">
        <f>IF(C$2&lt;=analysis_period,IF(SUM($C637:C637)&gt;0,B324+1,0),0)</f>
        <v>0</v>
      </c>
      <c r="D324" s="272">
        <f>IF(D$2&lt;=analysis_period,IF(SUM($C637:D637)&gt;0,C324+1,0),0)</f>
        <v>0</v>
      </c>
      <c r="E324" s="272">
        <f>IF(E$2&lt;=analysis_period,IF(SUM($C637:E637)&gt;0,D324+1,0),0)</f>
        <v>0</v>
      </c>
      <c r="F324" s="272">
        <f>IF(F$2&lt;=analysis_period,IF(SUM($C637:F637)&gt;0,E324+1,0),0)</f>
        <v>0</v>
      </c>
      <c r="G324" s="272">
        <f>IF(G$2&lt;=analysis_period,IF(SUM($C637:G637)&gt;0,F324+1,0),0)</f>
        <v>0</v>
      </c>
      <c r="H324" s="272">
        <f>IF(H$2&lt;=analysis_period,IF(SUM($C637:H637)&gt;0,G324+1,0),0)</f>
        <v>0</v>
      </c>
      <c r="I324" s="272">
        <f>IF(I$2&lt;=analysis_period,IF(SUM($C637:I637)&gt;0,H324+1,0),0)</f>
        <v>0</v>
      </c>
      <c r="J324" s="272">
        <f>IF(J$2&lt;=analysis_period,IF(SUM($C637:J637)&gt;0,I324+1,0),0)</f>
        <v>0</v>
      </c>
      <c r="K324" s="272">
        <f>IF(K$2&lt;=analysis_period,IF(SUM($C637:K637)&gt;0,J324+1,0),0)</f>
        <v>0</v>
      </c>
      <c r="L324" s="272">
        <f>IF(L$2&lt;=analysis_period,IF(SUM($C637:L637)&gt;0,K324+1,0),0)</f>
        <v>0</v>
      </c>
      <c r="M324" s="272">
        <f>IF(M$2&lt;=analysis_period,IF(SUM($C637:M637)&gt;0,L324+1,0),0)</f>
        <v>0</v>
      </c>
      <c r="N324" s="272">
        <f>IF(N$2&lt;=analysis_period,IF(SUM($C637:N637)&gt;0,M324+1,0),0)</f>
        <v>0</v>
      </c>
      <c r="O324" s="272">
        <f>IF(O$2&lt;=analysis_period,IF(SUM($C637:O637)&gt;0,N324+1,0),0)</f>
        <v>0</v>
      </c>
      <c r="P324" s="272">
        <f>IF(P$2&lt;=analysis_period,IF(SUM($C637:P637)&gt;0,O324+1,0),0)</f>
        <v>0</v>
      </c>
      <c r="Q324" s="272">
        <f>IF(Q$2&lt;=analysis_period,IF(SUM($C637:Q637)&gt;0,P324+1,0),0)</f>
        <v>0</v>
      </c>
      <c r="R324" s="272">
        <f>IF(R$2&lt;=analysis_period,IF(SUM($C637:R637)&gt;0,Q324+1,0),0)</f>
        <v>0</v>
      </c>
      <c r="S324" s="272">
        <f>IF(S$2&lt;=analysis_period,IF(SUM($C637:S637)&gt;0,R324+1,0),0)</f>
        <v>0</v>
      </c>
      <c r="T324" s="272">
        <f>IF(T$2&lt;=analysis_period,IF(SUM($C637:T637)&gt;0,S324+1,0),0)</f>
        <v>0</v>
      </c>
      <c r="U324" s="272">
        <f>IF(U$2&lt;=analysis_period,IF(SUM($C637:U637)&gt;0,T324+1,0),0)</f>
        <v>0</v>
      </c>
      <c r="V324" s="272">
        <f>IF(V$2&lt;=analysis_period,IF(SUM($C637:V637)&gt;0,U324+1,0),0)</f>
        <v>0</v>
      </c>
      <c r="W324" s="272">
        <f>IF(W$2&lt;=analysis_period,IF(SUM($C637:W637)&gt;0,V324+1,0),0)</f>
        <v>0</v>
      </c>
      <c r="X324" s="272">
        <f>IF(X$2&lt;=analysis_period,IF(SUM($C637:X637)&gt;0,W324+1,0),0)</f>
        <v>0</v>
      </c>
      <c r="Y324" s="272">
        <f>IF(Y$2&lt;=analysis_period,IF(SUM($C637:Y637)&gt;0,X324+1,0),0)</f>
        <v>0</v>
      </c>
      <c r="Z324" s="272">
        <f>IF(Z$2&lt;=analysis_period,IF(SUM($C637:Z637)&gt;0,Y324+1,0),0)</f>
        <v>0</v>
      </c>
      <c r="AA324" s="272">
        <f>IF(AA$2&lt;=analysis_period,IF(SUM($C637:AA637)&gt;0,Z324+1,0),0)</f>
        <v>0</v>
      </c>
      <c r="AB324" s="272">
        <f>IF(AB$2&lt;=analysis_period,IF(SUM($C637:AB637)&gt;0,AA324+1,0),0)</f>
        <v>0</v>
      </c>
      <c r="AC324" s="272">
        <f>IF(AC$2&lt;=analysis_period,IF(SUM($C637:AC637)&gt;0,AB324+1,0),0)</f>
        <v>0</v>
      </c>
      <c r="AD324" s="272">
        <f>IF(AD$2&lt;=analysis_period,IF(SUM($C637:AD637)&gt;0,AC324+1,0),0)</f>
        <v>0</v>
      </c>
      <c r="AE324" s="272">
        <f>IF(AE$2&lt;=analysis_period,IF(SUM($C637:AE637)&gt;0,AD324+1,0),0)</f>
        <v>0</v>
      </c>
      <c r="AF324" s="272">
        <f>IF(AF$2&lt;=analysis_period,IF(SUM($C637:AF637)&gt;0,AE324+1,0),0)</f>
        <v>0</v>
      </c>
      <c r="AG324" s="272">
        <f>IF(AG$2&lt;=analysis_period,IF(SUM($C637:AG637)&gt;0,AF324+1,0),0)</f>
        <v>0</v>
      </c>
      <c r="AH324" s="272">
        <f>IF(AH$2&lt;=analysis_period,IF(SUM($C637:AH637)&gt;0,AG324+1,0),0)</f>
        <v>0</v>
      </c>
      <c r="AI324" s="272">
        <f>IF(AI$2&lt;=analysis_period,IF(SUM($C637:AI637)&gt;0,AH324+1,0),0)</f>
        <v>0</v>
      </c>
      <c r="AJ324" s="272">
        <f>IF(AJ$2&lt;=analysis_period,IF(SUM($C637:AJ637)&gt;0,AI324+1,0),0)</f>
        <v>0</v>
      </c>
      <c r="AK324" s="272">
        <f>IF(AK$2&lt;=analysis_period,IF(SUM($C637:AK637)&gt;0,AJ324+1,0),0)</f>
        <v>0</v>
      </c>
      <c r="AL324" s="272">
        <f>IF(AL$2&lt;=analysis_period,IF(SUM($C637:AL637)&gt;0,AK324+1,0),0)</f>
        <v>0</v>
      </c>
      <c r="AM324" s="272">
        <f>IF(AM$2&lt;=analysis_period,IF(SUM($C637:AM637)&gt;0,AL324+1,0),0)</f>
        <v>0</v>
      </c>
      <c r="AN324" s="272">
        <f>IF(AN$2&lt;=analysis_period,IF(SUM($C637:AN637)&gt;0,AM324+1,0),0)</f>
        <v>0</v>
      </c>
      <c r="AO324" s="272">
        <f>IF(AO$2&lt;=analysis_period,IF(SUM($C637:AO637)&gt;0,AN324+1,0),0)</f>
        <v>0</v>
      </c>
      <c r="AP324" s="272">
        <f>IF(AP$2&lt;=analysis_period,IF(SUM($C637:AP637)&gt;0,AO324+1,0),0)</f>
        <v>0</v>
      </c>
    </row>
    <row r="325" spans="1:42" x14ac:dyDescent="0.2">
      <c r="A325" s="21">
        <f>A324+1</f>
        <v>9</v>
      </c>
      <c r="B325" s="7">
        <v>0</v>
      </c>
      <c r="C325" s="272">
        <f>IF(C$2&lt;=analysis_period,IF(SUM($C638:C638)&gt;0,B325+1,0),0)</f>
        <v>0</v>
      </c>
      <c r="D325" s="272">
        <f>IF(D$2&lt;=analysis_period,IF(SUM($C638:D638)&gt;0,C325+1,0),0)</f>
        <v>0</v>
      </c>
      <c r="E325" s="272">
        <f>IF(E$2&lt;=analysis_period,IF(SUM($C638:E638)&gt;0,D325+1,0),0)</f>
        <v>0</v>
      </c>
      <c r="F325" s="272">
        <f>IF(F$2&lt;=analysis_period,IF(SUM($C638:F638)&gt;0,E325+1,0),0)</f>
        <v>0</v>
      </c>
      <c r="G325" s="272">
        <f>IF(G$2&lt;=analysis_period,IF(SUM($C638:G638)&gt;0,F325+1,0),0)</f>
        <v>0</v>
      </c>
      <c r="H325" s="272">
        <f>IF(H$2&lt;=analysis_period,IF(SUM($C638:H638)&gt;0,G325+1,0),0)</f>
        <v>0</v>
      </c>
      <c r="I325" s="272">
        <f>IF(I$2&lt;=analysis_period,IF(SUM($C638:I638)&gt;0,H325+1,0),0)</f>
        <v>0</v>
      </c>
      <c r="J325" s="272">
        <f>IF(J$2&lt;=analysis_period,IF(SUM($C638:J638)&gt;0,I325+1,0),0)</f>
        <v>0</v>
      </c>
      <c r="K325" s="272">
        <f>IF(K$2&lt;=analysis_period,IF(SUM($C638:K638)&gt;0,J325+1,0),0)</f>
        <v>0</v>
      </c>
      <c r="L325" s="272">
        <f>IF(L$2&lt;=analysis_period,IF(SUM($C638:L638)&gt;0,K325+1,0),0)</f>
        <v>0</v>
      </c>
      <c r="M325" s="272">
        <f>IF(M$2&lt;=analysis_period,IF(SUM($C638:M638)&gt;0,L325+1,0),0)</f>
        <v>0</v>
      </c>
      <c r="N325" s="272">
        <f>IF(N$2&lt;=analysis_period,IF(SUM($C638:N638)&gt;0,M325+1,0),0)</f>
        <v>0</v>
      </c>
      <c r="O325" s="272">
        <f>IF(O$2&lt;=analysis_period,IF(SUM($C638:O638)&gt;0,N325+1,0),0)</f>
        <v>0</v>
      </c>
      <c r="P325" s="272">
        <f>IF(P$2&lt;=analysis_period,IF(SUM($C638:P638)&gt;0,O325+1,0),0)</f>
        <v>0</v>
      </c>
      <c r="Q325" s="272">
        <f>IF(Q$2&lt;=analysis_period,IF(SUM($C638:Q638)&gt;0,P325+1,0),0)</f>
        <v>0</v>
      </c>
      <c r="R325" s="272">
        <f>IF(R$2&lt;=analysis_period,IF(SUM($C638:R638)&gt;0,Q325+1,0),0)</f>
        <v>0</v>
      </c>
      <c r="S325" s="272">
        <f>IF(S$2&lt;=analysis_period,IF(SUM($C638:S638)&gt;0,R325+1,0),0)</f>
        <v>0</v>
      </c>
      <c r="T325" s="272">
        <f>IF(T$2&lt;=analysis_period,IF(SUM($C638:T638)&gt;0,S325+1,0),0)</f>
        <v>0</v>
      </c>
      <c r="U325" s="272">
        <f>IF(U$2&lt;=analysis_period,IF(SUM($C638:U638)&gt;0,T325+1,0),0)</f>
        <v>0</v>
      </c>
      <c r="V325" s="272">
        <f>IF(V$2&lt;=analysis_period,IF(SUM($C638:V638)&gt;0,U325+1,0),0)</f>
        <v>0</v>
      </c>
      <c r="W325" s="272">
        <f>IF(W$2&lt;=analysis_period,IF(SUM($C638:W638)&gt;0,V325+1,0),0)</f>
        <v>0</v>
      </c>
      <c r="X325" s="272">
        <f>IF(X$2&lt;=analysis_period,IF(SUM($C638:X638)&gt;0,W325+1,0),0)</f>
        <v>0</v>
      </c>
      <c r="Y325" s="272">
        <f>IF(Y$2&lt;=analysis_period,IF(SUM($C638:Y638)&gt;0,X325+1,0),0)</f>
        <v>0</v>
      </c>
      <c r="Z325" s="272">
        <f>IF(Z$2&lt;=analysis_period,IF(SUM($C638:Z638)&gt;0,Y325+1,0),0)</f>
        <v>0</v>
      </c>
      <c r="AA325" s="272">
        <f>IF(AA$2&lt;=analysis_period,IF(SUM($C638:AA638)&gt;0,Z325+1,0),0)</f>
        <v>0</v>
      </c>
      <c r="AB325" s="272">
        <f>IF(AB$2&lt;=analysis_period,IF(SUM($C638:AB638)&gt;0,AA325+1,0),0)</f>
        <v>0</v>
      </c>
      <c r="AC325" s="272">
        <f>IF(AC$2&lt;=analysis_period,IF(SUM($C638:AC638)&gt;0,AB325+1,0),0)</f>
        <v>0</v>
      </c>
      <c r="AD325" s="272">
        <f>IF(AD$2&lt;=analysis_period,IF(SUM($C638:AD638)&gt;0,AC325+1,0),0)</f>
        <v>0</v>
      </c>
      <c r="AE325" s="272">
        <f>IF(AE$2&lt;=analysis_period,IF(SUM($C638:AE638)&gt;0,AD325+1,0),0)</f>
        <v>0</v>
      </c>
      <c r="AF325" s="272">
        <f>IF(AF$2&lt;=analysis_period,IF(SUM($C638:AF638)&gt;0,AE325+1,0),0)</f>
        <v>0</v>
      </c>
      <c r="AG325" s="272">
        <f>IF(AG$2&lt;=analysis_period,IF(SUM($C638:AG638)&gt;0,AF325+1,0),0)</f>
        <v>0</v>
      </c>
      <c r="AH325" s="272">
        <f>IF(AH$2&lt;=analysis_period,IF(SUM($C638:AH638)&gt;0,AG325+1,0),0)</f>
        <v>0</v>
      </c>
      <c r="AI325" s="272">
        <f>IF(AI$2&lt;=analysis_period,IF(SUM($C638:AI638)&gt;0,AH325+1,0),0)</f>
        <v>0</v>
      </c>
      <c r="AJ325" s="272">
        <f>IF(AJ$2&lt;=analysis_period,IF(SUM($C638:AJ638)&gt;0,AI325+1,0),0)</f>
        <v>0</v>
      </c>
      <c r="AK325" s="272">
        <f>IF(AK$2&lt;=analysis_period,IF(SUM($C638:AK638)&gt;0,AJ325+1,0),0)</f>
        <v>0</v>
      </c>
      <c r="AL325" s="272">
        <f>IF(AL$2&lt;=analysis_period,IF(SUM($C638:AL638)&gt;0,AK325+1,0),0)</f>
        <v>0</v>
      </c>
      <c r="AM325" s="272">
        <f>IF(AM$2&lt;=analysis_period,IF(SUM($C638:AM638)&gt;0,AL325+1,0),0)</f>
        <v>0</v>
      </c>
      <c r="AN325" s="272">
        <f>IF(AN$2&lt;=analysis_period,IF(SUM($C638:AN638)&gt;0,AM325+1,0),0)</f>
        <v>0</v>
      </c>
      <c r="AO325" s="272">
        <f>IF(AO$2&lt;=analysis_period,IF(SUM($C638:AO638)&gt;0,AN325+1,0),0)</f>
        <v>0</v>
      </c>
      <c r="AP325" s="272">
        <f>IF(AP$2&lt;=analysis_period,IF(SUM($C638:AP638)&gt;0,AO325+1,0),0)</f>
        <v>0</v>
      </c>
    </row>
    <row r="326" spans="1:42" x14ac:dyDescent="0.2">
      <c r="A326" s="21">
        <f t="shared" si="149"/>
        <v>10</v>
      </c>
      <c r="B326" s="7">
        <v>0</v>
      </c>
      <c r="C326" s="272">
        <f>IF(C$2&lt;=analysis_period,IF(SUM($C639:C639)&gt;0,B326+1,0),0)</f>
        <v>0</v>
      </c>
      <c r="D326" s="272">
        <f>IF(D$2&lt;=analysis_period,IF(SUM($C639:D639)&gt;0,C326+1,0),0)</f>
        <v>0</v>
      </c>
      <c r="E326" s="272">
        <f>IF(E$2&lt;=analysis_period,IF(SUM($C639:E639)&gt;0,D326+1,0),0)</f>
        <v>0</v>
      </c>
      <c r="F326" s="272">
        <f>IF(F$2&lt;=analysis_period,IF(SUM($C639:F639)&gt;0,E326+1,0),0)</f>
        <v>0</v>
      </c>
      <c r="G326" s="272">
        <f>IF(G$2&lt;=analysis_period,IF(SUM($C639:G639)&gt;0,F326+1,0),0)</f>
        <v>0</v>
      </c>
      <c r="H326" s="272">
        <f>IF(H$2&lt;=analysis_period,IF(SUM($C639:H639)&gt;0,G326+1,0),0)</f>
        <v>0</v>
      </c>
      <c r="I326" s="272">
        <f>IF(I$2&lt;=analysis_period,IF(SUM($C639:I639)&gt;0,H326+1,0),0)</f>
        <v>0</v>
      </c>
      <c r="J326" s="272">
        <f>IF(J$2&lt;=analysis_period,IF(SUM($C639:J639)&gt;0,I326+1,0),0)</f>
        <v>0</v>
      </c>
      <c r="K326" s="272">
        <f>IF(K$2&lt;=analysis_period,IF(SUM($C639:K639)&gt;0,J326+1,0),0)</f>
        <v>0</v>
      </c>
      <c r="L326" s="272">
        <f>IF(L$2&lt;=analysis_period,IF(SUM($C639:L639)&gt;0,K326+1,0),0)</f>
        <v>0</v>
      </c>
      <c r="M326" s="272">
        <f>IF(M$2&lt;=analysis_period,IF(SUM($C639:M639)&gt;0,L326+1,0),0)</f>
        <v>0</v>
      </c>
      <c r="N326" s="272">
        <f>IF(N$2&lt;=analysis_period,IF(SUM($C639:N639)&gt;0,M326+1,0),0)</f>
        <v>0</v>
      </c>
      <c r="O326" s="272">
        <f>IF(O$2&lt;=analysis_period,IF(SUM($C639:O639)&gt;0,N326+1,0),0)</f>
        <v>0</v>
      </c>
      <c r="P326" s="272">
        <f>IF(P$2&lt;=analysis_period,IF(SUM($C639:P639)&gt;0,O326+1,0),0)</f>
        <v>0</v>
      </c>
      <c r="Q326" s="272">
        <f>IF(Q$2&lt;=analysis_period,IF(SUM($C639:Q639)&gt;0,P326+1,0),0)</f>
        <v>0</v>
      </c>
      <c r="R326" s="272">
        <f>IF(R$2&lt;=analysis_period,IF(SUM($C639:R639)&gt;0,Q326+1,0),0)</f>
        <v>0</v>
      </c>
      <c r="S326" s="272">
        <f>IF(S$2&lt;=analysis_period,IF(SUM($C639:S639)&gt;0,R326+1,0),0)</f>
        <v>0</v>
      </c>
      <c r="T326" s="272">
        <f>IF(T$2&lt;=analysis_period,IF(SUM($C639:T639)&gt;0,S326+1,0),0)</f>
        <v>0</v>
      </c>
      <c r="U326" s="272">
        <f>IF(U$2&lt;=analysis_period,IF(SUM($C639:U639)&gt;0,T326+1,0),0)</f>
        <v>0</v>
      </c>
      <c r="V326" s="272">
        <f>IF(V$2&lt;=analysis_period,IF(SUM($C639:V639)&gt;0,U326+1,0),0)</f>
        <v>0</v>
      </c>
      <c r="W326" s="272">
        <f>IF(W$2&lt;=analysis_period,IF(SUM($C639:W639)&gt;0,V326+1,0),0)</f>
        <v>0</v>
      </c>
      <c r="X326" s="272">
        <f>IF(X$2&lt;=analysis_period,IF(SUM($C639:X639)&gt;0,W326+1,0),0)</f>
        <v>0</v>
      </c>
      <c r="Y326" s="272">
        <f>IF(Y$2&lt;=analysis_period,IF(SUM($C639:Y639)&gt;0,X326+1,0),0)</f>
        <v>0</v>
      </c>
      <c r="Z326" s="272">
        <f>IF(Z$2&lt;=analysis_period,IF(SUM($C639:Z639)&gt;0,Y326+1,0),0)</f>
        <v>0</v>
      </c>
      <c r="AA326" s="272">
        <f>IF(AA$2&lt;=analysis_period,IF(SUM($C639:AA639)&gt;0,Z326+1,0),0)</f>
        <v>0</v>
      </c>
      <c r="AB326" s="272">
        <f>IF(AB$2&lt;=analysis_period,IF(SUM($C639:AB639)&gt;0,AA326+1,0),0)</f>
        <v>0</v>
      </c>
      <c r="AC326" s="272">
        <f>IF(AC$2&lt;=analysis_period,IF(SUM($C639:AC639)&gt;0,AB326+1,0),0)</f>
        <v>0</v>
      </c>
      <c r="AD326" s="272">
        <f>IF(AD$2&lt;=analysis_period,IF(SUM($C639:AD639)&gt;0,AC326+1,0),0)</f>
        <v>0</v>
      </c>
      <c r="AE326" s="272">
        <f>IF(AE$2&lt;=analysis_period,IF(SUM($C639:AE639)&gt;0,AD326+1,0),0)</f>
        <v>0</v>
      </c>
      <c r="AF326" s="272">
        <f>IF(AF$2&lt;=analysis_period,IF(SUM($C639:AF639)&gt;0,AE326+1,0),0)</f>
        <v>0</v>
      </c>
      <c r="AG326" s="272">
        <f>IF(AG$2&lt;=analysis_period,IF(SUM($C639:AG639)&gt;0,AF326+1,0),0)</f>
        <v>0</v>
      </c>
      <c r="AH326" s="272">
        <f>IF(AH$2&lt;=analysis_period,IF(SUM($C639:AH639)&gt;0,AG326+1,0),0)</f>
        <v>0</v>
      </c>
      <c r="AI326" s="272">
        <f>IF(AI$2&lt;=analysis_period,IF(SUM($C639:AI639)&gt;0,AH326+1,0),0)</f>
        <v>0</v>
      </c>
      <c r="AJ326" s="272">
        <f>IF(AJ$2&lt;=analysis_period,IF(SUM($C639:AJ639)&gt;0,AI326+1,0),0)</f>
        <v>0</v>
      </c>
      <c r="AK326" s="272">
        <f>IF(AK$2&lt;=analysis_period,IF(SUM($C639:AK639)&gt;0,AJ326+1,0),0)</f>
        <v>0</v>
      </c>
      <c r="AL326" s="272">
        <f>IF(AL$2&lt;=analysis_period,IF(SUM($C639:AL639)&gt;0,AK326+1,0),0)</f>
        <v>0</v>
      </c>
      <c r="AM326" s="272">
        <f>IF(AM$2&lt;=analysis_period,IF(SUM($C639:AM639)&gt;0,AL326+1,0),0)</f>
        <v>0</v>
      </c>
      <c r="AN326" s="272">
        <f>IF(AN$2&lt;=analysis_period,IF(SUM($C639:AN639)&gt;0,AM326+1,0),0)</f>
        <v>0</v>
      </c>
      <c r="AO326" s="272">
        <f>IF(AO$2&lt;=analysis_period,IF(SUM($C639:AO639)&gt;0,AN326+1,0),0)</f>
        <v>0</v>
      </c>
      <c r="AP326" s="272">
        <f>IF(AP$2&lt;=analysis_period,IF(SUM($C639:AP639)&gt;0,AO326+1,0),0)</f>
        <v>0</v>
      </c>
    </row>
    <row r="327" spans="1:42" x14ac:dyDescent="0.2">
      <c r="A327" s="3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x14ac:dyDescent="0.2">
      <c r="A328" s="38" t="s">
        <v>112</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x14ac:dyDescent="0.2">
      <c r="A329" s="21">
        <v>1</v>
      </c>
      <c r="B329" s="292">
        <f t="shared" ref="B329:B338" si="150">SUM(C329:AP329)</f>
        <v>0</v>
      </c>
      <c r="C329" s="294">
        <f>LOOKUP(C317,$B$261:$AP$261,$B$262:$AP$262)/100*$B630</f>
        <v>0</v>
      </c>
      <c r="D329" s="294">
        <f t="shared" ref="D329:AP329" si="151">LOOKUP(D317,$B$261:$AP$261,$B$262:$AP$262)/100*$B630</f>
        <v>0</v>
      </c>
      <c r="E329" s="294">
        <f t="shared" si="151"/>
        <v>0</v>
      </c>
      <c r="F329" s="294">
        <f t="shared" si="151"/>
        <v>0</v>
      </c>
      <c r="G329" s="294">
        <f t="shared" si="151"/>
        <v>0</v>
      </c>
      <c r="H329" s="294">
        <f t="shared" si="151"/>
        <v>0</v>
      </c>
      <c r="I329" s="294">
        <f t="shared" si="151"/>
        <v>0</v>
      </c>
      <c r="J329" s="294">
        <f t="shared" si="151"/>
        <v>0</v>
      </c>
      <c r="K329" s="294">
        <f t="shared" si="151"/>
        <v>0</v>
      </c>
      <c r="L329" s="294">
        <f t="shared" si="151"/>
        <v>0</v>
      </c>
      <c r="M329" s="294">
        <f t="shared" si="151"/>
        <v>0</v>
      </c>
      <c r="N329" s="294">
        <f t="shared" si="151"/>
        <v>0</v>
      </c>
      <c r="O329" s="294">
        <f t="shared" si="151"/>
        <v>0</v>
      </c>
      <c r="P329" s="294">
        <f t="shared" si="151"/>
        <v>0</v>
      </c>
      <c r="Q329" s="294">
        <f t="shared" si="151"/>
        <v>0</v>
      </c>
      <c r="R329" s="294">
        <f t="shared" si="151"/>
        <v>0</v>
      </c>
      <c r="S329" s="294">
        <f t="shared" si="151"/>
        <v>0</v>
      </c>
      <c r="T329" s="294">
        <f t="shared" si="151"/>
        <v>0</v>
      </c>
      <c r="U329" s="294">
        <f t="shared" si="151"/>
        <v>0</v>
      </c>
      <c r="V329" s="294">
        <f t="shared" si="151"/>
        <v>0</v>
      </c>
      <c r="W329" s="294">
        <f t="shared" si="151"/>
        <v>0</v>
      </c>
      <c r="X329" s="294">
        <f t="shared" si="151"/>
        <v>0</v>
      </c>
      <c r="Y329" s="294">
        <f t="shared" si="151"/>
        <v>0</v>
      </c>
      <c r="Z329" s="294">
        <f t="shared" si="151"/>
        <v>0</v>
      </c>
      <c r="AA329" s="294">
        <f t="shared" si="151"/>
        <v>0</v>
      </c>
      <c r="AB329" s="294">
        <f t="shared" si="151"/>
        <v>0</v>
      </c>
      <c r="AC329" s="294">
        <f t="shared" si="151"/>
        <v>0</v>
      </c>
      <c r="AD329" s="294">
        <f t="shared" si="151"/>
        <v>0</v>
      </c>
      <c r="AE329" s="294">
        <f t="shared" si="151"/>
        <v>0</v>
      </c>
      <c r="AF329" s="294">
        <f t="shared" si="151"/>
        <v>0</v>
      </c>
      <c r="AG329" s="294">
        <f t="shared" si="151"/>
        <v>0</v>
      </c>
      <c r="AH329" s="294">
        <f t="shared" si="151"/>
        <v>0</v>
      </c>
      <c r="AI329" s="294">
        <f t="shared" si="151"/>
        <v>0</v>
      </c>
      <c r="AJ329" s="294">
        <f t="shared" si="151"/>
        <v>0</v>
      </c>
      <c r="AK329" s="294">
        <f t="shared" si="151"/>
        <v>0</v>
      </c>
      <c r="AL329" s="294">
        <f t="shared" si="151"/>
        <v>0</v>
      </c>
      <c r="AM329" s="294">
        <f t="shared" si="151"/>
        <v>0</v>
      </c>
      <c r="AN329" s="294">
        <f t="shared" si="151"/>
        <v>0</v>
      </c>
      <c r="AO329" s="294">
        <f t="shared" si="151"/>
        <v>0</v>
      </c>
      <c r="AP329" s="294">
        <f t="shared" si="151"/>
        <v>0</v>
      </c>
    </row>
    <row r="330" spans="1:42" x14ac:dyDescent="0.2">
      <c r="A330" s="21">
        <f>A329+1</f>
        <v>2</v>
      </c>
      <c r="B330" s="292">
        <f t="shared" si="150"/>
        <v>0</v>
      </c>
      <c r="C330" s="294">
        <f t="shared" ref="C330:AP330" si="152">LOOKUP(C318,$B$261:$AP$261,$B$262:$AP$262)/100*$B631</f>
        <v>0</v>
      </c>
      <c r="D330" s="294">
        <f t="shared" si="152"/>
        <v>0</v>
      </c>
      <c r="E330" s="294">
        <f t="shared" si="152"/>
        <v>0</v>
      </c>
      <c r="F330" s="294">
        <f t="shared" si="152"/>
        <v>0</v>
      </c>
      <c r="G330" s="294">
        <f t="shared" si="152"/>
        <v>0</v>
      </c>
      <c r="H330" s="294">
        <f t="shared" si="152"/>
        <v>0</v>
      </c>
      <c r="I330" s="294">
        <f t="shared" si="152"/>
        <v>0</v>
      </c>
      <c r="J330" s="294">
        <f t="shared" si="152"/>
        <v>0</v>
      </c>
      <c r="K330" s="294">
        <f t="shared" si="152"/>
        <v>0</v>
      </c>
      <c r="L330" s="294">
        <f t="shared" si="152"/>
        <v>0</v>
      </c>
      <c r="M330" s="294">
        <f t="shared" si="152"/>
        <v>0</v>
      </c>
      <c r="N330" s="294">
        <f t="shared" si="152"/>
        <v>0</v>
      </c>
      <c r="O330" s="294">
        <f t="shared" si="152"/>
        <v>0</v>
      </c>
      <c r="P330" s="294">
        <f t="shared" si="152"/>
        <v>0</v>
      </c>
      <c r="Q330" s="294">
        <f t="shared" si="152"/>
        <v>0</v>
      </c>
      <c r="R330" s="294">
        <f t="shared" si="152"/>
        <v>0</v>
      </c>
      <c r="S330" s="294">
        <f t="shared" si="152"/>
        <v>0</v>
      </c>
      <c r="T330" s="294">
        <f t="shared" si="152"/>
        <v>0</v>
      </c>
      <c r="U330" s="294">
        <f t="shared" si="152"/>
        <v>0</v>
      </c>
      <c r="V330" s="294">
        <f t="shared" si="152"/>
        <v>0</v>
      </c>
      <c r="W330" s="294">
        <f t="shared" si="152"/>
        <v>0</v>
      </c>
      <c r="X330" s="294">
        <f t="shared" si="152"/>
        <v>0</v>
      </c>
      <c r="Y330" s="294">
        <f t="shared" si="152"/>
        <v>0</v>
      </c>
      <c r="Z330" s="294">
        <f t="shared" si="152"/>
        <v>0</v>
      </c>
      <c r="AA330" s="294">
        <f t="shared" si="152"/>
        <v>0</v>
      </c>
      <c r="AB330" s="294">
        <f t="shared" si="152"/>
        <v>0</v>
      </c>
      <c r="AC330" s="294">
        <f t="shared" si="152"/>
        <v>0</v>
      </c>
      <c r="AD330" s="294">
        <f t="shared" si="152"/>
        <v>0</v>
      </c>
      <c r="AE330" s="294">
        <f t="shared" si="152"/>
        <v>0</v>
      </c>
      <c r="AF330" s="294">
        <f t="shared" si="152"/>
        <v>0</v>
      </c>
      <c r="AG330" s="294">
        <f t="shared" si="152"/>
        <v>0</v>
      </c>
      <c r="AH330" s="294">
        <f t="shared" si="152"/>
        <v>0</v>
      </c>
      <c r="AI330" s="294">
        <f t="shared" si="152"/>
        <v>0</v>
      </c>
      <c r="AJ330" s="294">
        <f t="shared" si="152"/>
        <v>0</v>
      </c>
      <c r="AK330" s="294">
        <f t="shared" si="152"/>
        <v>0</v>
      </c>
      <c r="AL330" s="294">
        <f t="shared" si="152"/>
        <v>0</v>
      </c>
      <c r="AM330" s="294">
        <f t="shared" si="152"/>
        <v>0</v>
      </c>
      <c r="AN330" s="294">
        <f t="shared" si="152"/>
        <v>0</v>
      </c>
      <c r="AO330" s="294">
        <f t="shared" si="152"/>
        <v>0</v>
      </c>
      <c r="AP330" s="294">
        <f t="shared" si="152"/>
        <v>0</v>
      </c>
    </row>
    <row r="331" spans="1:42" x14ac:dyDescent="0.2">
      <c r="A331" s="21">
        <f t="shared" ref="A331:A338" si="153">A330+1</f>
        <v>3</v>
      </c>
      <c r="B331" s="292">
        <f t="shared" si="150"/>
        <v>0</v>
      </c>
      <c r="C331" s="294">
        <f t="shared" ref="C331:AP331" si="154">LOOKUP(C319,$B$261:$AP$261,$B$262:$AP$262)/100*$B632</f>
        <v>0</v>
      </c>
      <c r="D331" s="294">
        <f t="shared" si="154"/>
        <v>0</v>
      </c>
      <c r="E331" s="294">
        <f t="shared" si="154"/>
        <v>0</v>
      </c>
      <c r="F331" s="294">
        <f t="shared" si="154"/>
        <v>0</v>
      </c>
      <c r="G331" s="294">
        <f t="shared" si="154"/>
        <v>0</v>
      </c>
      <c r="H331" s="294">
        <f t="shared" si="154"/>
        <v>0</v>
      </c>
      <c r="I331" s="294">
        <f t="shared" si="154"/>
        <v>0</v>
      </c>
      <c r="J331" s="294">
        <f t="shared" si="154"/>
        <v>0</v>
      </c>
      <c r="K331" s="294">
        <f t="shared" si="154"/>
        <v>0</v>
      </c>
      <c r="L331" s="294">
        <f t="shared" si="154"/>
        <v>0</v>
      </c>
      <c r="M331" s="294">
        <f t="shared" si="154"/>
        <v>0</v>
      </c>
      <c r="N331" s="294">
        <f t="shared" si="154"/>
        <v>0</v>
      </c>
      <c r="O331" s="294">
        <f t="shared" si="154"/>
        <v>0</v>
      </c>
      <c r="P331" s="294">
        <f t="shared" si="154"/>
        <v>0</v>
      </c>
      <c r="Q331" s="294">
        <f t="shared" si="154"/>
        <v>0</v>
      </c>
      <c r="R331" s="294">
        <f t="shared" si="154"/>
        <v>0</v>
      </c>
      <c r="S331" s="294">
        <f t="shared" si="154"/>
        <v>0</v>
      </c>
      <c r="T331" s="294">
        <f t="shared" si="154"/>
        <v>0</v>
      </c>
      <c r="U331" s="294">
        <f t="shared" si="154"/>
        <v>0</v>
      </c>
      <c r="V331" s="294">
        <f t="shared" si="154"/>
        <v>0</v>
      </c>
      <c r="W331" s="294">
        <f t="shared" si="154"/>
        <v>0</v>
      </c>
      <c r="X331" s="294">
        <f t="shared" si="154"/>
        <v>0</v>
      </c>
      <c r="Y331" s="294">
        <f t="shared" si="154"/>
        <v>0</v>
      </c>
      <c r="Z331" s="294">
        <f t="shared" si="154"/>
        <v>0</v>
      </c>
      <c r="AA331" s="294">
        <f t="shared" si="154"/>
        <v>0</v>
      </c>
      <c r="AB331" s="294">
        <f t="shared" si="154"/>
        <v>0</v>
      </c>
      <c r="AC331" s="294">
        <f t="shared" si="154"/>
        <v>0</v>
      </c>
      <c r="AD331" s="294">
        <f t="shared" si="154"/>
        <v>0</v>
      </c>
      <c r="AE331" s="294">
        <f t="shared" si="154"/>
        <v>0</v>
      </c>
      <c r="AF331" s="294">
        <f t="shared" si="154"/>
        <v>0</v>
      </c>
      <c r="AG331" s="294">
        <f t="shared" si="154"/>
        <v>0</v>
      </c>
      <c r="AH331" s="294">
        <f t="shared" si="154"/>
        <v>0</v>
      </c>
      <c r="AI331" s="294">
        <f t="shared" si="154"/>
        <v>0</v>
      </c>
      <c r="AJ331" s="294">
        <f t="shared" si="154"/>
        <v>0</v>
      </c>
      <c r="AK331" s="294">
        <f t="shared" si="154"/>
        <v>0</v>
      </c>
      <c r="AL331" s="294">
        <f t="shared" si="154"/>
        <v>0</v>
      </c>
      <c r="AM331" s="294">
        <f t="shared" si="154"/>
        <v>0</v>
      </c>
      <c r="AN331" s="294">
        <f t="shared" si="154"/>
        <v>0</v>
      </c>
      <c r="AO331" s="294">
        <f t="shared" si="154"/>
        <v>0</v>
      </c>
      <c r="AP331" s="294">
        <f t="shared" si="154"/>
        <v>0</v>
      </c>
    </row>
    <row r="332" spans="1:42" x14ac:dyDescent="0.2">
      <c r="A332" s="21">
        <f t="shared" si="153"/>
        <v>4</v>
      </c>
      <c r="B332" s="292">
        <f t="shared" si="150"/>
        <v>0</v>
      </c>
      <c r="C332" s="294">
        <f t="shared" ref="C332:AP332" si="155">LOOKUP(C320,$B$261:$AP$261,$B$262:$AP$262)/100*$B633</f>
        <v>0</v>
      </c>
      <c r="D332" s="294">
        <f t="shared" si="155"/>
        <v>0</v>
      </c>
      <c r="E332" s="294">
        <f t="shared" si="155"/>
        <v>0</v>
      </c>
      <c r="F332" s="294">
        <f t="shared" si="155"/>
        <v>0</v>
      </c>
      <c r="G332" s="294">
        <f t="shared" si="155"/>
        <v>0</v>
      </c>
      <c r="H332" s="294">
        <f t="shared" si="155"/>
        <v>0</v>
      </c>
      <c r="I332" s="294">
        <f t="shared" si="155"/>
        <v>0</v>
      </c>
      <c r="J332" s="294">
        <f t="shared" si="155"/>
        <v>0</v>
      </c>
      <c r="K332" s="294">
        <f t="shared" si="155"/>
        <v>0</v>
      </c>
      <c r="L332" s="294">
        <f t="shared" si="155"/>
        <v>0</v>
      </c>
      <c r="M332" s="294">
        <f t="shared" si="155"/>
        <v>0</v>
      </c>
      <c r="N332" s="294">
        <f t="shared" si="155"/>
        <v>0</v>
      </c>
      <c r="O332" s="294">
        <f t="shared" si="155"/>
        <v>0</v>
      </c>
      <c r="P332" s="294">
        <f t="shared" si="155"/>
        <v>0</v>
      </c>
      <c r="Q332" s="294">
        <f t="shared" si="155"/>
        <v>0</v>
      </c>
      <c r="R332" s="294">
        <f t="shared" si="155"/>
        <v>0</v>
      </c>
      <c r="S332" s="294">
        <f t="shared" si="155"/>
        <v>0</v>
      </c>
      <c r="T332" s="294">
        <f t="shared" si="155"/>
        <v>0</v>
      </c>
      <c r="U332" s="294">
        <f t="shared" si="155"/>
        <v>0</v>
      </c>
      <c r="V332" s="294">
        <f t="shared" si="155"/>
        <v>0</v>
      </c>
      <c r="W332" s="294">
        <f t="shared" si="155"/>
        <v>0</v>
      </c>
      <c r="X332" s="294">
        <f t="shared" si="155"/>
        <v>0</v>
      </c>
      <c r="Y332" s="294">
        <f t="shared" si="155"/>
        <v>0</v>
      </c>
      <c r="Z332" s="294">
        <f t="shared" si="155"/>
        <v>0</v>
      </c>
      <c r="AA332" s="294">
        <f t="shared" si="155"/>
        <v>0</v>
      </c>
      <c r="AB332" s="294">
        <f t="shared" si="155"/>
        <v>0</v>
      </c>
      <c r="AC332" s="294">
        <f t="shared" si="155"/>
        <v>0</v>
      </c>
      <c r="AD332" s="294">
        <f t="shared" si="155"/>
        <v>0</v>
      </c>
      <c r="AE332" s="294">
        <f t="shared" si="155"/>
        <v>0</v>
      </c>
      <c r="AF332" s="294">
        <f t="shared" si="155"/>
        <v>0</v>
      </c>
      <c r="AG332" s="294">
        <f t="shared" si="155"/>
        <v>0</v>
      </c>
      <c r="AH332" s="294">
        <f t="shared" si="155"/>
        <v>0</v>
      </c>
      <c r="AI332" s="294">
        <f t="shared" si="155"/>
        <v>0</v>
      </c>
      <c r="AJ332" s="294">
        <f t="shared" si="155"/>
        <v>0</v>
      </c>
      <c r="AK332" s="294">
        <f t="shared" si="155"/>
        <v>0</v>
      </c>
      <c r="AL332" s="294">
        <f t="shared" si="155"/>
        <v>0</v>
      </c>
      <c r="AM332" s="294">
        <f t="shared" si="155"/>
        <v>0</v>
      </c>
      <c r="AN332" s="294">
        <f t="shared" si="155"/>
        <v>0</v>
      </c>
      <c r="AO332" s="294">
        <f t="shared" si="155"/>
        <v>0</v>
      </c>
      <c r="AP332" s="294">
        <f t="shared" si="155"/>
        <v>0</v>
      </c>
    </row>
    <row r="333" spans="1:42" x14ac:dyDescent="0.2">
      <c r="A333" s="21">
        <f t="shared" si="153"/>
        <v>5</v>
      </c>
      <c r="B333" s="292">
        <f t="shared" si="150"/>
        <v>0</v>
      </c>
      <c r="C333" s="294">
        <f t="shared" ref="C333:AP333" si="156">LOOKUP(C321,$B$261:$AP$261,$B$262:$AP$262)/100*$B634</f>
        <v>0</v>
      </c>
      <c r="D333" s="294">
        <f t="shared" si="156"/>
        <v>0</v>
      </c>
      <c r="E333" s="294">
        <f t="shared" si="156"/>
        <v>0</v>
      </c>
      <c r="F333" s="294">
        <f t="shared" si="156"/>
        <v>0</v>
      </c>
      <c r="G333" s="294">
        <f t="shared" si="156"/>
        <v>0</v>
      </c>
      <c r="H333" s="294">
        <f t="shared" si="156"/>
        <v>0</v>
      </c>
      <c r="I333" s="294">
        <f t="shared" si="156"/>
        <v>0</v>
      </c>
      <c r="J333" s="294">
        <f t="shared" si="156"/>
        <v>0</v>
      </c>
      <c r="K333" s="294">
        <f t="shared" si="156"/>
        <v>0</v>
      </c>
      <c r="L333" s="294">
        <f t="shared" si="156"/>
        <v>0</v>
      </c>
      <c r="M333" s="294">
        <f t="shared" si="156"/>
        <v>0</v>
      </c>
      <c r="N333" s="294">
        <f t="shared" si="156"/>
        <v>0</v>
      </c>
      <c r="O333" s="294">
        <f t="shared" si="156"/>
        <v>0</v>
      </c>
      <c r="P333" s="294">
        <f t="shared" si="156"/>
        <v>0</v>
      </c>
      <c r="Q333" s="294">
        <f t="shared" si="156"/>
        <v>0</v>
      </c>
      <c r="R333" s="294">
        <f t="shared" si="156"/>
        <v>0</v>
      </c>
      <c r="S333" s="294">
        <f t="shared" si="156"/>
        <v>0</v>
      </c>
      <c r="T333" s="294">
        <f t="shared" si="156"/>
        <v>0</v>
      </c>
      <c r="U333" s="294">
        <f t="shared" si="156"/>
        <v>0</v>
      </c>
      <c r="V333" s="294">
        <f t="shared" si="156"/>
        <v>0</v>
      </c>
      <c r="W333" s="294">
        <f t="shared" si="156"/>
        <v>0</v>
      </c>
      <c r="X333" s="294">
        <f t="shared" si="156"/>
        <v>0</v>
      </c>
      <c r="Y333" s="294">
        <f t="shared" si="156"/>
        <v>0</v>
      </c>
      <c r="Z333" s="294">
        <f t="shared" si="156"/>
        <v>0</v>
      </c>
      <c r="AA333" s="294">
        <f t="shared" si="156"/>
        <v>0</v>
      </c>
      <c r="AB333" s="294">
        <f t="shared" si="156"/>
        <v>0</v>
      </c>
      <c r="AC333" s="294">
        <f t="shared" si="156"/>
        <v>0</v>
      </c>
      <c r="AD333" s="294">
        <f t="shared" si="156"/>
        <v>0</v>
      </c>
      <c r="AE333" s="294">
        <f t="shared" si="156"/>
        <v>0</v>
      </c>
      <c r="AF333" s="294">
        <f t="shared" si="156"/>
        <v>0</v>
      </c>
      <c r="AG333" s="294">
        <f t="shared" si="156"/>
        <v>0</v>
      </c>
      <c r="AH333" s="294">
        <f t="shared" si="156"/>
        <v>0</v>
      </c>
      <c r="AI333" s="294">
        <f t="shared" si="156"/>
        <v>0</v>
      </c>
      <c r="AJ333" s="294">
        <f t="shared" si="156"/>
        <v>0</v>
      </c>
      <c r="AK333" s="294">
        <f t="shared" si="156"/>
        <v>0</v>
      </c>
      <c r="AL333" s="294">
        <f t="shared" si="156"/>
        <v>0</v>
      </c>
      <c r="AM333" s="294">
        <f t="shared" si="156"/>
        <v>0</v>
      </c>
      <c r="AN333" s="294">
        <f t="shared" si="156"/>
        <v>0</v>
      </c>
      <c r="AO333" s="294">
        <f t="shared" si="156"/>
        <v>0</v>
      </c>
      <c r="AP333" s="294">
        <f t="shared" si="156"/>
        <v>0</v>
      </c>
    </row>
    <row r="334" spans="1:42" x14ac:dyDescent="0.2">
      <c r="A334" s="21">
        <f t="shared" si="153"/>
        <v>6</v>
      </c>
      <c r="B334" s="292">
        <f t="shared" si="150"/>
        <v>0</v>
      </c>
      <c r="C334" s="294">
        <f t="shared" ref="C334:AP334" si="157">LOOKUP(C322,$B$261:$AP$261,$B$262:$AP$262)/100*$B635</f>
        <v>0</v>
      </c>
      <c r="D334" s="294">
        <f t="shared" si="157"/>
        <v>0</v>
      </c>
      <c r="E334" s="294">
        <f t="shared" si="157"/>
        <v>0</v>
      </c>
      <c r="F334" s="294">
        <f t="shared" si="157"/>
        <v>0</v>
      </c>
      <c r="G334" s="294">
        <f t="shared" si="157"/>
        <v>0</v>
      </c>
      <c r="H334" s="294">
        <f t="shared" si="157"/>
        <v>0</v>
      </c>
      <c r="I334" s="294">
        <f t="shared" si="157"/>
        <v>0</v>
      </c>
      <c r="J334" s="294">
        <f t="shared" si="157"/>
        <v>0</v>
      </c>
      <c r="K334" s="294">
        <f t="shared" si="157"/>
        <v>0</v>
      </c>
      <c r="L334" s="294">
        <f t="shared" si="157"/>
        <v>0</v>
      </c>
      <c r="M334" s="294">
        <f t="shared" si="157"/>
        <v>0</v>
      </c>
      <c r="N334" s="294">
        <f t="shared" si="157"/>
        <v>0</v>
      </c>
      <c r="O334" s="294">
        <f t="shared" si="157"/>
        <v>0</v>
      </c>
      <c r="P334" s="294">
        <f t="shared" si="157"/>
        <v>0</v>
      </c>
      <c r="Q334" s="294">
        <f t="shared" si="157"/>
        <v>0</v>
      </c>
      <c r="R334" s="294">
        <f t="shared" si="157"/>
        <v>0</v>
      </c>
      <c r="S334" s="294">
        <f t="shared" si="157"/>
        <v>0</v>
      </c>
      <c r="T334" s="294">
        <f t="shared" si="157"/>
        <v>0</v>
      </c>
      <c r="U334" s="294">
        <f t="shared" si="157"/>
        <v>0</v>
      </c>
      <c r="V334" s="294">
        <f t="shared" si="157"/>
        <v>0</v>
      </c>
      <c r="W334" s="294">
        <f t="shared" si="157"/>
        <v>0</v>
      </c>
      <c r="X334" s="294">
        <f t="shared" si="157"/>
        <v>0</v>
      </c>
      <c r="Y334" s="294">
        <f t="shared" si="157"/>
        <v>0</v>
      </c>
      <c r="Z334" s="294">
        <f t="shared" si="157"/>
        <v>0</v>
      </c>
      <c r="AA334" s="294">
        <f t="shared" si="157"/>
        <v>0</v>
      </c>
      <c r="AB334" s="294">
        <f t="shared" si="157"/>
        <v>0</v>
      </c>
      <c r="AC334" s="294">
        <f t="shared" si="157"/>
        <v>0</v>
      </c>
      <c r="AD334" s="294">
        <f t="shared" si="157"/>
        <v>0</v>
      </c>
      <c r="AE334" s="294">
        <f t="shared" si="157"/>
        <v>0</v>
      </c>
      <c r="AF334" s="294">
        <f t="shared" si="157"/>
        <v>0</v>
      </c>
      <c r="AG334" s="294">
        <f t="shared" si="157"/>
        <v>0</v>
      </c>
      <c r="AH334" s="294">
        <f t="shared" si="157"/>
        <v>0</v>
      </c>
      <c r="AI334" s="294">
        <f t="shared" si="157"/>
        <v>0</v>
      </c>
      <c r="AJ334" s="294">
        <f t="shared" si="157"/>
        <v>0</v>
      </c>
      <c r="AK334" s="294">
        <f t="shared" si="157"/>
        <v>0</v>
      </c>
      <c r="AL334" s="294">
        <f t="shared" si="157"/>
        <v>0</v>
      </c>
      <c r="AM334" s="294">
        <f t="shared" si="157"/>
        <v>0</v>
      </c>
      <c r="AN334" s="294">
        <f t="shared" si="157"/>
        <v>0</v>
      </c>
      <c r="AO334" s="294">
        <f t="shared" si="157"/>
        <v>0</v>
      </c>
      <c r="AP334" s="294">
        <f t="shared" si="157"/>
        <v>0</v>
      </c>
    </row>
    <row r="335" spans="1:42" x14ac:dyDescent="0.2">
      <c r="A335" s="21">
        <f t="shared" si="153"/>
        <v>7</v>
      </c>
      <c r="B335" s="292">
        <f t="shared" si="150"/>
        <v>0</v>
      </c>
      <c r="C335" s="294">
        <f t="shared" ref="C335:AP335" si="158">LOOKUP(C323,$B$261:$AP$261,$B$262:$AP$262)/100*$B636</f>
        <v>0</v>
      </c>
      <c r="D335" s="294">
        <f t="shared" si="158"/>
        <v>0</v>
      </c>
      <c r="E335" s="294">
        <f t="shared" si="158"/>
        <v>0</v>
      </c>
      <c r="F335" s="294">
        <f t="shared" si="158"/>
        <v>0</v>
      </c>
      <c r="G335" s="294">
        <f t="shared" si="158"/>
        <v>0</v>
      </c>
      <c r="H335" s="294">
        <f t="shared" si="158"/>
        <v>0</v>
      </c>
      <c r="I335" s="294">
        <f t="shared" si="158"/>
        <v>0</v>
      </c>
      <c r="J335" s="294">
        <f t="shared" si="158"/>
        <v>0</v>
      </c>
      <c r="K335" s="294">
        <f t="shared" si="158"/>
        <v>0</v>
      </c>
      <c r="L335" s="294">
        <f t="shared" si="158"/>
        <v>0</v>
      </c>
      <c r="M335" s="294">
        <f t="shared" si="158"/>
        <v>0</v>
      </c>
      <c r="N335" s="294">
        <f t="shared" si="158"/>
        <v>0</v>
      </c>
      <c r="O335" s="294">
        <f t="shared" si="158"/>
        <v>0</v>
      </c>
      <c r="P335" s="294">
        <f t="shared" si="158"/>
        <v>0</v>
      </c>
      <c r="Q335" s="294">
        <f t="shared" si="158"/>
        <v>0</v>
      </c>
      <c r="R335" s="294">
        <f t="shared" si="158"/>
        <v>0</v>
      </c>
      <c r="S335" s="294">
        <f t="shared" si="158"/>
        <v>0</v>
      </c>
      <c r="T335" s="294">
        <f t="shared" si="158"/>
        <v>0</v>
      </c>
      <c r="U335" s="294">
        <f t="shared" si="158"/>
        <v>0</v>
      </c>
      <c r="V335" s="294">
        <f t="shared" si="158"/>
        <v>0</v>
      </c>
      <c r="W335" s="294">
        <f t="shared" si="158"/>
        <v>0</v>
      </c>
      <c r="X335" s="294">
        <f t="shared" si="158"/>
        <v>0</v>
      </c>
      <c r="Y335" s="294">
        <f t="shared" si="158"/>
        <v>0</v>
      </c>
      <c r="Z335" s="294">
        <f t="shared" si="158"/>
        <v>0</v>
      </c>
      <c r="AA335" s="294">
        <f t="shared" si="158"/>
        <v>0</v>
      </c>
      <c r="AB335" s="294">
        <f t="shared" si="158"/>
        <v>0</v>
      </c>
      <c r="AC335" s="294">
        <f t="shared" si="158"/>
        <v>0</v>
      </c>
      <c r="AD335" s="294">
        <f t="shared" si="158"/>
        <v>0</v>
      </c>
      <c r="AE335" s="294">
        <f t="shared" si="158"/>
        <v>0</v>
      </c>
      <c r="AF335" s="294">
        <f t="shared" si="158"/>
        <v>0</v>
      </c>
      <c r="AG335" s="294">
        <f t="shared" si="158"/>
        <v>0</v>
      </c>
      <c r="AH335" s="294">
        <f t="shared" si="158"/>
        <v>0</v>
      </c>
      <c r="AI335" s="294">
        <f t="shared" si="158"/>
        <v>0</v>
      </c>
      <c r="AJ335" s="294">
        <f t="shared" si="158"/>
        <v>0</v>
      </c>
      <c r="AK335" s="294">
        <f t="shared" si="158"/>
        <v>0</v>
      </c>
      <c r="AL335" s="294">
        <f t="shared" si="158"/>
        <v>0</v>
      </c>
      <c r="AM335" s="294">
        <f t="shared" si="158"/>
        <v>0</v>
      </c>
      <c r="AN335" s="294">
        <f t="shared" si="158"/>
        <v>0</v>
      </c>
      <c r="AO335" s="294">
        <f t="shared" si="158"/>
        <v>0</v>
      </c>
      <c r="AP335" s="294">
        <f t="shared" si="158"/>
        <v>0</v>
      </c>
    </row>
    <row r="336" spans="1:42" x14ac:dyDescent="0.2">
      <c r="A336" s="21">
        <f t="shared" si="153"/>
        <v>8</v>
      </c>
      <c r="B336" s="292">
        <f t="shared" si="150"/>
        <v>0</v>
      </c>
      <c r="C336" s="294">
        <f t="shared" ref="C336:AP336" si="159">LOOKUP(C324,$B$261:$AP$261,$B$262:$AP$262)/100*$B637</f>
        <v>0</v>
      </c>
      <c r="D336" s="294">
        <f t="shared" si="159"/>
        <v>0</v>
      </c>
      <c r="E336" s="294">
        <f t="shared" si="159"/>
        <v>0</v>
      </c>
      <c r="F336" s="294">
        <f t="shared" si="159"/>
        <v>0</v>
      </c>
      <c r="G336" s="294">
        <f t="shared" si="159"/>
        <v>0</v>
      </c>
      <c r="H336" s="294">
        <f t="shared" si="159"/>
        <v>0</v>
      </c>
      <c r="I336" s="294">
        <f t="shared" si="159"/>
        <v>0</v>
      </c>
      <c r="J336" s="294">
        <f t="shared" si="159"/>
        <v>0</v>
      </c>
      <c r="K336" s="294">
        <f t="shared" si="159"/>
        <v>0</v>
      </c>
      <c r="L336" s="294">
        <f t="shared" si="159"/>
        <v>0</v>
      </c>
      <c r="M336" s="294">
        <f t="shared" si="159"/>
        <v>0</v>
      </c>
      <c r="N336" s="294">
        <f t="shared" si="159"/>
        <v>0</v>
      </c>
      <c r="O336" s="294">
        <f t="shared" si="159"/>
        <v>0</v>
      </c>
      <c r="P336" s="294">
        <f t="shared" si="159"/>
        <v>0</v>
      </c>
      <c r="Q336" s="294">
        <f t="shared" si="159"/>
        <v>0</v>
      </c>
      <c r="R336" s="294">
        <f t="shared" si="159"/>
        <v>0</v>
      </c>
      <c r="S336" s="294">
        <f t="shared" si="159"/>
        <v>0</v>
      </c>
      <c r="T336" s="294">
        <f t="shared" si="159"/>
        <v>0</v>
      </c>
      <c r="U336" s="294">
        <f t="shared" si="159"/>
        <v>0</v>
      </c>
      <c r="V336" s="294">
        <f t="shared" si="159"/>
        <v>0</v>
      </c>
      <c r="W336" s="294">
        <f t="shared" si="159"/>
        <v>0</v>
      </c>
      <c r="X336" s="294">
        <f t="shared" si="159"/>
        <v>0</v>
      </c>
      <c r="Y336" s="294">
        <f t="shared" si="159"/>
        <v>0</v>
      </c>
      <c r="Z336" s="294">
        <f t="shared" si="159"/>
        <v>0</v>
      </c>
      <c r="AA336" s="294">
        <f t="shared" si="159"/>
        <v>0</v>
      </c>
      <c r="AB336" s="294">
        <f t="shared" si="159"/>
        <v>0</v>
      </c>
      <c r="AC336" s="294">
        <f t="shared" si="159"/>
        <v>0</v>
      </c>
      <c r="AD336" s="294">
        <f t="shared" si="159"/>
        <v>0</v>
      </c>
      <c r="AE336" s="294">
        <f t="shared" si="159"/>
        <v>0</v>
      </c>
      <c r="AF336" s="294">
        <f t="shared" si="159"/>
        <v>0</v>
      </c>
      <c r="AG336" s="294">
        <f t="shared" si="159"/>
        <v>0</v>
      </c>
      <c r="AH336" s="294">
        <f t="shared" si="159"/>
        <v>0</v>
      </c>
      <c r="AI336" s="294">
        <f t="shared" si="159"/>
        <v>0</v>
      </c>
      <c r="AJ336" s="294">
        <f t="shared" si="159"/>
        <v>0</v>
      </c>
      <c r="AK336" s="294">
        <f t="shared" si="159"/>
        <v>0</v>
      </c>
      <c r="AL336" s="294">
        <f t="shared" si="159"/>
        <v>0</v>
      </c>
      <c r="AM336" s="294">
        <f t="shared" si="159"/>
        <v>0</v>
      </c>
      <c r="AN336" s="294">
        <f t="shared" si="159"/>
        <v>0</v>
      </c>
      <c r="AO336" s="294">
        <f t="shared" si="159"/>
        <v>0</v>
      </c>
      <c r="AP336" s="294">
        <f t="shared" si="159"/>
        <v>0</v>
      </c>
    </row>
    <row r="337" spans="1:42" x14ac:dyDescent="0.2">
      <c r="A337" s="21">
        <f>A336+1</f>
        <v>9</v>
      </c>
      <c r="B337" s="292">
        <f t="shared" si="150"/>
        <v>0</v>
      </c>
      <c r="C337" s="294">
        <f t="shared" ref="C337:AP337" si="160">LOOKUP(C325,$B$261:$AP$261,$B$262:$AP$262)/100*$B638</f>
        <v>0</v>
      </c>
      <c r="D337" s="294">
        <f t="shared" si="160"/>
        <v>0</v>
      </c>
      <c r="E337" s="294">
        <f t="shared" si="160"/>
        <v>0</v>
      </c>
      <c r="F337" s="294">
        <f t="shared" si="160"/>
        <v>0</v>
      </c>
      <c r="G337" s="294">
        <f t="shared" si="160"/>
        <v>0</v>
      </c>
      <c r="H337" s="294">
        <f t="shared" si="160"/>
        <v>0</v>
      </c>
      <c r="I337" s="294">
        <f t="shared" si="160"/>
        <v>0</v>
      </c>
      <c r="J337" s="294">
        <f t="shared" si="160"/>
        <v>0</v>
      </c>
      <c r="K337" s="294">
        <f t="shared" si="160"/>
        <v>0</v>
      </c>
      <c r="L337" s="294">
        <f t="shared" si="160"/>
        <v>0</v>
      </c>
      <c r="M337" s="294">
        <f t="shared" si="160"/>
        <v>0</v>
      </c>
      <c r="N337" s="294">
        <f t="shared" si="160"/>
        <v>0</v>
      </c>
      <c r="O337" s="294">
        <f t="shared" si="160"/>
        <v>0</v>
      </c>
      <c r="P337" s="294">
        <f t="shared" si="160"/>
        <v>0</v>
      </c>
      <c r="Q337" s="294">
        <f t="shared" si="160"/>
        <v>0</v>
      </c>
      <c r="R337" s="294">
        <f t="shared" si="160"/>
        <v>0</v>
      </c>
      <c r="S337" s="294">
        <f t="shared" si="160"/>
        <v>0</v>
      </c>
      <c r="T337" s="294">
        <f t="shared" si="160"/>
        <v>0</v>
      </c>
      <c r="U337" s="294">
        <f t="shared" si="160"/>
        <v>0</v>
      </c>
      <c r="V337" s="294">
        <f t="shared" si="160"/>
        <v>0</v>
      </c>
      <c r="W337" s="294">
        <f t="shared" si="160"/>
        <v>0</v>
      </c>
      <c r="X337" s="294">
        <f t="shared" si="160"/>
        <v>0</v>
      </c>
      <c r="Y337" s="294">
        <f t="shared" si="160"/>
        <v>0</v>
      </c>
      <c r="Z337" s="294">
        <f t="shared" si="160"/>
        <v>0</v>
      </c>
      <c r="AA337" s="294">
        <f t="shared" si="160"/>
        <v>0</v>
      </c>
      <c r="AB337" s="294">
        <f t="shared" si="160"/>
        <v>0</v>
      </c>
      <c r="AC337" s="294">
        <f t="shared" si="160"/>
        <v>0</v>
      </c>
      <c r="AD337" s="294">
        <f t="shared" si="160"/>
        <v>0</v>
      </c>
      <c r="AE337" s="294">
        <f t="shared" si="160"/>
        <v>0</v>
      </c>
      <c r="AF337" s="294">
        <f t="shared" si="160"/>
        <v>0</v>
      </c>
      <c r="AG337" s="294">
        <f t="shared" si="160"/>
        <v>0</v>
      </c>
      <c r="AH337" s="294">
        <f t="shared" si="160"/>
        <v>0</v>
      </c>
      <c r="AI337" s="294">
        <f t="shared" si="160"/>
        <v>0</v>
      </c>
      <c r="AJ337" s="294">
        <f t="shared" si="160"/>
        <v>0</v>
      </c>
      <c r="AK337" s="294">
        <f t="shared" si="160"/>
        <v>0</v>
      </c>
      <c r="AL337" s="294">
        <f t="shared" si="160"/>
        <v>0</v>
      </c>
      <c r="AM337" s="294">
        <f t="shared" si="160"/>
        <v>0</v>
      </c>
      <c r="AN337" s="294">
        <f t="shared" si="160"/>
        <v>0</v>
      </c>
      <c r="AO337" s="294">
        <f t="shared" si="160"/>
        <v>0</v>
      </c>
      <c r="AP337" s="294">
        <f t="shared" si="160"/>
        <v>0</v>
      </c>
    </row>
    <row r="338" spans="1:42" x14ac:dyDescent="0.2">
      <c r="A338" s="21">
        <f t="shared" si="153"/>
        <v>10</v>
      </c>
      <c r="B338" s="292">
        <f t="shared" si="150"/>
        <v>0</v>
      </c>
      <c r="C338" s="294">
        <f t="shared" ref="C338:AP338" si="161">LOOKUP(C326,$B$261:$AP$261,$B$262:$AP$262)/100*$B639</f>
        <v>0</v>
      </c>
      <c r="D338" s="294">
        <f t="shared" si="161"/>
        <v>0</v>
      </c>
      <c r="E338" s="294">
        <f t="shared" si="161"/>
        <v>0</v>
      </c>
      <c r="F338" s="294">
        <f t="shared" si="161"/>
        <v>0</v>
      </c>
      <c r="G338" s="294">
        <f t="shared" si="161"/>
        <v>0</v>
      </c>
      <c r="H338" s="294">
        <f t="shared" si="161"/>
        <v>0</v>
      </c>
      <c r="I338" s="294">
        <f t="shared" si="161"/>
        <v>0</v>
      </c>
      <c r="J338" s="294">
        <f t="shared" si="161"/>
        <v>0</v>
      </c>
      <c r="K338" s="294">
        <f t="shared" si="161"/>
        <v>0</v>
      </c>
      <c r="L338" s="294">
        <f t="shared" si="161"/>
        <v>0</v>
      </c>
      <c r="M338" s="294">
        <f t="shared" si="161"/>
        <v>0</v>
      </c>
      <c r="N338" s="294">
        <f t="shared" si="161"/>
        <v>0</v>
      </c>
      <c r="O338" s="294">
        <f t="shared" si="161"/>
        <v>0</v>
      </c>
      <c r="P338" s="294">
        <f t="shared" si="161"/>
        <v>0</v>
      </c>
      <c r="Q338" s="294">
        <f t="shared" si="161"/>
        <v>0</v>
      </c>
      <c r="R338" s="294">
        <f t="shared" si="161"/>
        <v>0</v>
      </c>
      <c r="S338" s="294">
        <f t="shared" si="161"/>
        <v>0</v>
      </c>
      <c r="T338" s="294">
        <f t="shared" si="161"/>
        <v>0</v>
      </c>
      <c r="U338" s="294">
        <f t="shared" si="161"/>
        <v>0</v>
      </c>
      <c r="V338" s="294">
        <f t="shared" si="161"/>
        <v>0</v>
      </c>
      <c r="W338" s="294">
        <f t="shared" si="161"/>
        <v>0</v>
      </c>
      <c r="X338" s="294">
        <f t="shared" si="161"/>
        <v>0</v>
      </c>
      <c r="Y338" s="294">
        <f t="shared" si="161"/>
        <v>0</v>
      </c>
      <c r="Z338" s="294">
        <f t="shared" si="161"/>
        <v>0</v>
      </c>
      <c r="AA338" s="294">
        <f t="shared" si="161"/>
        <v>0</v>
      </c>
      <c r="AB338" s="294">
        <f t="shared" si="161"/>
        <v>0</v>
      </c>
      <c r="AC338" s="294">
        <f t="shared" si="161"/>
        <v>0</v>
      </c>
      <c r="AD338" s="294">
        <f t="shared" si="161"/>
        <v>0</v>
      </c>
      <c r="AE338" s="294">
        <f t="shared" si="161"/>
        <v>0</v>
      </c>
      <c r="AF338" s="294">
        <f t="shared" si="161"/>
        <v>0</v>
      </c>
      <c r="AG338" s="294">
        <f t="shared" si="161"/>
        <v>0</v>
      </c>
      <c r="AH338" s="294">
        <f t="shared" si="161"/>
        <v>0</v>
      </c>
      <c r="AI338" s="294">
        <f t="shared" si="161"/>
        <v>0</v>
      </c>
      <c r="AJ338" s="294">
        <f t="shared" si="161"/>
        <v>0</v>
      </c>
      <c r="AK338" s="294">
        <f t="shared" si="161"/>
        <v>0</v>
      </c>
      <c r="AL338" s="294">
        <f t="shared" si="161"/>
        <v>0</v>
      </c>
      <c r="AM338" s="294">
        <f t="shared" si="161"/>
        <v>0</v>
      </c>
      <c r="AN338" s="294">
        <f t="shared" si="161"/>
        <v>0</v>
      </c>
      <c r="AO338" s="294">
        <f t="shared" si="161"/>
        <v>0</v>
      </c>
      <c r="AP338" s="294">
        <f t="shared" si="161"/>
        <v>0</v>
      </c>
    </row>
    <row r="339" spans="1:42" s="21" customFormat="1" ht="12" customHeight="1" x14ac:dyDescent="0.2">
      <c r="A339" s="46" t="s">
        <v>18</v>
      </c>
      <c r="B339" s="24"/>
      <c r="C339" s="273">
        <f>SUM(C329:C338)</f>
        <v>0</v>
      </c>
      <c r="D339" s="273">
        <f t="shared" ref="D339:AP339" si="162">SUM(D329:D338)</f>
        <v>0</v>
      </c>
      <c r="E339" s="273">
        <f t="shared" si="162"/>
        <v>0</v>
      </c>
      <c r="F339" s="273">
        <f t="shared" si="162"/>
        <v>0</v>
      </c>
      <c r="G339" s="273">
        <f t="shared" si="162"/>
        <v>0</v>
      </c>
      <c r="H339" s="273">
        <f t="shared" si="162"/>
        <v>0</v>
      </c>
      <c r="I339" s="273">
        <f t="shared" si="162"/>
        <v>0</v>
      </c>
      <c r="J339" s="273">
        <f t="shared" si="162"/>
        <v>0</v>
      </c>
      <c r="K339" s="273">
        <f t="shared" si="162"/>
        <v>0</v>
      </c>
      <c r="L339" s="273">
        <f t="shared" si="162"/>
        <v>0</v>
      </c>
      <c r="M339" s="273">
        <f t="shared" si="162"/>
        <v>0</v>
      </c>
      <c r="N339" s="273">
        <f t="shared" si="162"/>
        <v>0</v>
      </c>
      <c r="O339" s="273">
        <f t="shared" si="162"/>
        <v>0</v>
      </c>
      <c r="P339" s="273">
        <f t="shared" si="162"/>
        <v>0</v>
      </c>
      <c r="Q339" s="273">
        <f t="shared" si="162"/>
        <v>0</v>
      </c>
      <c r="R339" s="273">
        <f t="shared" si="162"/>
        <v>0</v>
      </c>
      <c r="S339" s="273">
        <f t="shared" si="162"/>
        <v>0</v>
      </c>
      <c r="T339" s="273">
        <f t="shared" si="162"/>
        <v>0</v>
      </c>
      <c r="U339" s="273">
        <f t="shared" si="162"/>
        <v>0</v>
      </c>
      <c r="V339" s="273">
        <f t="shared" si="162"/>
        <v>0</v>
      </c>
      <c r="W339" s="273">
        <f t="shared" si="162"/>
        <v>0</v>
      </c>
      <c r="X339" s="273">
        <f t="shared" si="162"/>
        <v>0</v>
      </c>
      <c r="Y339" s="273">
        <f t="shared" si="162"/>
        <v>0</v>
      </c>
      <c r="Z339" s="273">
        <f t="shared" si="162"/>
        <v>0</v>
      </c>
      <c r="AA339" s="273">
        <f t="shared" si="162"/>
        <v>0</v>
      </c>
      <c r="AB339" s="273">
        <f t="shared" si="162"/>
        <v>0</v>
      </c>
      <c r="AC339" s="273">
        <f t="shared" si="162"/>
        <v>0</v>
      </c>
      <c r="AD339" s="273">
        <f t="shared" si="162"/>
        <v>0</v>
      </c>
      <c r="AE339" s="273">
        <f t="shared" si="162"/>
        <v>0</v>
      </c>
      <c r="AF339" s="273">
        <f t="shared" si="162"/>
        <v>0</v>
      </c>
      <c r="AG339" s="273">
        <f t="shared" si="162"/>
        <v>0</v>
      </c>
      <c r="AH339" s="273">
        <f t="shared" si="162"/>
        <v>0</v>
      </c>
      <c r="AI339" s="273">
        <f t="shared" si="162"/>
        <v>0</v>
      </c>
      <c r="AJ339" s="273">
        <f t="shared" si="162"/>
        <v>0</v>
      </c>
      <c r="AK339" s="273">
        <f t="shared" si="162"/>
        <v>0</v>
      </c>
      <c r="AL339" s="273">
        <f t="shared" si="162"/>
        <v>0</v>
      </c>
      <c r="AM339" s="273">
        <f t="shared" si="162"/>
        <v>0</v>
      </c>
      <c r="AN339" s="273">
        <f t="shared" si="162"/>
        <v>0</v>
      </c>
      <c r="AO339" s="273">
        <f t="shared" si="162"/>
        <v>0</v>
      </c>
      <c r="AP339" s="273">
        <f t="shared" si="162"/>
        <v>0</v>
      </c>
    </row>
    <row r="340" spans="1:42" x14ac:dyDescent="0.2">
      <c r="A340" s="3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x14ac:dyDescent="0.2">
      <c r="A341" s="35" t="s">
        <v>153</v>
      </c>
    </row>
    <row r="342" spans="1:42" x14ac:dyDescent="0.2">
      <c r="A342" s="21" t="s">
        <v>33</v>
      </c>
      <c r="G342" s="53" t="s">
        <v>83</v>
      </c>
      <c r="H342" s="54"/>
      <c r="I342" s="54"/>
      <c r="J342" s="55"/>
      <c r="K342" s="47" t="s">
        <v>84</v>
      </c>
      <c r="L342" s="48"/>
    </row>
    <row r="343" spans="1:42" ht="51" x14ac:dyDescent="0.2">
      <c r="A343" s="21"/>
      <c r="B343" s="23" t="s">
        <v>73</v>
      </c>
      <c r="C343" s="23" t="s">
        <v>69</v>
      </c>
      <c r="D343" s="23" t="s">
        <v>71</v>
      </c>
      <c r="E343" s="40" t="s">
        <v>72</v>
      </c>
      <c r="F343" s="23" t="s">
        <v>74</v>
      </c>
      <c r="G343" s="23" t="s">
        <v>78</v>
      </c>
      <c r="H343" s="23" t="s">
        <v>80</v>
      </c>
      <c r="I343" s="89" t="s">
        <v>79</v>
      </c>
      <c r="J343" s="23" t="s">
        <v>81</v>
      </c>
      <c r="K343" s="49" t="s">
        <v>5</v>
      </c>
      <c r="L343" s="239" t="s">
        <v>81</v>
      </c>
      <c r="M343" s="41" t="s">
        <v>85</v>
      </c>
      <c r="N343" s="41" t="s">
        <v>86</v>
      </c>
      <c r="O343" s="23" t="s">
        <v>75</v>
      </c>
      <c r="P343" s="238" t="s">
        <v>130</v>
      </c>
      <c r="Q343" s="23" t="s">
        <v>131</v>
      </c>
    </row>
    <row r="344" spans="1:42" s="21" customFormat="1" x14ac:dyDescent="0.2">
      <c r="A344" s="50" t="str">
        <f t="shared" ref="A344:A349" si="163">A211</f>
        <v>5-yr MACRS</v>
      </c>
      <c r="B344" s="355">
        <f>depr_alloc_macrs_5_percent*100/Inputs!$C$133</f>
        <v>92.783505154639172</v>
      </c>
      <c r="C344" s="218">
        <f>-$B$72*depr_alloc_macrs_5_percent/100</f>
        <v>35412910.393116161</v>
      </c>
      <c r="D344" s="218">
        <f>IF(FedBasisReduction="5-Yr MACRS",D350,$B344/100*D$350)</f>
        <v>0</v>
      </c>
      <c r="E344" s="218">
        <f t="shared" ref="D344:E349" si="164">IF(FedBasisReduction="5-Yr MACRS",E350,$B344/100*E$350)</f>
        <v>0</v>
      </c>
      <c r="F344" s="220">
        <f>C344-D344-E344</f>
        <v>35412910.393116161</v>
      </c>
      <c r="G344" s="221">
        <f>IF(Inputs!F126="Yes",F344,0)</f>
        <v>35412910.393116161</v>
      </c>
      <c r="H344" s="231">
        <f t="shared" ref="H344:H349" si="165">IF($G$350=0,0,G344/$G$350)*100</f>
        <v>100</v>
      </c>
      <c r="I344" s="224">
        <f t="shared" ref="I344:I349" si="166">$I$350*H344/100</f>
        <v>10623873.117934847</v>
      </c>
      <c r="J344" s="225">
        <f>I344*0.5</f>
        <v>5311936.5589674236</v>
      </c>
      <c r="K344" s="220">
        <f t="shared" ref="K344:K349" si="167">H344/100*$K$350</f>
        <v>0</v>
      </c>
      <c r="L344" s="220">
        <f>K344*0.5</f>
        <v>0</v>
      </c>
      <c r="M344" s="218">
        <f t="shared" ref="M344:M349" si="168">IF(itc_sta_amount_deprbas_fed="Yes",L211,0)+IF(itc_sta_percent_deprbas_fed="Yes",J211,0)</f>
        <v>0</v>
      </c>
      <c r="N344" s="218">
        <f t="shared" ref="N344:N349" si="169">IF(itc_fed_amount_deprbas_fed="Yes",L344,0)+IF(itc_fed_percent_deprbas_fed="Yes",J344,0)</f>
        <v>5311936.5589674236</v>
      </c>
      <c r="O344" s="226">
        <f t="shared" ref="O344:O349" si="170">F344-M344-N344</f>
        <v>30100973.834148739</v>
      </c>
      <c r="P344" s="218">
        <f>IF(depr_bonus_fed_macrs_5="Yes",O344*depr_bonus_fed,0)</f>
        <v>0</v>
      </c>
      <c r="Q344" s="220">
        <f>O344-P344</f>
        <v>30100973.834148739</v>
      </c>
    </row>
    <row r="345" spans="1:42" s="21" customFormat="1" x14ac:dyDescent="0.2">
      <c r="A345" s="50" t="str">
        <f t="shared" si="163"/>
        <v>15-yr MACRS</v>
      </c>
      <c r="B345" s="355">
        <f>depr_alloc_macrs_15_percent*100/Inputs!$C$133</f>
        <v>1.5463917525773196</v>
      </c>
      <c r="C345" s="218">
        <f>-$B$72*depr_alloc_macrs_15_percent/100</f>
        <v>590215.17321860278</v>
      </c>
      <c r="D345" s="218">
        <f t="shared" si="164"/>
        <v>0</v>
      </c>
      <c r="E345" s="218">
        <f t="shared" si="164"/>
        <v>0</v>
      </c>
      <c r="F345" s="220">
        <f t="shared" ref="F345:F349" si="171">C345-D345-E345</f>
        <v>590215.17321860278</v>
      </c>
      <c r="G345" s="222">
        <f>IF(Inputs!F127="Yes",F345,0)</f>
        <v>0</v>
      </c>
      <c r="H345" s="232">
        <f t="shared" si="165"/>
        <v>0</v>
      </c>
      <c r="I345" s="218">
        <f t="shared" si="166"/>
        <v>0</v>
      </c>
      <c r="J345" s="227">
        <f t="shared" ref="J345:J349" si="172">I345*0.5</f>
        <v>0</v>
      </c>
      <c r="K345" s="220">
        <f t="shared" si="167"/>
        <v>0</v>
      </c>
      <c r="L345" s="220">
        <f t="shared" ref="L345:L349" si="173">K345*0.5</f>
        <v>0</v>
      </c>
      <c r="M345" s="218">
        <f t="shared" si="168"/>
        <v>0</v>
      </c>
      <c r="N345" s="218">
        <f t="shared" si="169"/>
        <v>0</v>
      </c>
      <c r="O345" s="220">
        <f t="shared" si="170"/>
        <v>590215.17321860278</v>
      </c>
      <c r="P345" s="218">
        <f>IF(Inputs!D127="Yes",O345*depr_bonus_fed,0)</f>
        <v>0</v>
      </c>
      <c r="Q345" s="220">
        <f t="shared" ref="Q345:Q349" si="174">O345-P345</f>
        <v>590215.17321860278</v>
      </c>
    </row>
    <row r="346" spans="1:42" s="21" customFormat="1" x14ac:dyDescent="0.2">
      <c r="A346" s="50" t="str">
        <f t="shared" si="163"/>
        <v>5-yr SL</v>
      </c>
      <c r="B346" s="355">
        <f>depr_alloc_sl_5_percent*100/Inputs!$C$133</f>
        <v>0</v>
      </c>
      <c r="C346" s="218">
        <f>-$B$72*depr_alloc_sl_5_percent/100</f>
        <v>0</v>
      </c>
      <c r="D346" s="218">
        <f t="shared" si="164"/>
        <v>0</v>
      </c>
      <c r="E346" s="218">
        <f t="shared" si="164"/>
        <v>0</v>
      </c>
      <c r="F346" s="220">
        <f t="shared" si="171"/>
        <v>0</v>
      </c>
      <c r="G346" s="222">
        <f>IF(Inputs!F128="Yes",F346,0)</f>
        <v>0</v>
      </c>
      <c r="H346" s="232">
        <f t="shared" si="165"/>
        <v>0</v>
      </c>
      <c r="I346" s="218">
        <f t="shared" si="166"/>
        <v>0</v>
      </c>
      <c r="J346" s="227">
        <f t="shared" si="172"/>
        <v>0</v>
      </c>
      <c r="K346" s="220">
        <f t="shared" si="167"/>
        <v>0</v>
      </c>
      <c r="L346" s="220">
        <f t="shared" si="173"/>
        <v>0</v>
      </c>
      <c r="M346" s="218">
        <f t="shared" si="168"/>
        <v>0</v>
      </c>
      <c r="N346" s="218">
        <f t="shared" si="169"/>
        <v>0</v>
      </c>
      <c r="O346" s="220">
        <f t="shared" si="170"/>
        <v>0</v>
      </c>
      <c r="P346" s="218">
        <f>IF(Inputs!D128="Yes",O346*depr_bonus_fed,0)</f>
        <v>0</v>
      </c>
      <c r="Q346" s="220">
        <f t="shared" si="174"/>
        <v>0</v>
      </c>
    </row>
    <row r="347" spans="1:42" s="21" customFormat="1" x14ac:dyDescent="0.2">
      <c r="A347" s="50" t="str">
        <f t="shared" si="163"/>
        <v>15-yr SL</v>
      </c>
      <c r="B347" s="355">
        <f>depr_alloc_sl_15_percent*100/Inputs!$C$133</f>
        <v>2.5773195876288661</v>
      </c>
      <c r="C347" s="218">
        <f>-$B$72*depr_alloc_sl_15_percent/100</f>
        <v>983691.95536433789</v>
      </c>
      <c r="D347" s="218">
        <f t="shared" si="164"/>
        <v>0</v>
      </c>
      <c r="E347" s="218">
        <f t="shared" si="164"/>
        <v>0</v>
      </c>
      <c r="F347" s="220">
        <f t="shared" si="171"/>
        <v>983691.95536433789</v>
      </c>
      <c r="G347" s="222">
        <f>IF(Inputs!F129="Yes",F347,0)</f>
        <v>0</v>
      </c>
      <c r="H347" s="232">
        <f t="shared" si="165"/>
        <v>0</v>
      </c>
      <c r="I347" s="218">
        <f t="shared" si="166"/>
        <v>0</v>
      </c>
      <c r="J347" s="227">
        <f t="shared" si="172"/>
        <v>0</v>
      </c>
      <c r="K347" s="220">
        <f t="shared" si="167"/>
        <v>0</v>
      </c>
      <c r="L347" s="220">
        <f t="shared" si="173"/>
        <v>0</v>
      </c>
      <c r="M347" s="218">
        <f t="shared" si="168"/>
        <v>0</v>
      </c>
      <c r="N347" s="218">
        <f t="shared" si="169"/>
        <v>0</v>
      </c>
      <c r="O347" s="220">
        <f t="shared" si="170"/>
        <v>983691.95536433789</v>
      </c>
      <c r="P347" s="218">
        <f>IF(Inputs!D129="Yes",O347*depr_bonus_fed,0)</f>
        <v>0</v>
      </c>
      <c r="Q347" s="220">
        <f t="shared" si="174"/>
        <v>983691.95536433789</v>
      </c>
    </row>
    <row r="348" spans="1:42" s="21" customFormat="1" x14ac:dyDescent="0.2">
      <c r="A348" s="50" t="str">
        <f t="shared" si="163"/>
        <v>20-yr SL</v>
      </c>
      <c r="B348" s="355">
        <f>depr_alloc_sl_20_percent*100/Inputs!$C$133</f>
        <v>3.0927835051546393</v>
      </c>
      <c r="C348" s="218">
        <f>-$B$72*depr_alloc_sl_20_percent/100</f>
        <v>1180430.3464372056</v>
      </c>
      <c r="D348" s="218">
        <f t="shared" si="164"/>
        <v>0</v>
      </c>
      <c r="E348" s="218">
        <f t="shared" si="164"/>
        <v>0</v>
      </c>
      <c r="F348" s="220">
        <f t="shared" si="171"/>
        <v>1180430.3464372056</v>
      </c>
      <c r="G348" s="222">
        <f>IF(Inputs!F130="Yes",F348,0)</f>
        <v>0</v>
      </c>
      <c r="H348" s="232">
        <f t="shared" si="165"/>
        <v>0</v>
      </c>
      <c r="I348" s="218">
        <f t="shared" si="166"/>
        <v>0</v>
      </c>
      <c r="J348" s="227">
        <f t="shared" si="172"/>
        <v>0</v>
      </c>
      <c r="K348" s="220">
        <f t="shared" si="167"/>
        <v>0</v>
      </c>
      <c r="L348" s="220">
        <f t="shared" si="173"/>
        <v>0</v>
      </c>
      <c r="M348" s="218">
        <f t="shared" si="168"/>
        <v>0</v>
      </c>
      <c r="N348" s="218">
        <f t="shared" si="169"/>
        <v>0</v>
      </c>
      <c r="O348" s="220">
        <f t="shared" si="170"/>
        <v>1180430.3464372056</v>
      </c>
      <c r="P348" s="218">
        <f>IF(Inputs!D130="Yes",O348*depr_bonus_fed,0)</f>
        <v>0</v>
      </c>
      <c r="Q348" s="220">
        <f t="shared" si="174"/>
        <v>1180430.3464372056</v>
      </c>
    </row>
    <row r="349" spans="1:42" s="21" customFormat="1" x14ac:dyDescent="0.2">
      <c r="A349" s="50" t="str">
        <f t="shared" si="163"/>
        <v>39-yr SL</v>
      </c>
      <c r="B349" s="356">
        <f>depr_alloc_sl_39_percent*100/Inputs!$C$133</f>
        <v>0</v>
      </c>
      <c r="C349" s="219">
        <f>-$B$72*depr_alloc_sl_39_percent/100</f>
        <v>0</v>
      </c>
      <c r="D349" s="219">
        <f t="shared" si="164"/>
        <v>0</v>
      </c>
      <c r="E349" s="219">
        <f t="shared" si="164"/>
        <v>0</v>
      </c>
      <c r="F349" s="223">
        <f t="shared" si="171"/>
        <v>0</v>
      </c>
      <c r="G349" s="222">
        <f>IF(Inputs!F131="Yes",F349,0)</f>
        <v>0</v>
      </c>
      <c r="H349" s="232">
        <f t="shared" si="165"/>
        <v>0</v>
      </c>
      <c r="I349" s="218">
        <f t="shared" si="166"/>
        <v>0</v>
      </c>
      <c r="J349" s="227">
        <f t="shared" si="172"/>
        <v>0</v>
      </c>
      <c r="K349" s="220">
        <f t="shared" si="167"/>
        <v>0</v>
      </c>
      <c r="L349" s="220">
        <f t="shared" si="173"/>
        <v>0</v>
      </c>
      <c r="M349" s="233">
        <f t="shared" si="168"/>
        <v>0</v>
      </c>
      <c r="N349" s="219">
        <f t="shared" si="169"/>
        <v>0</v>
      </c>
      <c r="O349" s="223">
        <f t="shared" si="170"/>
        <v>0</v>
      </c>
      <c r="P349" s="219">
        <f>IF(Inputs!D131="Yes",O349*depr_bonus_fed,0)</f>
        <v>0</v>
      </c>
      <c r="Q349" s="223">
        <f t="shared" si="174"/>
        <v>0</v>
      </c>
    </row>
    <row r="350" spans="1:42" s="21" customFormat="1" x14ac:dyDescent="0.2">
      <c r="B350" s="356">
        <f>SUM(B344:B349)</f>
        <v>100</v>
      </c>
      <c r="C350" s="219">
        <f>SUM(C344:C349)</f>
        <v>38167247.868136309</v>
      </c>
      <c r="D350" s="219">
        <f>B359+B365</f>
        <v>0</v>
      </c>
      <c r="E350" s="219">
        <f>B371</f>
        <v>0</v>
      </c>
      <c r="F350" s="233">
        <f>SUM(F344:F349)</f>
        <v>38167247.868136309</v>
      </c>
      <c r="G350" s="234">
        <f>SUM(G344:G349)</f>
        <v>35412910.393116161</v>
      </c>
      <c r="H350" s="235">
        <f>SUM(H344:H349)</f>
        <v>100</v>
      </c>
      <c r="I350" s="236">
        <f>MIN(itc_fed_percent_maxvalue,itc_fed_percent/100*G350)</f>
        <v>10623873.117934847</v>
      </c>
      <c r="J350" s="236">
        <f>SUM(J344:J349)</f>
        <v>5311936.5589674236</v>
      </c>
      <c r="K350" s="234">
        <f>itc_fed_amount</f>
        <v>0</v>
      </c>
      <c r="L350" s="237">
        <f t="shared" ref="L350:Q350" si="175">SUM(L344:L349)</f>
        <v>0</v>
      </c>
      <c r="M350" s="219">
        <f t="shared" si="175"/>
        <v>0</v>
      </c>
      <c r="N350" s="219">
        <f t="shared" si="175"/>
        <v>5311936.5589674236</v>
      </c>
      <c r="O350" s="223">
        <f t="shared" si="175"/>
        <v>32855311.309168886</v>
      </c>
      <c r="P350" s="223">
        <f t="shared" si="175"/>
        <v>0</v>
      </c>
      <c r="Q350" s="223">
        <f t="shared" si="175"/>
        <v>32855311.309168886</v>
      </c>
    </row>
    <row r="351" spans="1:42" s="168" customFormat="1" x14ac:dyDescent="0.2">
      <c r="A351" s="21"/>
      <c r="B351" s="7"/>
    </row>
    <row r="352" spans="1:42" s="168" customFormat="1" x14ac:dyDescent="0.2">
      <c r="A352" s="21" t="s">
        <v>82</v>
      </c>
      <c r="B352" s="7"/>
    </row>
    <row r="353" spans="1:2" s="168" customFormat="1" x14ac:dyDescent="0.2">
      <c r="A353" s="50" t="str">
        <f>A220</f>
        <v>Investment Based Incentive (IBI)</v>
      </c>
      <c r="B353" s="7"/>
    </row>
    <row r="354" spans="1:2" s="168" customFormat="1" x14ac:dyDescent="0.2">
      <c r="A354" s="51" t="str">
        <f>A221</f>
        <v>As fixed amount</v>
      </c>
      <c r="B354" s="7"/>
    </row>
    <row r="355" spans="1:2" s="168" customFormat="1" x14ac:dyDescent="0.2">
      <c r="A355" s="52" t="s">
        <v>6</v>
      </c>
      <c r="B355" s="276">
        <f>IF(ibi_fed_amount_deprbas_fed="Yes",ibi_fed_amount,0)</f>
        <v>0</v>
      </c>
    </row>
    <row r="356" spans="1:2" s="168" customFormat="1" x14ac:dyDescent="0.2">
      <c r="A356" s="52" t="s">
        <v>7</v>
      </c>
      <c r="B356" s="276">
        <f>IF(ibi_sta_amount_deprbas_fed="Yes",ibi_sta_amount,0)</f>
        <v>0</v>
      </c>
    </row>
    <row r="357" spans="1:2" s="168" customFormat="1" x14ac:dyDescent="0.2">
      <c r="A357" s="52" t="s">
        <v>257</v>
      </c>
      <c r="B357" s="276">
        <f>IF(ibi_uti_amount_deprbas_fed="Yes",ibi_uti_amount,0)</f>
        <v>0</v>
      </c>
    </row>
    <row r="358" spans="1:2" s="168" customFormat="1" x14ac:dyDescent="0.2">
      <c r="A358" s="52" t="s">
        <v>258</v>
      </c>
      <c r="B358" s="277">
        <f>IF(ibi_oth_amount_deprbas_fed="Yes",ibi_oth_amount,0)</f>
        <v>0</v>
      </c>
    </row>
    <row r="359" spans="1:2" s="168" customFormat="1" x14ac:dyDescent="0.2">
      <c r="A359" s="52" t="str">
        <f>A226</f>
        <v>Total</v>
      </c>
      <c r="B359" s="276">
        <f>SUM(B355:B358)</f>
        <v>0</v>
      </c>
    </row>
    <row r="360" spans="1:2" s="168" customFormat="1" x14ac:dyDescent="0.2">
      <c r="A360" s="51" t="str">
        <f>A227</f>
        <v>As percentage</v>
      </c>
      <c r="B360" s="7"/>
    </row>
    <row r="361" spans="1:2" s="168" customFormat="1" x14ac:dyDescent="0.2">
      <c r="A361" s="52" t="s">
        <v>6</v>
      </c>
      <c r="B361" s="276">
        <f>C497</f>
        <v>0</v>
      </c>
    </row>
    <row r="362" spans="1:2" s="168" customFormat="1" x14ac:dyDescent="0.2">
      <c r="A362" s="52" t="s">
        <v>7</v>
      </c>
      <c r="B362" s="276">
        <f t="shared" ref="B362:B364" si="176">C498</f>
        <v>0</v>
      </c>
    </row>
    <row r="363" spans="1:2" s="168" customFormat="1" x14ac:dyDescent="0.2">
      <c r="A363" s="52" t="s">
        <v>257</v>
      </c>
      <c r="B363" s="276">
        <f t="shared" si="176"/>
        <v>0</v>
      </c>
    </row>
    <row r="364" spans="1:2" s="168" customFormat="1" x14ac:dyDescent="0.2">
      <c r="A364" s="52" t="s">
        <v>258</v>
      </c>
      <c r="B364" s="277">
        <f t="shared" si="176"/>
        <v>0</v>
      </c>
    </row>
    <row r="365" spans="1:2" s="168" customFormat="1" x14ac:dyDescent="0.2">
      <c r="A365" s="52" t="str">
        <f>A232</f>
        <v>Total</v>
      </c>
      <c r="B365" s="276">
        <f>SUM(B361:B364)</f>
        <v>0</v>
      </c>
    </row>
    <row r="366" spans="1:2" s="168" customFormat="1" x14ac:dyDescent="0.2">
      <c r="A366" s="50" t="str">
        <f>A233</f>
        <v>Capacity Based Incentive (CBI)</v>
      </c>
      <c r="B366" s="7"/>
    </row>
    <row r="367" spans="1:2" s="168" customFormat="1" x14ac:dyDescent="0.2">
      <c r="A367" s="51" t="s">
        <v>6</v>
      </c>
      <c r="B367" s="276">
        <f>C504</f>
        <v>0</v>
      </c>
    </row>
    <row r="368" spans="1:2" s="168" customFormat="1" x14ac:dyDescent="0.2">
      <c r="A368" s="51" t="s">
        <v>7</v>
      </c>
      <c r="B368" s="276">
        <f t="shared" ref="B368:B370" si="177">C505</f>
        <v>0</v>
      </c>
    </row>
    <row r="369" spans="1:42" s="168" customFormat="1" x14ac:dyDescent="0.2">
      <c r="A369" s="51" t="s">
        <v>257</v>
      </c>
      <c r="B369" s="276">
        <f t="shared" si="177"/>
        <v>0</v>
      </c>
    </row>
    <row r="370" spans="1:42" s="168" customFormat="1" x14ac:dyDescent="0.2">
      <c r="A370" s="51" t="s">
        <v>258</v>
      </c>
      <c r="B370" s="276">
        <f t="shared" si="177"/>
        <v>0</v>
      </c>
    </row>
    <row r="371" spans="1:42" s="168" customFormat="1" x14ac:dyDescent="0.2">
      <c r="A371" s="51" t="str">
        <f>A238</f>
        <v>Total</v>
      </c>
      <c r="B371" s="275">
        <f>SUM(B367:B370)</f>
        <v>0</v>
      </c>
    </row>
    <row r="372" spans="1:42" s="168" customFormat="1" x14ac:dyDescent="0.2">
      <c r="A372" s="50" t="str">
        <f>A239</f>
        <v>Total Basis Reduction</v>
      </c>
      <c r="B372" s="276">
        <f>B359+B365+B371</f>
        <v>0</v>
      </c>
    </row>
    <row r="373" spans="1:42" s="168" customFormat="1" x14ac:dyDescent="0.2">
      <c r="A373" s="21"/>
      <c r="B373" s="7"/>
    </row>
    <row r="374" spans="1:42" s="168" customFormat="1" x14ac:dyDescent="0.2">
      <c r="A374" s="21" t="s">
        <v>123</v>
      </c>
      <c r="B374" s="7"/>
    </row>
    <row r="375" spans="1:42" s="168" customFormat="1" x14ac:dyDescent="0.2">
      <c r="A375" s="50" t="s">
        <v>76</v>
      </c>
      <c r="B375" s="7"/>
    </row>
    <row r="376" spans="1:42" x14ac:dyDescent="0.2">
      <c r="A376" s="39" t="str">
        <f t="shared" ref="A376:A381" si="178">A344</f>
        <v>5-yr MACRS</v>
      </c>
      <c r="B376" s="282">
        <f t="array" ref="B376">SUM(IF(ISNUMBER(C376:AP376),C376:AP376))</f>
        <v>100</v>
      </c>
      <c r="C376" s="283">
        <f>LOOKUP(C$2,'Depreciation Schedules'!$A$3:$A$42,'Depreciation Schedules'!$B$3:$B$42)</f>
        <v>20</v>
      </c>
      <c r="D376" s="283">
        <f>LOOKUP(D$2,'Depreciation Schedules'!$A$3:$A$42,'Depreciation Schedules'!$B$3:$B$42)</f>
        <v>32</v>
      </c>
      <c r="E376" s="283">
        <f>LOOKUP(E$2,'Depreciation Schedules'!$A$3:$A$42,'Depreciation Schedules'!$B$3:$B$42)</f>
        <v>19.2</v>
      </c>
      <c r="F376" s="283">
        <f>LOOKUP(F$2,'Depreciation Schedules'!$A$3:$A$42,'Depreciation Schedules'!$B$3:$B$42)</f>
        <v>11.52</v>
      </c>
      <c r="G376" s="283">
        <f>LOOKUP(G$2,'Depreciation Schedules'!$A$3:$A$42,'Depreciation Schedules'!$B$3:$B$42)</f>
        <v>11.52</v>
      </c>
      <c r="H376" s="283">
        <f>LOOKUP(H$2,'Depreciation Schedules'!$A$3:$A$42,'Depreciation Schedules'!$B$3:$B$42)</f>
        <v>5.76</v>
      </c>
      <c r="I376" s="283">
        <f>LOOKUP(I$2,'Depreciation Schedules'!$A$3:$A$42,'Depreciation Schedules'!$B$3:$B$42)</f>
        <v>0</v>
      </c>
      <c r="J376" s="283">
        <f>LOOKUP(J$2,'Depreciation Schedules'!$A$3:$A$42,'Depreciation Schedules'!$B$3:$B$42)</f>
        <v>0</v>
      </c>
      <c r="K376" s="283">
        <f>LOOKUP(K$2,'Depreciation Schedules'!$A$3:$A$42,'Depreciation Schedules'!$B$3:$B$42)</f>
        <v>0</v>
      </c>
      <c r="L376" s="283">
        <f>LOOKUP(L$2,'Depreciation Schedules'!$A$3:$A$42,'Depreciation Schedules'!$B$3:$B$42)</f>
        <v>0</v>
      </c>
      <c r="M376" s="283">
        <f>LOOKUP(M$2,'Depreciation Schedules'!$A$3:$A$42,'Depreciation Schedules'!$B$3:$B$42)</f>
        <v>0</v>
      </c>
      <c r="N376" s="283">
        <f>LOOKUP(N$2,'Depreciation Schedules'!$A$3:$A$42,'Depreciation Schedules'!$B$3:$B$42)</f>
        <v>0</v>
      </c>
      <c r="O376" s="283">
        <f>LOOKUP(O$2,'Depreciation Schedules'!$A$3:$A$42,'Depreciation Schedules'!$B$3:$B$42)</f>
        <v>0</v>
      </c>
      <c r="P376" s="283">
        <f>LOOKUP(P$2,'Depreciation Schedules'!$A$3:$A$42,'Depreciation Schedules'!$B$3:$B$42)</f>
        <v>0</v>
      </c>
      <c r="Q376" s="283">
        <f>LOOKUP(Q$2,'Depreciation Schedules'!$A$3:$A$42,'Depreciation Schedules'!$B$3:$B$42)</f>
        <v>0</v>
      </c>
      <c r="R376" s="283">
        <f>LOOKUP(R$2,'Depreciation Schedules'!$A$3:$A$42,'Depreciation Schedules'!$B$3:$B$42)</f>
        <v>0</v>
      </c>
      <c r="S376" s="283">
        <f>LOOKUP(S$2,'Depreciation Schedules'!$A$3:$A$42,'Depreciation Schedules'!$B$3:$B$42)</f>
        <v>0</v>
      </c>
      <c r="T376" s="283">
        <f>LOOKUP(T$2,'Depreciation Schedules'!$A$3:$A$42,'Depreciation Schedules'!$B$3:$B$42)</f>
        <v>0</v>
      </c>
      <c r="U376" s="283">
        <f>LOOKUP(U$2,'Depreciation Schedules'!$A$3:$A$42,'Depreciation Schedules'!$B$3:$B$42)</f>
        <v>0</v>
      </c>
      <c r="V376" s="283">
        <f>LOOKUP(V$2,'Depreciation Schedules'!$A$3:$A$42,'Depreciation Schedules'!$B$3:$B$42)</f>
        <v>0</v>
      </c>
      <c r="W376" s="283">
        <f>LOOKUP(W$2,'Depreciation Schedules'!$A$3:$A$42,'Depreciation Schedules'!$B$3:$B$42)</f>
        <v>0</v>
      </c>
      <c r="X376" s="283">
        <f>LOOKUP(X$2,'Depreciation Schedules'!$A$3:$A$42,'Depreciation Schedules'!$B$3:$B$42)</f>
        <v>0</v>
      </c>
      <c r="Y376" s="283">
        <f>LOOKUP(Y$2,'Depreciation Schedules'!$A$3:$A$42,'Depreciation Schedules'!$B$3:$B$42)</f>
        <v>0</v>
      </c>
      <c r="Z376" s="283">
        <f>LOOKUP(Z$2,'Depreciation Schedules'!$A$3:$A$42,'Depreciation Schedules'!$B$3:$B$42)</f>
        <v>0</v>
      </c>
      <c r="AA376" s="283">
        <f>LOOKUP(AA$2,'Depreciation Schedules'!$A$3:$A$42,'Depreciation Schedules'!$B$3:$B$42)</f>
        <v>0</v>
      </c>
      <c r="AB376" s="283" t="e">
        <f>LOOKUP(AB$2,'Depreciation Schedules'!$A$3:$A$42,'Depreciation Schedules'!$B$3:$B$42)</f>
        <v>#N/A</v>
      </c>
      <c r="AC376" s="283" t="e">
        <f>LOOKUP(AC$2,'Depreciation Schedules'!$A$3:$A$42,'Depreciation Schedules'!$B$3:$B$42)</f>
        <v>#N/A</v>
      </c>
      <c r="AD376" s="283" t="e">
        <f>LOOKUP(AD$2,'Depreciation Schedules'!$A$3:$A$42,'Depreciation Schedules'!$B$3:$B$42)</f>
        <v>#N/A</v>
      </c>
      <c r="AE376" s="283" t="e">
        <f>LOOKUP(AE$2,'Depreciation Schedules'!$A$3:$A$42,'Depreciation Schedules'!$B$3:$B$42)</f>
        <v>#N/A</v>
      </c>
      <c r="AF376" s="283" t="e">
        <f>LOOKUP(AF$2,'Depreciation Schedules'!$A$3:$A$42,'Depreciation Schedules'!$B$3:$B$42)</f>
        <v>#N/A</v>
      </c>
      <c r="AG376" s="283" t="e">
        <f>LOOKUP(AG$2,'Depreciation Schedules'!$A$3:$A$42,'Depreciation Schedules'!$B$3:$B$42)</f>
        <v>#N/A</v>
      </c>
      <c r="AH376" s="283" t="e">
        <f>LOOKUP(AH$2,'Depreciation Schedules'!$A$3:$A$42,'Depreciation Schedules'!$B$3:$B$42)</f>
        <v>#N/A</v>
      </c>
      <c r="AI376" s="283" t="e">
        <f>LOOKUP(AI$2,'Depreciation Schedules'!$A$3:$A$42,'Depreciation Schedules'!$B$3:$B$42)</f>
        <v>#N/A</v>
      </c>
      <c r="AJ376" s="283" t="e">
        <f>LOOKUP(AJ$2,'Depreciation Schedules'!$A$3:$A$42,'Depreciation Schedules'!$B$3:$B$42)</f>
        <v>#N/A</v>
      </c>
      <c r="AK376" s="283" t="e">
        <f>LOOKUP(AK$2,'Depreciation Schedules'!$A$3:$A$42,'Depreciation Schedules'!$B$3:$B$42)</f>
        <v>#N/A</v>
      </c>
      <c r="AL376" s="283" t="e">
        <f>LOOKUP(AL$2,'Depreciation Schedules'!$A$3:$A$42,'Depreciation Schedules'!$B$3:$B$42)</f>
        <v>#N/A</v>
      </c>
      <c r="AM376" s="283" t="e">
        <f>LOOKUP(AM$2,'Depreciation Schedules'!$A$3:$A$42,'Depreciation Schedules'!$B$3:$B$42)</f>
        <v>#N/A</v>
      </c>
      <c r="AN376" s="283" t="e">
        <f>LOOKUP(AN$2,'Depreciation Schedules'!$A$3:$A$42,'Depreciation Schedules'!$B$3:$B$42)</f>
        <v>#N/A</v>
      </c>
      <c r="AO376" s="283" t="e">
        <f>LOOKUP(AO$2,'Depreciation Schedules'!$A$3:$A$42,'Depreciation Schedules'!$B$3:$B$42)</f>
        <v>#N/A</v>
      </c>
      <c r="AP376" s="283" t="e">
        <f>LOOKUP(AP$2,'Depreciation Schedules'!$A$3:$A$42,'Depreciation Schedules'!$B$3:$B$42)</f>
        <v>#N/A</v>
      </c>
    </row>
    <row r="377" spans="1:42" x14ac:dyDescent="0.2">
      <c r="A377" s="39" t="str">
        <f t="shared" si="178"/>
        <v>15-yr MACRS</v>
      </c>
      <c r="B377" s="282">
        <f t="array" ref="B377">SUM(IF(ISNUMBER(C377:AP377),C377:AP377))</f>
        <v>99.990000000000009</v>
      </c>
      <c r="C377" s="283">
        <f>LOOKUP(C$2,'Depreciation Schedules'!$A$3:$A$42,'Depreciation Schedules'!$C$3:$C$42)</f>
        <v>5</v>
      </c>
      <c r="D377" s="283">
        <f>LOOKUP(D$2,'Depreciation Schedules'!$A$3:$A$42,'Depreciation Schedules'!$C$3:$C$42)</f>
        <v>9.5</v>
      </c>
      <c r="E377" s="283">
        <f>LOOKUP(E$2,'Depreciation Schedules'!$A$3:$A$42,'Depreciation Schedules'!$C$3:$C$42)</f>
        <v>8.5500000000000007</v>
      </c>
      <c r="F377" s="283">
        <f>LOOKUP(F$2,'Depreciation Schedules'!$A$3:$A$42,'Depreciation Schedules'!$C$3:$C$42)</f>
        <v>7.7</v>
      </c>
      <c r="G377" s="283">
        <f>LOOKUP(G$2,'Depreciation Schedules'!$A$3:$A$42,'Depreciation Schedules'!$C$3:$C$42)</f>
        <v>6.93</v>
      </c>
      <c r="H377" s="283">
        <f>LOOKUP(H$2,'Depreciation Schedules'!$A$3:$A$42,'Depreciation Schedules'!$C$3:$C$42)</f>
        <v>6.23</v>
      </c>
      <c r="I377" s="283">
        <f>LOOKUP(I$2,'Depreciation Schedules'!$A$3:$A$42,'Depreciation Schedules'!$C$3:$C$42)</f>
        <v>5.9</v>
      </c>
      <c r="J377" s="283">
        <f>LOOKUP(J$2,'Depreciation Schedules'!$A$3:$A$42,'Depreciation Schedules'!$C$3:$C$42)</f>
        <v>5.9</v>
      </c>
      <c r="K377" s="283">
        <f>LOOKUP(K$2,'Depreciation Schedules'!$A$3:$A$42,'Depreciation Schedules'!$C$3:$C$42)</f>
        <v>5.91</v>
      </c>
      <c r="L377" s="283">
        <f>LOOKUP(L$2,'Depreciation Schedules'!$A$3:$A$42,'Depreciation Schedules'!$C$3:$C$42)</f>
        <v>5.9</v>
      </c>
      <c r="M377" s="283">
        <f>LOOKUP(M$2,'Depreciation Schedules'!$A$3:$A$42,'Depreciation Schedules'!$C$3:$C$42)</f>
        <v>5.91</v>
      </c>
      <c r="N377" s="283">
        <f>LOOKUP(N$2,'Depreciation Schedules'!$A$3:$A$42,'Depreciation Schedules'!$C$3:$C$42)</f>
        <v>5.9</v>
      </c>
      <c r="O377" s="283">
        <f>LOOKUP(O$2,'Depreciation Schedules'!$A$3:$A$42,'Depreciation Schedules'!$C$3:$C$42)</f>
        <v>5.91</v>
      </c>
      <c r="P377" s="283">
        <f>LOOKUP(P$2,'Depreciation Schedules'!$A$3:$A$42,'Depreciation Schedules'!$C$3:$C$42)</f>
        <v>5.9</v>
      </c>
      <c r="Q377" s="283">
        <f>LOOKUP(Q$2,'Depreciation Schedules'!$A$3:$A$42,'Depreciation Schedules'!$C$3:$C$42)</f>
        <v>5.9</v>
      </c>
      <c r="R377" s="283">
        <f>LOOKUP(R$2,'Depreciation Schedules'!$A$3:$A$42,'Depreciation Schedules'!$C$3:$C$42)</f>
        <v>2.95</v>
      </c>
      <c r="S377" s="283">
        <f>LOOKUP(S$2,'Depreciation Schedules'!$A$3:$A$42,'Depreciation Schedules'!$C$3:$C$42)</f>
        <v>0</v>
      </c>
      <c r="T377" s="283">
        <f>LOOKUP(T$2,'Depreciation Schedules'!$A$3:$A$42,'Depreciation Schedules'!$C$3:$C$42)</f>
        <v>0</v>
      </c>
      <c r="U377" s="283">
        <f>LOOKUP(U$2,'Depreciation Schedules'!$A$3:$A$42,'Depreciation Schedules'!$C$3:$C$42)</f>
        <v>0</v>
      </c>
      <c r="V377" s="283">
        <f>LOOKUP(V$2,'Depreciation Schedules'!$A$3:$A$42,'Depreciation Schedules'!$C$3:$C$42)</f>
        <v>0</v>
      </c>
      <c r="W377" s="283">
        <f>LOOKUP(W$2,'Depreciation Schedules'!$A$3:$A$42,'Depreciation Schedules'!$C$3:$C$42)</f>
        <v>0</v>
      </c>
      <c r="X377" s="283">
        <f>LOOKUP(X$2,'Depreciation Schedules'!$A$3:$A$42,'Depreciation Schedules'!$C$3:$C$42)</f>
        <v>0</v>
      </c>
      <c r="Y377" s="283">
        <f>LOOKUP(Y$2,'Depreciation Schedules'!$A$3:$A$42,'Depreciation Schedules'!$C$3:$C$42)</f>
        <v>0</v>
      </c>
      <c r="Z377" s="283">
        <f>LOOKUP(Z$2,'Depreciation Schedules'!$A$3:$A$42,'Depreciation Schedules'!$C$3:$C$42)</f>
        <v>0</v>
      </c>
      <c r="AA377" s="283">
        <f>LOOKUP(AA$2,'Depreciation Schedules'!$A$3:$A$42,'Depreciation Schedules'!$C$3:$C$42)</f>
        <v>0</v>
      </c>
      <c r="AB377" s="283" t="e">
        <f>LOOKUP(AB$2,'Depreciation Schedules'!$A$3:$A$42,'Depreciation Schedules'!$C$3:$C$42)</f>
        <v>#N/A</v>
      </c>
      <c r="AC377" s="283" t="e">
        <f>LOOKUP(AC$2,'Depreciation Schedules'!$A$3:$A$42,'Depreciation Schedules'!$C$3:$C$42)</f>
        <v>#N/A</v>
      </c>
      <c r="AD377" s="283" t="e">
        <f>LOOKUP(AD$2,'Depreciation Schedules'!$A$3:$A$42,'Depreciation Schedules'!$C$3:$C$42)</f>
        <v>#N/A</v>
      </c>
      <c r="AE377" s="283" t="e">
        <f>LOOKUP(AE$2,'Depreciation Schedules'!$A$3:$A$42,'Depreciation Schedules'!$C$3:$C$42)</f>
        <v>#N/A</v>
      </c>
      <c r="AF377" s="283" t="e">
        <f>LOOKUP(AF$2,'Depreciation Schedules'!$A$3:$A$42,'Depreciation Schedules'!$C$3:$C$42)</f>
        <v>#N/A</v>
      </c>
      <c r="AG377" s="283" t="e">
        <f>LOOKUP(AG$2,'Depreciation Schedules'!$A$3:$A$42,'Depreciation Schedules'!$C$3:$C$42)</f>
        <v>#N/A</v>
      </c>
      <c r="AH377" s="283" t="e">
        <f>LOOKUP(AH$2,'Depreciation Schedules'!$A$3:$A$42,'Depreciation Schedules'!$C$3:$C$42)</f>
        <v>#N/A</v>
      </c>
      <c r="AI377" s="283" t="e">
        <f>LOOKUP(AI$2,'Depreciation Schedules'!$A$3:$A$42,'Depreciation Schedules'!$C$3:$C$42)</f>
        <v>#N/A</v>
      </c>
      <c r="AJ377" s="283" t="e">
        <f>LOOKUP(AJ$2,'Depreciation Schedules'!$A$3:$A$42,'Depreciation Schedules'!$C$3:$C$42)</f>
        <v>#N/A</v>
      </c>
      <c r="AK377" s="283" t="e">
        <f>LOOKUP(AK$2,'Depreciation Schedules'!$A$3:$A$42,'Depreciation Schedules'!$C$3:$C$42)</f>
        <v>#N/A</v>
      </c>
      <c r="AL377" s="283" t="e">
        <f>LOOKUP(AL$2,'Depreciation Schedules'!$A$3:$A$42,'Depreciation Schedules'!$C$3:$C$42)</f>
        <v>#N/A</v>
      </c>
      <c r="AM377" s="283" t="e">
        <f>LOOKUP(AM$2,'Depreciation Schedules'!$A$3:$A$42,'Depreciation Schedules'!$C$3:$C$42)</f>
        <v>#N/A</v>
      </c>
      <c r="AN377" s="283" t="e">
        <f>LOOKUP(AN$2,'Depreciation Schedules'!$A$3:$A$42,'Depreciation Schedules'!$C$3:$C$42)</f>
        <v>#N/A</v>
      </c>
      <c r="AO377" s="283" t="e">
        <f>LOOKUP(AO$2,'Depreciation Schedules'!$A$3:$A$42,'Depreciation Schedules'!$C$3:$C$42)</f>
        <v>#N/A</v>
      </c>
      <c r="AP377" s="283" t="e">
        <f>LOOKUP(AP$2,'Depreciation Schedules'!$A$3:$A$42,'Depreciation Schedules'!$C$3:$C$42)</f>
        <v>#N/A</v>
      </c>
    </row>
    <row r="378" spans="1:42" x14ac:dyDescent="0.2">
      <c r="A378" s="39" t="str">
        <f t="shared" si="178"/>
        <v>5-yr SL</v>
      </c>
      <c r="B378" s="282">
        <f t="array" ref="B378">SUM(IF(ISNUMBER(C378:AP378),C378:AP378))</f>
        <v>100</v>
      </c>
      <c r="C378" s="283">
        <f>LOOKUP(C$2,'Depreciation Schedules'!$A$3:$A$42,'Depreciation Schedules'!$D$3:$D$42)</f>
        <v>10</v>
      </c>
      <c r="D378" s="283">
        <f>LOOKUP(D$2,'Depreciation Schedules'!$A$3:$A$42,'Depreciation Schedules'!$D$3:$D$42)</f>
        <v>20</v>
      </c>
      <c r="E378" s="283">
        <f>LOOKUP(E$2,'Depreciation Schedules'!$A$3:$A$42,'Depreciation Schedules'!$D$3:$D$42)</f>
        <v>20</v>
      </c>
      <c r="F378" s="283">
        <f>LOOKUP(F$2,'Depreciation Schedules'!$A$3:$A$42,'Depreciation Schedules'!$D$3:$D$42)</f>
        <v>20</v>
      </c>
      <c r="G378" s="283">
        <f>LOOKUP(G$2,'Depreciation Schedules'!$A$3:$A$42,'Depreciation Schedules'!$D$3:$D$42)</f>
        <v>20</v>
      </c>
      <c r="H378" s="283">
        <f>LOOKUP(H$2,'Depreciation Schedules'!$A$3:$A$42,'Depreciation Schedules'!$D$3:$D$42)</f>
        <v>10</v>
      </c>
      <c r="I378" s="283">
        <f>LOOKUP(I$2,'Depreciation Schedules'!$A$3:$A$42,'Depreciation Schedules'!$D$3:$D$42)</f>
        <v>0</v>
      </c>
      <c r="J378" s="283">
        <f>LOOKUP(J$2,'Depreciation Schedules'!$A$3:$A$42,'Depreciation Schedules'!$D$3:$D$42)</f>
        <v>0</v>
      </c>
      <c r="K378" s="283">
        <f>LOOKUP(K$2,'Depreciation Schedules'!$A$3:$A$42,'Depreciation Schedules'!$D$3:$D$42)</f>
        <v>0</v>
      </c>
      <c r="L378" s="283">
        <f>LOOKUP(L$2,'Depreciation Schedules'!$A$3:$A$42,'Depreciation Schedules'!$D$3:$D$42)</f>
        <v>0</v>
      </c>
      <c r="M378" s="283">
        <f>LOOKUP(M$2,'Depreciation Schedules'!$A$3:$A$42,'Depreciation Schedules'!$D$3:$D$42)</f>
        <v>0</v>
      </c>
      <c r="N378" s="283">
        <f>LOOKUP(N$2,'Depreciation Schedules'!$A$3:$A$42,'Depreciation Schedules'!$D$3:$D$42)</f>
        <v>0</v>
      </c>
      <c r="O378" s="283">
        <f>LOOKUP(O$2,'Depreciation Schedules'!$A$3:$A$42,'Depreciation Schedules'!$D$3:$D$42)</f>
        <v>0</v>
      </c>
      <c r="P378" s="283">
        <f>LOOKUP(P$2,'Depreciation Schedules'!$A$3:$A$42,'Depreciation Schedules'!$D$3:$D$42)</f>
        <v>0</v>
      </c>
      <c r="Q378" s="283">
        <f>LOOKUP(Q$2,'Depreciation Schedules'!$A$3:$A$42,'Depreciation Schedules'!$D$3:$D$42)</f>
        <v>0</v>
      </c>
      <c r="R378" s="283">
        <f>LOOKUP(R$2,'Depreciation Schedules'!$A$3:$A$42,'Depreciation Schedules'!$D$3:$D$42)</f>
        <v>0</v>
      </c>
      <c r="S378" s="283">
        <f>LOOKUP(S$2,'Depreciation Schedules'!$A$3:$A$42,'Depreciation Schedules'!$D$3:$D$42)</f>
        <v>0</v>
      </c>
      <c r="T378" s="283">
        <f>LOOKUP(T$2,'Depreciation Schedules'!$A$3:$A$42,'Depreciation Schedules'!$D$3:$D$42)</f>
        <v>0</v>
      </c>
      <c r="U378" s="283">
        <f>LOOKUP(U$2,'Depreciation Schedules'!$A$3:$A$42,'Depreciation Schedules'!$D$3:$D$42)</f>
        <v>0</v>
      </c>
      <c r="V378" s="283">
        <f>LOOKUP(V$2,'Depreciation Schedules'!$A$3:$A$42,'Depreciation Schedules'!$D$3:$D$42)</f>
        <v>0</v>
      </c>
      <c r="W378" s="283">
        <f>LOOKUP(W$2,'Depreciation Schedules'!$A$3:$A$42,'Depreciation Schedules'!$D$3:$D$42)</f>
        <v>0</v>
      </c>
      <c r="X378" s="283">
        <f>LOOKUP(X$2,'Depreciation Schedules'!$A$3:$A$42,'Depreciation Schedules'!$D$3:$D$42)</f>
        <v>0</v>
      </c>
      <c r="Y378" s="283">
        <f>LOOKUP(Y$2,'Depreciation Schedules'!$A$3:$A$42,'Depreciation Schedules'!$D$3:$D$42)</f>
        <v>0</v>
      </c>
      <c r="Z378" s="283">
        <f>LOOKUP(Z$2,'Depreciation Schedules'!$A$3:$A$42,'Depreciation Schedules'!$D$3:$D$42)</f>
        <v>0</v>
      </c>
      <c r="AA378" s="283">
        <f>LOOKUP(AA$2,'Depreciation Schedules'!$A$3:$A$42,'Depreciation Schedules'!$D$3:$D$42)</f>
        <v>0</v>
      </c>
      <c r="AB378" s="283" t="e">
        <f>LOOKUP(AB$2,'Depreciation Schedules'!$A$3:$A$42,'Depreciation Schedules'!$D$3:$D$42)</f>
        <v>#N/A</v>
      </c>
      <c r="AC378" s="283" t="e">
        <f>LOOKUP(AC$2,'Depreciation Schedules'!$A$3:$A$42,'Depreciation Schedules'!$D$3:$D$42)</f>
        <v>#N/A</v>
      </c>
      <c r="AD378" s="283" t="e">
        <f>LOOKUP(AD$2,'Depreciation Schedules'!$A$3:$A$42,'Depreciation Schedules'!$D$3:$D$42)</f>
        <v>#N/A</v>
      </c>
      <c r="AE378" s="283" t="e">
        <f>LOOKUP(AE$2,'Depreciation Schedules'!$A$3:$A$42,'Depreciation Schedules'!$D$3:$D$42)</f>
        <v>#N/A</v>
      </c>
      <c r="AF378" s="283" t="e">
        <f>LOOKUP(AF$2,'Depreciation Schedules'!$A$3:$A$42,'Depreciation Schedules'!$D$3:$D$42)</f>
        <v>#N/A</v>
      </c>
      <c r="AG378" s="283" t="e">
        <f>LOOKUP(AG$2,'Depreciation Schedules'!$A$3:$A$42,'Depreciation Schedules'!$D$3:$D$42)</f>
        <v>#N/A</v>
      </c>
      <c r="AH378" s="283" t="e">
        <f>LOOKUP(AH$2,'Depreciation Schedules'!$A$3:$A$42,'Depreciation Schedules'!$D$3:$D$42)</f>
        <v>#N/A</v>
      </c>
      <c r="AI378" s="283" t="e">
        <f>LOOKUP(AI$2,'Depreciation Schedules'!$A$3:$A$42,'Depreciation Schedules'!$D$3:$D$42)</f>
        <v>#N/A</v>
      </c>
      <c r="AJ378" s="283" t="e">
        <f>LOOKUP(AJ$2,'Depreciation Schedules'!$A$3:$A$42,'Depreciation Schedules'!$D$3:$D$42)</f>
        <v>#N/A</v>
      </c>
      <c r="AK378" s="283" t="e">
        <f>LOOKUP(AK$2,'Depreciation Schedules'!$A$3:$A$42,'Depreciation Schedules'!$D$3:$D$42)</f>
        <v>#N/A</v>
      </c>
      <c r="AL378" s="283" t="e">
        <f>LOOKUP(AL$2,'Depreciation Schedules'!$A$3:$A$42,'Depreciation Schedules'!$D$3:$D$42)</f>
        <v>#N/A</v>
      </c>
      <c r="AM378" s="283" t="e">
        <f>LOOKUP(AM$2,'Depreciation Schedules'!$A$3:$A$42,'Depreciation Schedules'!$D$3:$D$42)</f>
        <v>#N/A</v>
      </c>
      <c r="AN378" s="283" t="e">
        <f>LOOKUP(AN$2,'Depreciation Schedules'!$A$3:$A$42,'Depreciation Schedules'!$D$3:$D$42)</f>
        <v>#N/A</v>
      </c>
      <c r="AO378" s="283" t="e">
        <f>LOOKUP(AO$2,'Depreciation Schedules'!$A$3:$A$42,'Depreciation Schedules'!$D$3:$D$42)</f>
        <v>#N/A</v>
      </c>
      <c r="AP378" s="283" t="e">
        <f>LOOKUP(AP$2,'Depreciation Schedules'!$A$3:$A$42,'Depreciation Schedules'!$D$3:$D$42)</f>
        <v>#N/A</v>
      </c>
    </row>
    <row r="379" spans="1:42" x14ac:dyDescent="0.2">
      <c r="A379" s="39" t="str">
        <f t="shared" si="178"/>
        <v>15-yr SL</v>
      </c>
      <c r="B379" s="282">
        <f t="array" ref="B379">SUM(IF(ISNUMBER(C379:AP379),C379:AP379))</f>
        <v>100.02000000000001</v>
      </c>
      <c r="C379" s="283">
        <f>LOOKUP(C$2,'Depreciation Schedules'!$A$3:$A$42,'Depreciation Schedules'!$E$3:$E$42)</f>
        <v>3.33</v>
      </c>
      <c r="D379" s="283">
        <f>LOOKUP(D$2,'Depreciation Schedules'!$A$3:$A$42,'Depreciation Schedules'!$E$3:$E$42)</f>
        <v>6.67</v>
      </c>
      <c r="E379" s="283">
        <f>LOOKUP(E$2,'Depreciation Schedules'!$A$3:$A$42,'Depreciation Schedules'!$E$3:$E$42)</f>
        <v>6.67</v>
      </c>
      <c r="F379" s="283">
        <f>LOOKUP(F$2,'Depreciation Schedules'!$A$3:$A$42,'Depreciation Schedules'!$E$3:$E$42)</f>
        <v>6.67</v>
      </c>
      <c r="G379" s="283">
        <f>LOOKUP(G$2,'Depreciation Schedules'!$A$3:$A$42,'Depreciation Schedules'!$E$3:$E$42)</f>
        <v>6.67</v>
      </c>
      <c r="H379" s="283">
        <f>LOOKUP(H$2,'Depreciation Schedules'!$A$3:$A$42,'Depreciation Schedules'!$E$3:$E$42)</f>
        <v>6.67</v>
      </c>
      <c r="I379" s="283">
        <f>LOOKUP(I$2,'Depreciation Schedules'!$A$3:$A$42,'Depreciation Schedules'!$E$3:$E$42)</f>
        <v>6.67</v>
      </c>
      <c r="J379" s="283">
        <f>LOOKUP(J$2,'Depreciation Schedules'!$A$3:$A$42,'Depreciation Schedules'!$E$3:$E$42)</f>
        <v>6.67</v>
      </c>
      <c r="K379" s="283">
        <f>LOOKUP(K$2,'Depreciation Schedules'!$A$3:$A$42,'Depreciation Schedules'!$E$3:$E$42)</f>
        <v>6.67</v>
      </c>
      <c r="L379" s="283">
        <f>LOOKUP(L$2,'Depreciation Schedules'!$A$3:$A$42,'Depreciation Schedules'!$E$3:$E$42)</f>
        <v>6.67</v>
      </c>
      <c r="M379" s="283">
        <f>LOOKUP(M$2,'Depreciation Schedules'!$A$3:$A$42,'Depreciation Schedules'!$E$3:$E$42)</f>
        <v>6.67</v>
      </c>
      <c r="N379" s="283">
        <f>LOOKUP(N$2,'Depreciation Schedules'!$A$3:$A$42,'Depreciation Schedules'!$E$3:$E$42)</f>
        <v>6.66</v>
      </c>
      <c r="O379" s="283">
        <f>LOOKUP(O$2,'Depreciation Schedules'!$A$3:$A$42,'Depreciation Schedules'!$E$3:$E$42)</f>
        <v>6.67</v>
      </c>
      <c r="P379" s="283">
        <f>LOOKUP(P$2,'Depreciation Schedules'!$A$3:$A$42,'Depreciation Schedules'!$E$3:$E$42)</f>
        <v>6.66</v>
      </c>
      <c r="Q379" s="283">
        <f>LOOKUP(Q$2,'Depreciation Schedules'!$A$3:$A$42,'Depreciation Schedules'!$E$3:$E$42)</f>
        <v>6.67</v>
      </c>
      <c r="R379" s="283">
        <f>LOOKUP(R$2,'Depreciation Schedules'!$A$3:$A$42,'Depreciation Schedules'!$E$3:$E$42)</f>
        <v>3.33</v>
      </c>
      <c r="S379" s="283">
        <f>LOOKUP(S$2,'Depreciation Schedules'!$A$3:$A$42,'Depreciation Schedules'!$E$3:$E$42)</f>
        <v>0</v>
      </c>
      <c r="T379" s="283">
        <f>LOOKUP(T$2,'Depreciation Schedules'!$A$3:$A$42,'Depreciation Schedules'!$E$3:$E$42)</f>
        <v>0</v>
      </c>
      <c r="U379" s="283">
        <f>LOOKUP(U$2,'Depreciation Schedules'!$A$3:$A$42,'Depreciation Schedules'!$E$3:$E$42)</f>
        <v>0</v>
      </c>
      <c r="V379" s="283">
        <f>LOOKUP(V$2,'Depreciation Schedules'!$A$3:$A$42,'Depreciation Schedules'!$E$3:$E$42)</f>
        <v>0</v>
      </c>
      <c r="W379" s="283">
        <f>LOOKUP(W$2,'Depreciation Schedules'!$A$3:$A$42,'Depreciation Schedules'!$E$3:$E$42)</f>
        <v>0</v>
      </c>
      <c r="X379" s="283">
        <f>LOOKUP(X$2,'Depreciation Schedules'!$A$3:$A$42,'Depreciation Schedules'!$E$3:$E$42)</f>
        <v>0</v>
      </c>
      <c r="Y379" s="283">
        <f>LOOKUP(Y$2,'Depreciation Schedules'!$A$3:$A$42,'Depreciation Schedules'!$E$3:$E$42)</f>
        <v>0</v>
      </c>
      <c r="Z379" s="283">
        <f>LOOKUP(Z$2,'Depreciation Schedules'!$A$3:$A$42,'Depreciation Schedules'!$E$3:$E$42)</f>
        <v>0</v>
      </c>
      <c r="AA379" s="283">
        <f>LOOKUP(AA$2,'Depreciation Schedules'!$A$3:$A$42,'Depreciation Schedules'!$E$3:$E$42)</f>
        <v>0</v>
      </c>
      <c r="AB379" s="283" t="e">
        <f>LOOKUP(AB$2,'Depreciation Schedules'!$A$3:$A$42,'Depreciation Schedules'!$E$3:$E$42)</f>
        <v>#N/A</v>
      </c>
      <c r="AC379" s="283" t="e">
        <f>LOOKUP(AC$2,'Depreciation Schedules'!$A$3:$A$42,'Depreciation Schedules'!$E$3:$E$42)</f>
        <v>#N/A</v>
      </c>
      <c r="AD379" s="283" t="e">
        <f>LOOKUP(AD$2,'Depreciation Schedules'!$A$3:$A$42,'Depreciation Schedules'!$E$3:$E$42)</f>
        <v>#N/A</v>
      </c>
      <c r="AE379" s="283" t="e">
        <f>LOOKUP(AE$2,'Depreciation Schedules'!$A$3:$A$42,'Depreciation Schedules'!$E$3:$E$42)</f>
        <v>#N/A</v>
      </c>
      <c r="AF379" s="283" t="e">
        <f>LOOKUP(AF$2,'Depreciation Schedules'!$A$3:$A$42,'Depreciation Schedules'!$E$3:$E$42)</f>
        <v>#N/A</v>
      </c>
      <c r="AG379" s="283" t="e">
        <f>LOOKUP(AG$2,'Depreciation Schedules'!$A$3:$A$42,'Depreciation Schedules'!$E$3:$E$42)</f>
        <v>#N/A</v>
      </c>
      <c r="AH379" s="283" t="e">
        <f>LOOKUP(AH$2,'Depreciation Schedules'!$A$3:$A$42,'Depreciation Schedules'!$E$3:$E$42)</f>
        <v>#N/A</v>
      </c>
      <c r="AI379" s="283" t="e">
        <f>LOOKUP(AI$2,'Depreciation Schedules'!$A$3:$A$42,'Depreciation Schedules'!$E$3:$E$42)</f>
        <v>#N/A</v>
      </c>
      <c r="AJ379" s="283" t="e">
        <f>LOOKUP(AJ$2,'Depreciation Schedules'!$A$3:$A$42,'Depreciation Schedules'!$E$3:$E$42)</f>
        <v>#N/A</v>
      </c>
      <c r="AK379" s="283" t="e">
        <f>LOOKUP(AK$2,'Depreciation Schedules'!$A$3:$A$42,'Depreciation Schedules'!$E$3:$E$42)</f>
        <v>#N/A</v>
      </c>
      <c r="AL379" s="283" t="e">
        <f>LOOKUP(AL$2,'Depreciation Schedules'!$A$3:$A$42,'Depreciation Schedules'!$E$3:$E$42)</f>
        <v>#N/A</v>
      </c>
      <c r="AM379" s="283" t="e">
        <f>LOOKUP(AM$2,'Depreciation Schedules'!$A$3:$A$42,'Depreciation Schedules'!$E$3:$E$42)</f>
        <v>#N/A</v>
      </c>
      <c r="AN379" s="283" t="e">
        <f>LOOKUP(AN$2,'Depreciation Schedules'!$A$3:$A$42,'Depreciation Schedules'!$E$3:$E$42)</f>
        <v>#N/A</v>
      </c>
      <c r="AO379" s="283" t="e">
        <f>LOOKUP(AO$2,'Depreciation Schedules'!$A$3:$A$42,'Depreciation Schedules'!$E$3:$E$42)</f>
        <v>#N/A</v>
      </c>
      <c r="AP379" s="283" t="e">
        <f>LOOKUP(AP$2,'Depreciation Schedules'!$A$3:$A$42,'Depreciation Schedules'!$E$3:$E$42)</f>
        <v>#N/A</v>
      </c>
    </row>
    <row r="380" spans="1:42" x14ac:dyDescent="0.2">
      <c r="A380" s="39" t="str">
        <f t="shared" si="178"/>
        <v>20-yr SL</v>
      </c>
      <c r="B380" s="282">
        <f t="array" ref="B380">SUM(IF(ISNUMBER(C380:AP380),C380:AP380))</f>
        <v>100</v>
      </c>
      <c r="C380" s="283">
        <f>LOOKUP(C$2,'Depreciation Schedules'!$A$3:$A$42,'Depreciation Schedules'!$F$3:$F$42)</f>
        <v>2.5</v>
      </c>
      <c r="D380" s="283">
        <f>LOOKUP(D$2,'Depreciation Schedules'!$A$3:$A$42,'Depreciation Schedules'!$F$3:$F$42)</f>
        <v>5</v>
      </c>
      <c r="E380" s="283">
        <f>LOOKUP(E$2,'Depreciation Schedules'!$A$3:$A$42,'Depreciation Schedules'!$F$3:$F$42)</f>
        <v>5</v>
      </c>
      <c r="F380" s="283">
        <f>LOOKUP(F$2,'Depreciation Schedules'!$A$3:$A$42,'Depreciation Schedules'!$F$3:$F$42)</f>
        <v>5</v>
      </c>
      <c r="G380" s="283">
        <f>LOOKUP(G$2,'Depreciation Schedules'!$A$3:$A$42,'Depreciation Schedules'!$F$3:$F$42)</f>
        <v>5</v>
      </c>
      <c r="H380" s="283">
        <f>LOOKUP(H$2,'Depreciation Schedules'!$A$3:$A$42,'Depreciation Schedules'!$F$3:$F$42)</f>
        <v>5</v>
      </c>
      <c r="I380" s="283">
        <f>LOOKUP(I$2,'Depreciation Schedules'!$A$3:$A$42,'Depreciation Schedules'!$F$3:$F$42)</f>
        <v>5</v>
      </c>
      <c r="J380" s="283">
        <f>LOOKUP(J$2,'Depreciation Schedules'!$A$3:$A$42,'Depreciation Schedules'!$F$3:$F$42)</f>
        <v>5</v>
      </c>
      <c r="K380" s="283">
        <f>LOOKUP(K$2,'Depreciation Schedules'!$A$3:$A$42,'Depreciation Schedules'!$F$3:$F$42)</f>
        <v>5</v>
      </c>
      <c r="L380" s="283">
        <f>LOOKUP(L$2,'Depreciation Schedules'!$A$3:$A$42,'Depreciation Schedules'!$F$3:$F$42)</f>
        <v>5</v>
      </c>
      <c r="M380" s="283">
        <f>LOOKUP(M$2,'Depreciation Schedules'!$A$3:$A$42,'Depreciation Schedules'!$F$3:$F$42)</f>
        <v>5</v>
      </c>
      <c r="N380" s="283">
        <f>LOOKUP(N$2,'Depreciation Schedules'!$A$3:$A$42,'Depreciation Schedules'!$F$3:$F$42)</f>
        <v>5</v>
      </c>
      <c r="O380" s="283">
        <f>LOOKUP(O$2,'Depreciation Schedules'!$A$3:$A$42,'Depreciation Schedules'!$F$3:$F$42)</f>
        <v>5</v>
      </c>
      <c r="P380" s="283">
        <f>LOOKUP(P$2,'Depreciation Schedules'!$A$3:$A$42,'Depreciation Schedules'!$F$3:$F$42)</f>
        <v>5</v>
      </c>
      <c r="Q380" s="283">
        <f>LOOKUP(Q$2,'Depreciation Schedules'!$A$3:$A$42,'Depreciation Schedules'!$F$3:$F$42)</f>
        <v>5</v>
      </c>
      <c r="R380" s="283">
        <f>LOOKUP(R$2,'Depreciation Schedules'!$A$3:$A$42,'Depreciation Schedules'!$F$3:$F$42)</f>
        <v>5</v>
      </c>
      <c r="S380" s="283">
        <f>LOOKUP(S$2,'Depreciation Schedules'!$A$3:$A$42,'Depreciation Schedules'!$F$3:$F$42)</f>
        <v>5</v>
      </c>
      <c r="T380" s="283">
        <f>LOOKUP(T$2,'Depreciation Schedules'!$A$3:$A$42,'Depreciation Schedules'!$F$3:$F$42)</f>
        <v>5</v>
      </c>
      <c r="U380" s="283">
        <f>LOOKUP(U$2,'Depreciation Schedules'!$A$3:$A$42,'Depreciation Schedules'!$F$3:$F$42)</f>
        <v>5</v>
      </c>
      <c r="V380" s="283">
        <f>LOOKUP(V$2,'Depreciation Schedules'!$A$3:$A$42,'Depreciation Schedules'!$F$3:$F$42)</f>
        <v>5</v>
      </c>
      <c r="W380" s="283">
        <f>LOOKUP(W$2,'Depreciation Schedules'!$A$3:$A$42,'Depreciation Schedules'!$F$3:$F$42)</f>
        <v>2.5</v>
      </c>
      <c r="X380" s="283">
        <f>LOOKUP(X$2,'Depreciation Schedules'!$A$3:$A$42,'Depreciation Schedules'!$F$3:$F$42)</f>
        <v>0</v>
      </c>
      <c r="Y380" s="283">
        <f>LOOKUP(Y$2,'Depreciation Schedules'!$A$3:$A$42,'Depreciation Schedules'!$F$3:$F$42)</f>
        <v>0</v>
      </c>
      <c r="Z380" s="283">
        <f>LOOKUP(Z$2,'Depreciation Schedules'!$A$3:$A$42,'Depreciation Schedules'!$F$3:$F$42)</f>
        <v>0</v>
      </c>
      <c r="AA380" s="283">
        <f>LOOKUP(AA$2,'Depreciation Schedules'!$A$3:$A$42,'Depreciation Schedules'!$F$3:$F$42)</f>
        <v>0</v>
      </c>
      <c r="AB380" s="283" t="e">
        <f>LOOKUP(AB$2,'Depreciation Schedules'!$A$3:$A$42,'Depreciation Schedules'!$F$3:$F$42)</f>
        <v>#N/A</v>
      </c>
      <c r="AC380" s="283" t="e">
        <f>LOOKUP(AC$2,'Depreciation Schedules'!$A$3:$A$42,'Depreciation Schedules'!$F$3:$F$42)</f>
        <v>#N/A</v>
      </c>
      <c r="AD380" s="283" t="e">
        <f>LOOKUP(AD$2,'Depreciation Schedules'!$A$3:$A$42,'Depreciation Schedules'!$F$3:$F$42)</f>
        <v>#N/A</v>
      </c>
      <c r="AE380" s="283" t="e">
        <f>LOOKUP(AE$2,'Depreciation Schedules'!$A$3:$A$42,'Depreciation Schedules'!$F$3:$F$42)</f>
        <v>#N/A</v>
      </c>
      <c r="AF380" s="283" t="e">
        <f>LOOKUP(AF$2,'Depreciation Schedules'!$A$3:$A$42,'Depreciation Schedules'!$F$3:$F$42)</f>
        <v>#N/A</v>
      </c>
      <c r="AG380" s="283" t="e">
        <f>LOOKUP(AG$2,'Depreciation Schedules'!$A$3:$A$42,'Depreciation Schedules'!$F$3:$F$42)</f>
        <v>#N/A</v>
      </c>
      <c r="AH380" s="283" t="e">
        <f>LOOKUP(AH$2,'Depreciation Schedules'!$A$3:$A$42,'Depreciation Schedules'!$F$3:$F$42)</f>
        <v>#N/A</v>
      </c>
      <c r="AI380" s="283" t="e">
        <f>LOOKUP(AI$2,'Depreciation Schedules'!$A$3:$A$42,'Depreciation Schedules'!$F$3:$F$42)</f>
        <v>#N/A</v>
      </c>
      <c r="AJ380" s="283" t="e">
        <f>LOOKUP(AJ$2,'Depreciation Schedules'!$A$3:$A$42,'Depreciation Schedules'!$F$3:$F$42)</f>
        <v>#N/A</v>
      </c>
      <c r="AK380" s="283" t="e">
        <f>LOOKUP(AK$2,'Depreciation Schedules'!$A$3:$A$42,'Depreciation Schedules'!$F$3:$F$42)</f>
        <v>#N/A</v>
      </c>
      <c r="AL380" s="283" t="e">
        <f>LOOKUP(AL$2,'Depreciation Schedules'!$A$3:$A$42,'Depreciation Schedules'!$F$3:$F$42)</f>
        <v>#N/A</v>
      </c>
      <c r="AM380" s="283" t="e">
        <f>LOOKUP(AM$2,'Depreciation Schedules'!$A$3:$A$42,'Depreciation Schedules'!$F$3:$F$42)</f>
        <v>#N/A</v>
      </c>
      <c r="AN380" s="283" t="e">
        <f>LOOKUP(AN$2,'Depreciation Schedules'!$A$3:$A$42,'Depreciation Schedules'!$F$3:$F$42)</f>
        <v>#N/A</v>
      </c>
      <c r="AO380" s="283" t="e">
        <f>LOOKUP(AO$2,'Depreciation Schedules'!$A$3:$A$42,'Depreciation Schedules'!$F$3:$F$42)</f>
        <v>#N/A</v>
      </c>
      <c r="AP380" s="283" t="e">
        <f>LOOKUP(AP$2,'Depreciation Schedules'!$A$3:$A$42,'Depreciation Schedules'!$F$3:$F$42)</f>
        <v>#N/A</v>
      </c>
    </row>
    <row r="381" spans="1:42" x14ac:dyDescent="0.2">
      <c r="A381" s="39" t="str">
        <f t="shared" si="178"/>
        <v>39-yr SL</v>
      </c>
      <c r="B381" s="286">
        <f t="array" ref="B381">SUM(IF(ISNUMBER(C381:AP381),C381:AP381))</f>
        <v>62.820512820512739</v>
      </c>
      <c r="C381" s="283">
        <f>LOOKUP(C$2,'Depreciation Schedules'!$A$3:$A$42,'Depreciation Schedules'!$G$3:$G$42)</f>
        <v>1.2820512820512799</v>
      </c>
      <c r="D381" s="283">
        <f>LOOKUP(D$2,'Depreciation Schedules'!$A$3:$A$42,'Depreciation Schedules'!$G$3:$G$42)</f>
        <v>2.5641025641025599</v>
      </c>
      <c r="E381" s="283">
        <f>LOOKUP(E$2,'Depreciation Schedules'!$A$3:$A$42,'Depreciation Schedules'!$G$3:$G$42)</f>
        <v>2.5641025641025599</v>
      </c>
      <c r="F381" s="283">
        <f>LOOKUP(F$2,'Depreciation Schedules'!$A$3:$A$42,'Depreciation Schedules'!$G$3:$G$42)</f>
        <v>2.5641025641025599</v>
      </c>
      <c r="G381" s="283">
        <f>LOOKUP(G$2,'Depreciation Schedules'!$A$3:$A$42,'Depreciation Schedules'!$G$3:$G$42)</f>
        <v>2.5641025641025599</v>
      </c>
      <c r="H381" s="283">
        <f>LOOKUP(H$2,'Depreciation Schedules'!$A$3:$A$42,'Depreciation Schedules'!$G$3:$G$42)</f>
        <v>2.5641025641025599</v>
      </c>
      <c r="I381" s="283">
        <f>LOOKUP(I$2,'Depreciation Schedules'!$A$3:$A$42,'Depreciation Schedules'!$G$3:$G$42)</f>
        <v>2.5641025641025599</v>
      </c>
      <c r="J381" s="283">
        <f>LOOKUP(J$2,'Depreciation Schedules'!$A$3:$A$42,'Depreciation Schedules'!$G$3:$G$42)</f>
        <v>2.5641025641025599</v>
      </c>
      <c r="K381" s="283">
        <f>LOOKUP(K$2,'Depreciation Schedules'!$A$3:$A$42,'Depreciation Schedules'!$G$3:$G$42)</f>
        <v>2.5641025641025599</v>
      </c>
      <c r="L381" s="283">
        <f>LOOKUP(L$2,'Depreciation Schedules'!$A$3:$A$42,'Depreciation Schedules'!$G$3:$G$42)</f>
        <v>2.5641025641025599</v>
      </c>
      <c r="M381" s="283">
        <f>LOOKUP(M$2,'Depreciation Schedules'!$A$3:$A$42,'Depreciation Schedules'!$G$3:$G$42)</f>
        <v>2.5641025641025599</v>
      </c>
      <c r="N381" s="283">
        <f>LOOKUP(N$2,'Depreciation Schedules'!$A$3:$A$42,'Depreciation Schedules'!$G$3:$G$42)</f>
        <v>2.5641025641025599</v>
      </c>
      <c r="O381" s="283">
        <f>LOOKUP(O$2,'Depreciation Schedules'!$A$3:$A$42,'Depreciation Schedules'!$G$3:$G$42)</f>
        <v>2.5641025641025599</v>
      </c>
      <c r="P381" s="283">
        <f>LOOKUP(P$2,'Depreciation Schedules'!$A$3:$A$42,'Depreciation Schedules'!$G$3:$G$42)</f>
        <v>2.5641025641025599</v>
      </c>
      <c r="Q381" s="283">
        <f>LOOKUP(Q$2,'Depreciation Schedules'!$A$3:$A$42,'Depreciation Schedules'!$G$3:$G$42)</f>
        <v>2.5641025641025599</v>
      </c>
      <c r="R381" s="283">
        <f>LOOKUP(R$2,'Depreciation Schedules'!$A$3:$A$42,'Depreciation Schedules'!$G$3:$G$42)</f>
        <v>2.5641025641025599</v>
      </c>
      <c r="S381" s="283">
        <f>LOOKUP(S$2,'Depreciation Schedules'!$A$3:$A$42,'Depreciation Schedules'!$G$3:$G$42)</f>
        <v>2.5641025641025599</v>
      </c>
      <c r="T381" s="283">
        <f>LOOKUP(T$2,'Depreciation Schedules'!$A$3:$A$42,'Depreciation Schedules'!$G$3:$G$42)</f>
        <v>2.5641025641025599</v>
      </c>
      <c r="U381" s="283">
        <f>LOOKUP(U$2,'Depreciation Schedules'!$A$3:$A$42,'Depreciation Schedules'!$G$3:$G$42)</f>
        <v>2.5641025641025599</v>
      </c>
      <c r="V381" s="283">
        <f>LOOKUP(V$2,'Depreciation Schedules'!$A$3:$A$42,'Depreciation Schedules'!$G$3:$G$42)</f>
        <v>2.5641025641025599</v>
      </c>
      <c r="W381" s="283">
        <f>LOOKUP(W$2,'Depreciation Schedules'!$A$3:$A$42,'Depreciation Schedules'!$G$3:$G$42)</f>
        <v>2.5641025641025599</v>
      </c>
      <c r="X381" s="283">
        <f>LOOKUP(X$2,'Depreciation Schedules'!$A$3:$A$42,'Depreciation Schedules'!$G$3:$G$42)</f>
        <v>2.5641025641025599</v>
      </c>
      <c r="Y381" s="283">
        <f>LOOKUP(Y$2,'Depreciation Schedules'!$A$3:$A$42,'Depreciation Schedules'!$G$3:$G$42)</f>
        <v>2.5641025641025599</v>
      </c>
      <c r="Z381" s="283">
        <f>LOOKUP(Z$2,'Depreciation Schedules'!$A$3:$A$42,'Depreciation Schedules'!$G$3:$G$42)</f>
        <v>2.5641025641025599</v>
      </c>
      <c r="AA381" s="283">
        <f>LOOKUP(AA$2,'Depreciation Schedules'!$A$3:$A$42,'Depreciation Schedules'!$G$3:$G$42)</f>
        <v>2.5641025641025599</v>
      </c>
      <c r="AB381" s="283" t="e">
        <f>LOOKUP(AB$2,'Depreciation Schedules'!$A$3:$A$42,'Depreciation Schedules'!$G$3:$G$42)</f>
        <v>#N/A</v>
      </c>
      <c r="AC381" s="283" t="e">
        <f>LOOKUP(AC$2,'Depreciation Schedules'!$A$3:$A$42,'Depreciation Schedules'!$G$3:$G$42)</f>
        <v>#N/A</v>
      </c>
      <c r="AD381" s="283" t="e">
        <f>LOOKUP(AD$2,'Depreciation Schedules'!$A$3:$A$42,'Depreciation Schedules'!$G$3:$G$42)</f>
        <v>#N/A</v>
      </c>
      <c r="AE381" s="283" t="e">
        <f>LOOKUP(AE$2,'Depreciation Schedules'!$A$3:$A$42,'Depreciation Schedules'!$G$3:$G$42)</f>
        <v>#N/A</v>
      </c>
      <c r="AF381" s="283" t="e">
        <f>LOOKUP(AF$2,'Depreciation Schedules'!$A$3:$A$42,'Depreciation Schedules'!$G$3:$G$42)</f>
        <v>#N/A</v>
      </c>
      <c r="AG381" s="283" t="e">
        <f>LOOKUP(AG$2,'Depreciation Schedules'!$A$3:$A$42,'Depreciation Schedules'!$G$3:$G$42)</f>
        <v>#N/A</v>
      </c>
      <c r="AH381" s="283" t="e">
        <f>LOOKUP(AH$2,'Depreciation Schedules'!$A$3:$A$42,'Depreciation Schedules'!$G$3:$G$42)</f>
        <v>#N/A</v>
      </c>
      <c r="AI381" s="283" t="e">
        <f>LOOKUP(AI$2,'Depreciation Schedules'!$A$3:$A$42,'Depreciation Schedules'!$G$3:$G$42)</f>
        <v>#N/A</v>
      </c>
      <c r="AJ381" s="283" t="e">
        <f>LOOKUP(AJ$2,'Depreciation Schedules'!$A$3:$A$42,'Depreciation Schedules'!$G$3:$G$42)</f>
        <v>#N/A</v>
      </c>
      <c r="AK381" s="283" t="e">
        <f>LOOKUP(AK$2,'Depreciation Schedules'!$A$3:$A$42,'Depreciation Schedules'!$G$3:$G$42)</f>
        <v>#N/A</v>
      </c>
      <c r="AL381" s="283" t="e">
        <f>LOOKUP(AL$2,'Depreciation Schedules'!$A$3:$A$42,'Depreciation Schedules'!$G$3:$G$42)</f>
        <v>#N/A</v>
      </c>
      <c r="AM381" s="283" t="e">
        <f>LOOKUP(AM$2,'Depreciation Schedules'!$A$3:$A$42,'Depreciation Schedules'!$G$3:$G$42)</f>
        <v>#N/A</v>
      </c>
      <c r="AN381" s="283" t="e">
        <f>LOOKUP(AN$2,'Depreciation Schedules'!$A$3:$A$42,'Depreciation Schedules'!$G$3:$G$42)</f>
        <v>#N/A</v>
      </c>
      <c r="AO381" s="283" t="e">
        <f>LOOKUP(AO$2,'Depreciation Schedules'!$A$3:$A$42,'Depreciation Schedules'!$G$3:$G$42)</f>
        <v>#N/A</v>
      </c>
      <c r="AP381" s="283" t="e">
        <f>LOOKUP(AP$2,'Depreciation Schedules'!$A$3:$A$42,'Depreciation Schedules'!$G$3:$G$42)</f>
        <v>#N/A</v>
      </c>
    </row>
    <row r="382" spans="1:42" x14ac:dyDescent="0.2">
      <c r="A382" s="50" t="s">
        <v>5</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x14ac:dyDescent="0.2">
      <c r="A383" s="39" t="str">
        <f>A376</f>
        <v>5-yr MACRS</v>
      </c>
      <c r="B383" s="295">
        <f t="array" ref="B383">SUM(IF(ISNUMBER(C383:AP383),C383:AP383))</f>
        <v>30100973.834148739</v>
      </c>
      <c r="C383" s="245">
        <f>C376/100*$Q$344</f>
        <v>6020194.7668297477</v>
      </c>
      <c r="D383" s="245">
        <f t="shared" ref="D383:AP383" si="179">D376/100*$Q$344</f>
        <v>9632311.6269275974</v>
      </c>
      <c r="E383" s="245">
        <f t="shared" si="179"/>
        <v>5779386.9761565579</v>
      </c>
      <c r="F383" s="245">
        <f t="shared" si="179"/>
        <v>3467632.1856939346</v>
      </c>
      <c r="G383" s="245">
        <f t="shared" si="179"/>
        <v>3467632.1856939346</v>
      </c>
      <c r="H383" s="245">
        <f t="shared" si="179"/>
        <v>1733816.0928469673</v>
      </c>
      <c r="I383" s="245">
        <f t="shared" si="179"/>
        <v>0</v>
      </c>
      <c r="J383" s="245">
        <f t="shared" si="179"/>
        <v>0</v>
      </c>
      <c r="K383" s="245">
        <f t="shared" si="179"/>
        <v>0</v>
      </c>
      <c r="L383" s="245">
        <f t="shared" si="179"/>
        <v>0</v>
      </c>
      <c r="M383" s="245">
        <f t="shared" si="179"/>
        <v>0</v>
      </c>
      <c r="N383" s="245">
        <f t="shared" si="179"/>
        <v>0</v>
      </c>
      <c r="O383" s="245">
        <f t="shared" si="179"/>
        <v>0</v>
      </c>
      <c r="P383" s="245">
        <f t="shared" si="179"/>
        <v>0</v>
      </c>
      <c r="Q383" s="245">
        <f t="shared" si="179"/>
        <v>0</v>
      </c>
      <c r="R383" s="245">
        <f t="shared" si="179"/>
        <v>0</v>
      </c>
      <c r="S383" s="245">
        <f t="shared" si="179"/>
        <v>0</v>
      </c>
      <c r="T383" s="245">
        <f t="shared" si="179"/>
        <v>0</v>
      </c>
      <c r="U383" s="245">
        <f t="shared" si="179"/>
        <v>0</v>
      </c>
      <c r="V383" s="245">
        <f t="shared" si="179"/>
        <v>0</v>
      </c>
      <c r="W383" s="245">
        <f t="shared" si="179"/>
        <v>0</v>
      </c>
      <c r="X383" s="245">
        <f t="shared" si="179"/>
        <v>0</v>
      </c>
      <c r="Y383" s="245">
        <f t="shared" si="179"/>
        <v>0</v>
      </c>
      <c r="Z383" s="245">
        <f t="shared" si="179"/>
        <v>0</v>
      </c>
      <c r="AA383" s="245">
        <f t="shared" si="179"/>
        <v>0</v>
      </c>
      <c r="AB383" s="245" t="e">
        <f t="shared" si="179"/>
        <v>#N/A</v>
      </c>
      <c r="AC383" s="245" t="e">
        <f t="shared" si="179"/>
        <v>#N/A</v>
      </c>
      <c r="AD383" s="245" t="e">
        <f t="shared" si="179"/>
        <v>#N/A</v>
      </c>
      <c r="AE383" s="245" t="e">
        <f t="shared" si="179"/>
        <v>#N/A</v>
      </c>
      <c r="AF383" s="245" t="e">
        <f t="shared" si="179"/>
        <v>#N/A</v>
      </c>
      <c r="AG383" s="245" t="e">
        <f t="shared" si="179"/>
        <v>#N/A</v>
      </c>
      <c r="AH383" s="245" t="e">
        <f t="shared" si="179"/>
        <v>#N/A</v>
      </c>
      <c r="AI383" s="245" t="e">
        <f t="shared" si="179"/>
        <v>#N/A</v>
      </c>
      <c r="AJ383" s="245" t="e">
        <f t="shared" si="179"/>
        <v>#N/A</v>
      </c>
      <c r="AK383" s="245" t="e">
        <f t="shared" si="179"/>
        <v>#N/A</v>
      </c>
      <c r="AL383" s="245" t="e">
        <f t="shared" si="179"/>
        <v>#N/A</v>
      </c>
      <c r="AM383" s="245" t="e">
        <f t="shared" si="179"/>
        <v>#N/A</v>
      </c>
      <c r="AN383" s="245" t="e">
        <f t="shared" si="179"/>
        <v>#N/A</v>
      </c>
      <c r="AO383" s="245" t="e">
        <f t="shared" si="179"/>
        <v>#N/A</v>
      </c>
      <c r="AP383" s="245" t="e">
        <f t="shared" si="179"/>
        <v>#N/A</v>
      </c>
    </row>
    <row r="384" spans="1:42" x14ac:dyDescent="0.2">
      <c r="A384" s="39" t="str">
        <f t="shared" ref="A384:A388" si="180">A377</f>
        <v>15-yr MACRS</v>
      </c>
      <c r="B384" s="295">
        <f t="array" ref="B384">SUM(IF(ISNUMBER(C384:AP384),C384:AP384))</f>
        <v>590156.15170128096</v>
      </c>
      <c r="C384" s="245">
        <f>C377/100*$Q$345</f>
        <v>29510.75866093014</v>
      </c>
      <c r="D384" s="245">
        <f t="shared" ref="D384:AP384" si="181">D377/100*$Q$345</f>
        <v>56070.441455767264</v>
      </c>
      <c r="E384" s="245">
        <f t="shared" si="181"/>
        <v>50463.397310190543</v>
      </c>
      <c r="F384" s="245">
        <f t="shared" si="181"/>
        <v>45446.56833783241</v>
      </c>
      <c r="G384" s="245">
        <f t="shared" si="181"/>
        <v>40901.911504049174</v>
      </c>
      <c r="H384" s="245">
        <f t="shared" si="181"/>
        <v>36770.405291518953</v>
      </c>
      <c r="I384" s="245">
        <f t="shared" si="181"/>
        <v>34822.695219897563</v>
      </c>
      <c r="J384" s="245">
        <f t="shared" si="181"/>
        <v>34822.695219897563</v>
      </c>
      <c r="K384" s="245">
        <f t="shared" si="181"/>
        <v>34881.716737219424</v>
      </c>
      <c r="L384" s="245">
        <f t="shared" si="181"/>
        <v>34822.695219897563</v>
      </c>
      <c r="M384" s="245">
        <f t="shared" si="181"/>
        <v>34881.716737219424</v>
      </c>
      <c r="N384" s="245">
        <f t="shared" si="181"/>
        <v>34822.695219897563</v>
      </c>
      <c r="O384" s="245">
        <f t="shared" si="181"/>
        <v>34881.716737219424</v>
      </c>
      <c r="P384" s="245">
        <f t="shared" si="181"/>
        <v>34822.695219897563</v>
      </c>
      <c r="Q384" s="245">
        <f t="shared" si="181"/>
        <v>34822.695219897563</v>
      </c>
      <c r="R384" s="245">
        <f t="shared" si="181"/>
        <v>17411.347609948782</v>
      </c>
      <c r="S384" s="245">
        <f t="shared" si="181"/>
        <v>0</v>
      </c>
      <c r="T384" s="245">
        <f t="shared" si="181"/>
        <v>0</v>
      </c>
      <c r="U384" s="245">
        <f t="shared" si="181"/>
        <v>0</v>
      </c>
      <c r="V384" s="245">
        <f t="shared" si="181"/>
        <v>0</v>
      </c>
      <c r="W384" s="245">
        <f t="shared" si="181"/>
        <v>0</v>
      </c>
      <c r="X384" s="245">
        <f t="shared" si="181"/>
        <v>0</v>
      </c>
      <c r="Y384" s="245">
        <f t="shared" si="181"/>
        <v>0</v>
      </c>
      <c r="Z384" s="245">
        <f t="shared" si="181"/>
        <v>0</v>
      </c>
      <c r="AA384" s="245">
        <f t="shared" si="181"/>
        <v>0</v>
      </c>
      <c r="AB384" s="245" t="e">
        <f t="shared" si="181"/>
        <v>#N/A</v>
      </c>
      <c r="AC384" s="245" t="e">
        <f t="shared" si="181"/>
        <v>#N/A</v>
      </c>
      <c r="AD384" s="245" t="e">
        <f t="shared" si="181"/>
        <v>#N/A</v>
      </c>
      <c r="AE384" s="245" t="e">
        <f t="shared" si="181"/>
        <v>#N/A</v>
      </c>
      <c r="AF384" s="245" t="e">
        <f t="shared" si="181"/>
        <v>#N/A</v>
      </c>
      <c r="AG384" s="245" t="e">
        <f t="shared" si="181"/>
        <v>#N/A</v>
      </c>
      <c r="AH384" s="245" t="e">
        <f t="shared" si="181"/>
        <v>#N/A</v>
      </c>
      <c r="AI384" s="245" t="e">
        <f t="shared" si="181"/>
        <v>#N/A</v>
      </c>
      <c r="AJ384" s="245" t="e">
        <f t="shared" si="181"/>
        <v>#N/A</v>
      </c>
      <c r="AK384" s="245" t="e">
        <f t="shared" si="181"/>
        <v>#N/A</v>
      </c>
      <c r="AL384" s="245" t="e">
        <f t="shared" si="181"/>
        <v>#N/A</v>
      </c>
      <c r="AM384" s="245" t="e">
        <f t="shared" si="181"/>
        <v>#N/A</v>
      </c>
      <c r="AN384" s="245" t="e">
        <f t="shared" si="181"/>
        <v>#N/A</v>
      </c>
      <c r="AO384" s="245" t="e">
        <f t="shared" si="181"/>
        <v>#N/A</v>
      </c>
      <c r="AP384" s="245" t="e">
        <f t="shared" si="181"/>
        <v>#N/A</v>
      </c>
    </row>
    <row r="385" spans="1:42" x14ac:dyDescent="0.2">
      <c r="A385" s="39" t="str">
        <f t="shared" si="180"/>
        <v>5-yr SL</v>
      </c>
      <c r="B385" s="295">
        <f t="array" ref="B385">SUM(IF(ISNUMBER(C385:AP385),C385:AP385))</f>
        <v>0</v>
      </c>
      <c r="C385" s="245">
        <f>C378/100*$Q$346</f>
        <v>0</v>
      </c>
      <c r="D385" s="245">
        <f t="shared" ref="D385:AP385" si="182">D378/100*$Q$346</f>
        <v>0</v>
      </c>
      <c r="E385" s="245">
        <f t="shared" si="182"/>
        <v>0</v>
      </c>
      <c r="F385" s="245">
        <f t="shared" si="182"/>
        <v>0</v>
      </c>
      <c r="G385" s="245">
        <f t="shared" si="182"/>
        <v>0</v>
      </c>
      <c r="H385" s="245">
        <f t="shared" si="182"/>
        <v>0</v>
      </c>
      <c r="I385" s="245">
        <f t="shared" si="182"/>
        <v>0</v>
      </c>
      <c r="J385" s="245">
        <f t="shared" si="182"/>
        <v>0</v>
      </c>
      <c r="K385" s="245">
        <f t="shared" si="182"/>
        <v>0</v>
      </c>
      <c r="L385" s="245">
        <f t="shared" si="182"/>
        <v>0</v>
      </c>
      <c r="M385" s="245">
        <f t="shared" si="182"/>
        <v>0</v>
      </c>
      <c r="N385" s="245">
        <f t="shared" si="182"/>
        <v>0</v>
      </c>
      <c r="O385" s="245">
        <f t="shared" si="182"/>
        <v>0</v>
      </c>
      <c r="P385" s="245">
        <f t="shared" si="182"/>
        <v>0</v>
      </c>
      <c r="Q385" s="245">
        <f t="shared" si="182"/>
        <v>0</v>
      </c>
      <c r="R385" s="245">
        <f t="shared" si="182"/>
        <v>0</v>
      </c>
      <c r="S385" s="245">
        <f t="shared" si="182"/>
        <v>0</v>
      </c>
      <c r="T385" s="245">
        <f t="shared" si="182"/>
        <v>0</v>
      </c>
      <c r="U385" s="245">
        <f t="shared" si="182"/>
        <v>0</v>
      </c>
      <c r="V385" s="245">
        <f t="shared" si="182"/>
        <v>0</v>
      </c>
      <c r="W385" s="245">
        <f t="shared" si="182"/>
        <v>0</v>
      </c>
      <c r="X385" s="245">
        <f t="shared" si="182"/>
        <v>0</v>
      </c>
      <c r="Y385" s="245">
        <f t="shared" si="182"/>
        <v>0</v>
      </c>
      <c r="Z385" s="245">
        <f t="shared" si="182"/>
        <v>0</v>
      </c>
      <c r="AA385" s="245">
        <f t="shared" si="182"/>
        <v>0</v>
      </c>
      <c r="AB385" s="245" t="e">
        <f t="shared" si="182"/>
        <v>#N/A</v>
      </c>
      <c r="AC385" s="245" t="e">
        <f t="shared" si="182"/>
        <v>#N/A</v>
      </c>
      <c r="AD385" s="245" t="e">
        <f t="shared" si="182"/>
        <v>#N/A</v>
      </c>
      <c r="AE385" s="245" t="e">
        <f t="shared" si="182"/>
        <v>#N/A</v>
      </c>
      <c r="AF385" s="245" t="e">
        <f t="shared" si="182"/>
        <v>#N/A</v>
      </c>
      <c r="AG385" s="245" t="e">
        <f t="shared" si="182"/>
        <v>#N/A</v>
      </c>
      <c r="AH385" s="245" t="e">
        <f t="shared" si="182"/>
        <v>#N/A</v>
      </c>
      <c r="AI385" s="245" t="e">
        <f t="shared" si="182"/>
        <v>#N/A</v>
      </c>
      <c r="AJ385" s="245" t="e">
        <f t="shared" si="182"/>
        <v>#N/A</v>
      </c>
      <c r="AK385" s="245" t="e">
        <f t="shared" si="182"/>
        <v>#N/A</v>
      </c>
      <c r="AL385" s="245" t="e">
        <f t="shared" si="182"/>
        <v>#N/A</v>
      </c>
      <c r="AM385" s="245" t="e">
        <f t="shared" si="182"/>
        <v>#N/A</v>
      </c>
      <c r="AN385" s="245" t="e">
        <f t="shared" si="182"/>
        <v>#N/A</v>
      </c>
      <c r="AO385" s="245" t="e">
        <f t="shared" si="182"/>
        <v>#N/A</v>
      </c>
      <c r="AP385" s="245" t="e">
        <f t="shared" si="182"/>
        <v>#N/A</v>
      </c>
    </row>
    <row r="386" spans="1:42" x14ac:dyDescent="0.2">
      <c r="A386" s="39" t="str">
        <f t="shared" si="180"/>
        <v>15-yr SL</v>
      </c>
      <c r="B386" s="295">
        <f t="array" ref="B386">SUM(IF(ISNUMBER(C386:AP386),C386:AP386))</f>
        <v>983888.69375541096</v>
      </c>
      <c r="C386" s="245">
        <f>C379/100*$Q$347</f>
        <v>32756.942113632456</v>
      </c>
      <c r="D386" s="245">
        <f t="shared" ref="D386:AP386" si="183">D379/100*$Q$347</f>
        <v>65612.253422801339</v>
      </c>
      <c r="E386" s="245">
        <f t="shared" si="183"/>
        <v>65612.253422801339</v>
      </c>
      <c r="F386" s="245">
        <f t="shared" si="183"/>
        <v>65612.253422801339</v>
      </c>
      <c r="G386" s="245">
        <f t="shared" si="183"/>
        <v>65612.253422801339</v>
      </c>
      <c r="H386" s="245">
        <f t="shared" si="183"/>
        <v>65612.253422801339</v>
      </c>
      <c r="I386" s="245">
        <f t="shared" si="183"/>
        <v>65612.253422801339</v>
      </c>
      <c r="J386" s="245">
        <f t="shared" si="183"/>
        <v>65612.253422801339</v>
      </c>
      <c r="K386" s="245">
        <f t="shared" si="183"/>
        <v>65612.253422801339</v>
      </c>
      <c r="L386" s="245">
        <f t="shared" si="183"/>
        <v>65612.253422801339</v>
      </c>
      <c r="M386" s="245">
        <f t="shared" si="183"/>
        <v>65612.253422801339</v>
      </c>
      <c r="N386" s="245">
        <f t="shared" si="183"/>
        <v>65513.884227264913</v>
      </c>
      <c r="O386" s="245">
        <f t="shared" si="183"/>
        <v>65612.253422801339</v>
      </c>
      <c r="P386" s="245">
        <f t="shared" si="183"/>
        <v>65513.884227264913</v>
      </c>
      <c r="Q386" s="245">
        <f t="shared" si="183"/>
        <v>65612.253422801339</v>
      </c>
      <c r="R386" s="245">
        <f t="shared" si="183"/>
        <v>32756.942113632456</v>
      </c>
      <c r="S386" s="245">
        <f t="shared" si="183"/>
        <v>0</v>
      </c>
      <c r="T386" s="245">
        <f t="shared" si="183"/>
        <v>0</v>
      </c>
      <c r="U386" s="245">
        <f t="shared" si="183"/>
        <v>0</v>
      </c>
      <c r="V386" s="245">
        <f t="shared" si="183"/>
        <v>0</v>
      </c>
      <c r="W386" s="245">
        <f t="shared" si="183"/>
        <v>0</v>
      </c>
      <c r="X386" s="245">
        <f t="shared" si="183"/>
        <v>0</v>
      </c>
      <c r="Y386" s="245">
        <f t="shared" si="183"/>
        <v>0</v>
      </c>
      <c r="Z386" s="245">
        <f t="shared" si="183"/>
        <v>0</v>
      </c>
      <c r="AA386" s="245">
        <f t="shared" si="183"/>
        <v>0</v>
      </c>
      <c r="AB386" s="245" t="e">
        <f t="shared" si="183"/>
        <v>#N/A</v>
      </c>
      <c r="AC386" s="245" t="e">
        <f t="shared" si="183"/>
        <v>#N/A</v>
      </c>
      <c r="AD386" s="245" t="e">
        <f t="shared" si="183"/>
        <v>#N/A</v>
      </c>
      <c r="AE386" s="245" t="e">
        <f t="shared" si="183"/>
        <v>#N/A</v>
      </c>
      <c r="AF386" s="245" t="e">
        <f t="shared" si="183"/>
        <v>#N/A</v>
      </c>
      <c r="AG386" s="245" t="e">
        <f t="shared" si="183"/>
        <v>#N/A</v>
      </c>
      <c r="AH386" s="245" t="e">
        <f t="shared" si="183"/>
        <v>#N/A</v>
      </c>
      <c r="AI386" s="245" t="e">
        <f t="shared" si="183"/>
        <v>#N/A</v>
      </c>
      <c r="AJ386" s="245" t="e">
        <f t="shared" si="183"/>
        <v>#N/A</v>
      </c>
      <c r="AK386" s="245" t="e">
        <f t="shared" si="183"/>
        <v>#N/A</v>
      </c>
      <c r="AL386" s="245" t="e">
        <f t="shared" si="183"/>
        <v>#N/A</v>
      </c>
      <c r="AM386" s="245" t="e">
        <f t="shared" si="183"/>
        <v>#N/A</v>
      </c>
      <c r="AN386" s="245" t="e">
        <f t="shared" si="183"/>
        <v>#N/A</v>
      </c>
      <c r="AO386" s="245" t="e">
        <f t="shared" si="183"/>
        <v>#N/A</v>
      </c>
      <c r="AP386" s="245" t="e">
        <f t="shared" si="183"/>
        <v>#N/A</v>
      </c>
    </row>
    <row r="387" spans="1:42" x14ac:dyDescent="0.2">
      <c r="A387" s="39" t="str">
        <f t="shared" si="180"/>
        <v>20-yr SL</v>
      </c>
      <c r="B387" s="295">
        <f t="array" ref="B387">SUM(IF(ISNUMBER(C387:AP387),C387:AP387))</f>
        <v>1180430.3464372058</v>
      </c>
      <c r="C387" s="245">
        <f>C380/100*$Q$348</f>
        <v>29510.75866093014</v>
      </c>
      <c r="D387" s="245">
        <f t="shared" ref="D387:AP387" si="184">D380/100*$Q$348</f>
        <v>59021.517321860279</v>
      </c>
      <c r="E387" s="245">
        <f t="shared" si="184"/>
        <v>59021.517321860279</v>
      </c>
      <c r="F387" s="245">
        <f t="shared" si="184"/>
        <v>59021.517321860279</v>
      </c>
      <c r="G387" s="245">
        <f t="shared" si="184"/>
        <v>59021.517321860279</v>
      </c>
      <c r="H387" s="245">
        <f t="shared" si="184"/>
        <v>59021.517321860279</v>
      </c>
      <c r="I387" s="245">
        <f t="shared" si="184"/>
        <v>59021.517321860279</v>
      </c>
      <c r="J387" s="245">
        <f t="shared" si="184"/>
        <v>59021.517321860279</v>
      </c>
      <c r="K387" s="245">
        <f t="shared" si="184"/>
        <v>59021.517321860279</v>
      </c>
      <c r="L387" s="245">
        <f t="shared" si="184"/>
        <v>59021.517321860279</v>
      </c>
      <c r="M387" s="245">
        <f t="shared" si="184"/>
        <v>59021.517321860279</v>
      </c>
      <c r="N387" s="245">
        <f t="shared" si="184"/>
        <v>59021.517321860279</v>
      </c>
      <c r="O387" s="245">
        <f t="shared" si="184"/>
        <v>59021.517321860279</v>
      </c>
      <c r="P387" s="245">
        <f t="shared" si="184"/>
        <v>59021.517321860279</v>
      </c>
      <c r="Q387" s="245">
        <f t="shared" si="184"/>
        <v>59021.517321860279</v>
      </c>
      <c r="R387" s="245">
        <f t="shared" si="184"/>
        <v>59021.517321860279</v>
      </c>
      <c r="S387" s="245">
        <f t="shared" si="184"/>
        <v>59021.517321860279</v>
      </c>
      <c r="T387" s="245">
        <f t="shared" si="184"/>
        <v>59021.517321860279</v>
      </c>
      <c r="U387" s="245">
        <f t="shared" si="184"/>
        <v>59021.517321860279</v>
      </c>
      <c r="V387" s="245">
        <f t="shared" si="184"/>
        <v>59021.517321860279</v>
      </c>
      <c r="W387" s="245">
        <f t="shared" si="184"/>
        <v>29510.75866093014</v>
      </c>
      <c r="X387" s="245">
        <f t="shared" si="184"/>
        <v>0</v>
      </c>
      <c r="Y387" s="245">
        <f t="shared" si="184"/>
        <v>0</v>
      </c>
      <c r="Z387" s="245">
        <f t="shared" si="184"/>
        <v>0</v>
      </c>
      <c r="AA387" s="245">
        <f t="shared" si="184"/>
        <v>0</v>
      </c>
      <c r="AB387" s="245" t="e">
        <f t="shared" si="184"/>
        <v>#N/A</v>
      </c>
      <c r="AC387" s="245" t="e">
        <f t="shared" si="184"/>
        <v>#N/A</v>
      </c>
      <c r="AD387" s="245" t="e">
        <f t="shared" si="184"/>
        <v>#N/A</v>
      </c>
      <c r="AE387" s="245" t="e">
        <f t="shared" si="184"/>
        <v>#N/A</v>
      </c>
      <c r="AF387" s="245" t="e">
        <f t="shared" si="184"/>
        <v>#N/A</v>
      </c>
      <c r="AG387" s="245" t="e">
        <f t="shared" si="184"/>
        <v>#N/A</v>
      </c>
      <c r="AH387" s="245" t="e">
        <f t="shared" si="184"/>
        <v>#N/A</v>
      </c>
      <c r="AI387" s="245" t="e">
        <f t="shared" si="184"/>
        <v>#N/A</v>
      </c>
      <c r="AJ387" s="245" t="e">
        <f t="shared" si="184"/>
        <v>#N/A</v>
      </c>
      <c r="AK387" s="245" t="e">
        <f t="shared" si="184"/>
        <v>#N/A</v>
      </c>
      <c r="AL387" s="245" t="e">
        <f t="shared" si="184"/>
        <v>#N/A</v>
      </c>
      <c r="AM387" s="245" t="e">
        <f t="shared" si="184"/>
        <v>#N/A</v>
      </c>
      <c r="AN387" s="245" t="e">
        <f t="shared" si="184"/>
        <v>#N/A</v>
      </c>
      <c r="AO387" s="245" t="e">
        <f t="shared" si="184"/>
        <v>#N/A</v>
      </c>
      <c r="AP387" s="245" t="e">
        <f t="shared" si="184"/>
        <v>#N/A</v>
      </c>
    </row>
    <row r="388" spans="1:42" x14ac:dyDescent="0.2">
      <c r="A388" s="39" t="str">
        <f t="shared" si="180"/>
        <v>39-yr SL</v>
      </c>
      <c r="B388" s="295">
        <f t="array" ref="B388">SUM(IF(ISNUMBER(C388:AP388),C388:AP388))</f>
        <v>0</v>
      </c>
      <c r="C388" s="245">
        <f>C381/100*$Q$349</f>
        <v>0</v>
      </c>
      <c r="D388" s="245">
        <f t="shared" ref="D388:AP388" si="185">D381/100*$Q$349</f>
        <v>0</v>
      </c>
      <c r="E388" s="245">
        <f t="shared" si="185"/>
        <v>0</v>
      </c>
      <c r="F388" s="245">
        <f t="shared" si="185"/>
        <v>0</v>
      </c>
      <c r="G388" s="245">
        <f t="shared" si="185"/>
        <v>0</v>
      </c>
      <c r="H388" s="245">
        <f t="shared" si="185"/>
        <v>0</v>
      </c>
      <c r="I388" s="245">
        <f t="shared" si="185"/>
        <v>0</v>
      </c>
      <c r="J388" s="245">
        <f t="shared" si="185"/>
        <v>0</v>
      </c>
      <c r="K388" s="245">
        <f t="shared" si="185"/>
        <v>0</v>
      </c>
      <c r="L388" s="245">
        <f t="shared" si="185"/>
        <v>0</v>
      </c>
      <c r="M388" s="245">
        <f t="shared" si="185"/>
        <v>0</v>
      </c>
      <c r="N388" s="245">
        <f t="shared" si="185"/>
        <v>0</v>
      </c>
      <c r="O388" s="245">
        <f t="shared" si="185"/>
        <v>0</v>
      </c>
      <c r="P388" s="245">
        <f t="shared" si="185"/>
        <v>0</v>
      </c>
      <c r="Q388" s="245">
        <f t="shared" si="185"/>
        <v>0</v>
      </c>
      <c r="R388" s="245">
        <f t="shared" si="185"/>
        <v>0</v>
      </c>
      <c r="S388" s="245">
        <f t="shared" si="185"/>
        <v>0</v>
      </c>
      <c r="T388" s="245">
        <f t="shared" si="185"/>
        <v>0</v>
      </c>
      <c r="U388" s="245">
        <f t="shared" si="185"/>
        <v>0</v>
      </c>
      <c r="V388" s="245">
        <f t="shared" si="185"/>
        <v>0</v>
      </c>
      <c r="W388" s="245">
        <f t="shared" si="185"/>
        <v>0</v>
      </c>
      <c r="X388" s="245">
        <f t="shared" si="185"/>
        <v>0</v>
      </c>
      <c r="Y388" s="245">
        <f t="shared" si="185"/>
        <v>0</v>
      </c>
      <c r="Z388" s="245">
        <f t="shared" si="185"/>
        <v>0</v>
      </c>
      <c r="AA388" s="245">
        <f t="shared" si="185"/>
        <v>0</v>
      </c>
      <c r="AB388" s="245" t="e">
        <f t="shared" si="185"/>
        <v>#N/A</v>
      </c>
      <c r="AC388" s="245" t="e">
        <f t="shared" si="185"/>
        <v>#N/A</v>
      </c>
      <c r="AD388" s="245" t="e">
        <f t="shared" si="185"/>
        <v>#N/A</v>
      </c>
      <c r="AE388" s="245" t="e">
        <f t="shared" si="185"/>
        <v>#N/A</v>
      </c>
      <c r="AF388" s="245" t="e">
        <f t="shared" si="185"/>
        <v>#N/A</v>
      </c>
      <c r="AG388" s="245" t="e">
        <f t="shared" si="185"/>
        <v>#N/A</v>
      </c>
      <c r="AH388" s="245" t="e">
        <f t="shared" si="185"/>
        <v>#N/A</v>
      </c>
      <c r="AI388" s="245" t="e">
        <f t="shared" si="185"/>
        <v>#N/A</v>
      </c>
      <c r="AJ388" s="245" t="e">
        <f t="shared" si="185"/>
        <v>#N/A</v>
      </c>
      <c r="AK388" s="245" t="e">
        <f t="shared" si="185"/>
        <v>#N/A</v>
      </c>
      <c r="AL388" s="245" t="e">
        <f t="shared" si="185"/>
        <v>#N/A</v>
      </c>
      <c r="AM388" s="245" t="e">
        <f t="shared" si="185"/>
        <v>#N/A</v>
      </c>
      <c r="AN388" s="245" t="e">
        <f t="shared" si="185"/>
        <v>#N/A</v>
      </c>
      <c r="AO388" s="245" t="e">
        <f t="shared" si="185"/>
        <v>#N/A</v>
      </c>
      <c r="AP388" s="245" t="e">
        <f t="shared" si="185"/>
        <v>#N/A</v>
      </c>
    </row>
    <row r="389" spans="1:42" x14ac:dyDescent="0.2">
      <c r="A389" s="39" t="s">
        <v>130</v>
      </c>
      <c r="B389" s="295">
        <f t="array" ref="B389">SUM(IF(ISNUMBER(C389:AP389),C389:AP389))</f>
        <v>0</v>
      </c>
      <c r="C389" s="251">
        <f>P350</f>
        <v>0</v>
      </c>
      <c r="D389" s="251">
        <v>0</v>
      </c>
      <c r="E389" s="251">
        <v>0</v>
      </c>
      <c r="F389" s="251">
        <v>0</v>
      </c>
      <c r="G389" s="251">
        <v>0</v>
      </c>
      <c r="H389" s="251">
        <v>0</v>
      </c>
      <c r="I389" s="251">
        <v>0</v>
      </c>
      <c r="J389" s="251">
        <v>0</v>
      </c>
      <c r="K389" s="251">
        <v>0</v>
      </c>
      <c r="L389" s="251">
        <v>0</v>
      </c>
      <c r="M389" s="251">
        <v>0</v>
      </c>
      <c r="N389" s="251">
        <v>0</v>
      </c>
      <c r="O389" s="251">
        <v>0</v>
      </c>
      <c r="P389" s="251">
        <v>0</v>
      </c>
      <c r="Q389" s="251">
        <v>0</v>
      </c>
      <c r="R389" s="251">
        <v>0</v>
      </c>
      <c r="S389" s="251">
        <v>0</v>
      </c>
      <c r="T389" s="251">
        <v>0</v>
      </c>
      <c r="U389" s="251">
        <v>0</v>
      </c>
      <c r="V389" s="251">
        <v>0</v>
      </c>
      <c r="W389" s="251">
        <v>0</v>
      </c>
      <c r="X389" s="251">
        <v>0</v>
      </c>
      <c r="Y389" s="251">
        <v>0</v>
      </c>
      <c r="Z389" s="251">
        <v>0</v>
      </c>
      <c r="AA389" s="251">
        <v>0</v>
      </c>
      <c r="AB389" s="251">
        <v>0</v>
      </c>
      <c r="AC389" s="251">
        <v>0</v>
      </c>
      <c r="AD389" s="251">
        <v>0</v>
      </c>
      <c r="AE389" s="251">
        <v>0</v>
      </c>
      <c r="AF389" s="251">
        <v>0</v>
      </c>
      <c r="AG389" s="251">
        <v>0</v>
      </c>
      <c r="AH389" s="251">
        <v>0</v>
      </c>
      <c r="AI389" s="251">
        <v>0</v>
      </c>
      <c r="AJ389" s="251">
        <v>0</v>
      </c>
      <c r="AK389" s="251">
        <v>0</v>
      </c>
      <c r="AL389" s="251">
        <v>0</v>
      </c>
      <c r="AM389" s="251">
        <v>0</v>
      </c>
      <c r="AN389" s="251">
        <v>0</v>
      </c>
      <c r="AO389" s="251">
        <v>0</v>
      </c>
      <c r="AP389" s="251">
        <v>0</v>
      </c>
    </row>
    <row r="390" spans="1:42" x14ac:dyDescent="0.2">
      <c r="A390" s="38"/>
      <c r="B390" s="296">
        <f t="array" ref="B390">SUM(IF(ISNUMBER(C390:AP390),C390:AP390))</f>
        <v>32855449.026042633</v>
      </c>
      <c r="C390" s="245">
        <f>SUM(C383:C389)</f>
        <v>6111973.2262652405</v>
      </c>
      <c r="D390" s="245">
        <f t="shared" ref="D390:AP390" si="186">SUM(D383:D389)</f>
        <v>9813015.8391280249</v>
      </c>
      <c r="E390" s="245">
        <f t="shared" si="186"/>
        <v>5954484.1442114105</v>
      </c>
      <c r="F390" s="245">
        <f t="shared" si="186"/>
        <v>3637712.5247764289</v>
      </c>
      <c r="G390" s="245">
        <f t="shared" si="186"/>
        <v>3633167.8679426457</v>
      </c>
      <c r="H390" s="245">
        <f t="shared" si="186"/>
        <v>1895220.2688831477</v>
      </c>
      <c r="I390" s="245">
        <f t="shared" si="186"/>
        <v>159456.46596455917</v>
      </c>
      <c r="J390" s="245">
        <f t="shared" si="186"/>
        <v>159456.46596455917</v>
      </c>
      <c r="K390" s="245">
        <f t="shared" si="186"/>
        <v>159515.48748188105</v>
      </c>
      <c r="L390" s="245">
        <f t="shared" si="186"/>
        <v>159456.46596455917</v>
      </c>
      <c r="M390" s="245">
        <f t="shared" si="186"/>
        <v>159515.48748188105</v>
      </c>
      <c r="N390" s="245">
        <f t="shared" si="186"/>
        <v>159358.09676902276</v>
      </c>
      <c r="O390" s="245">
        <f t="shared" si="186"/>
        <v>159515.48748188105</v>
      </c>
      <c r="P390" s="245">
        <f t="shared" si="186"/>
        <v>159358.09676902276</v>
      </c>
      <c r="Q390" s="245">
        <f t="shared" si="186"/>
        <v>159456.46596455917</v>
      </c>
      <c r="R390" s="245">
        <f t="shared" si="186"/>
        <v>109189.80704544153</v>
      </c>
      <c r="S390" s="245">
        <f t="shared" si="186"/>
        <v>59021.517321860279</v>
      </c>
      <c r="T390" s="245">
        <f t="shared" si="186"/>
        <v>59021.517321860279</v>
      </c>
      <c r="U390" s="245">
        <f t="shared" si="186"/>
        <v>59021.517321860279</v>
      </c>
      <c r="V390" s="245">
        <f t="shared" si="186"/>
        <v>59021.517321860279</v>
      </c>
      <c r="W390" s="245">
        <f t="shared" si="186"/>
        <v>29510.75866093014</v>
      </c>
      <c r="X390" s="245">
        <f t="shared" si="186"/>
        <v>0</v>
      </c>
      <c r="Y390" s="245">
        <f t="shared" si="186"/>
        <v>0</v>
      </c>
      <c r="Z390" s="245">
        <f t="shared" si="186"/>
        <v>0</v>
      </c>
      <c r="AA390" s="245">
        <f t="shared" si="186"/>
        <v>0</v>
      </c>
      <c r="AB390" s="245" t="e">
        <f t="shared" si="186"/>
        <v>#N/A</v>
      </c>
      <c r="AC390" s="245" t="e">
        <f t="shared" si="186"/>
        <v>#N/A</v>
      </c>
      <c r="AD390" s="245" t="e">
        <f t="shared" si="186"/>
        <v>#N/A</v>
      </c>
      <c r="AE390" s="245" t="e">
        <f t="shared" si="186"/>
        <v>#N/A</v>
      </c>
      <c r="AF390" s="245" t="e">
        <f t="shared" si="186"/>
        <v>#N/A</v>
      </c>
      <c r="AG390" s="245" t="e">
        <f t="shared" si="186"/>
        <v>#N/A</v>
      </c>
      <c r="AH390" s="245" t="e">
        <f t="shared" si="186"/>
        <v>#N/A</v>
      </c>
      <c r="AI390" s="245" t="e">
        <f t="shared" si="186"/>
        <v>#N/A</v>
      </c>
      <c r="AJ390" s="245" t="e">
        <f t="shared" si="186"/>
        <v>#N/A</v>
      </c>
      <c r="AK390" s="245" t="e">
        <f t="shared" si="186"/>
        <v>#N/A</v>
      </c>
      <c r="AL390" s="245" t="e">
        <f t="shared" si="186"/>
        <v>#N/A</v>
      </c>
      <c r="AM390" s="245" t="e">
        <f t="shared" si="186"/>
        <v>#N/A</v>
      </c>
      <c r="AN390" s="245" t="e">
        <f t="shared" si="186"/>
        <v>#N/A</v>
      </c>
      <c r="AO390" s="245" t="e">
        <f t="shared" si="186"/>
        <v>#N/A</v>
      </c>
      <c r="AP390" s="245" t="e">
        <f t="shared" si="186"/>
        <v>#N/A</v>
      </c>
    </row>
    <row r="391" spans="1:42" x14ac:dyDescent="0.2">
      <c r="A391" s="38"/>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x14ac:dyDescent="0.2">
      <c r="A392" s="36" t="s">
        <v>107</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x14ac:dyDescent="0.2">
      <c r="A393" s="38" t="s">
        <v>109</v>
      </c>
      <c r="B393" s="44" t="str">
        <f>equip_reserve_depr_fed</f>
        <v>5-yr MACRS</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x14ac:dyDescent="0.2">
      <c r="A394" s="38" t="s">
        <v>110</v>
      </c>
      <c r="B394" s="291">
        <f t="shared" ref="B394:AP394" si="187">B2</f>
        <v>0</v>
      </c>
      <c r="C394" s="291">
        <f t="shared" si="187"/>
        <v>1</v>
      </c>
      <c r="D394" s="291">
        <f t="shared" si="187"/>
        <v>2</v>
      </c>
      <c r="E394" s="291">
        <f t="shared" si="187"/>
        <v>3</v>
      </c>
      <c r="F394" s="291">
        <f t="shared" si="187"/>
        <v>4</v>
      </c>
      <c r="G394" s="291">
        <f t="shared" si="187"/>
        <v>5</v>
      </c>
      <c r="H394" s="291">
        <f t="shared" si="187"/>
        <v>6</v>
      </c>
      <c r="I394" s="291">
        <f t="shared" si="187"/>
        <v>7</v>
      </c>
      <c r="J394" s="291">
        <f t="shared" si="187"/>
        <v>8</v>
      </c>
      <c r="K394" s="291">
        <f t="shared" si="187"/>
        <v>9</v>
      </c>
      <c r="L394" s="291">
        <f t="shared" si="187"/>
        <v>10</v>
      </c>
      <c r="M394" s="291">
        <f t="shared" si="187"/>
        <v>11</v>
      </c>
      <c r="N394" s="291">
        <f t="shared" si="187"/>
        <v>12</v>
      </c>
      <c r="O394" s="291">
        <f t="shared" si="187"/>
        <v>13</v>
      </c>
      <c r="P394" s="291">
        <f t="shared" si="187"/>
        <v>14</v>
      </c>
      <c r="Q394" s="291">
        <f t="shared" si="187"/>
        <v>15</v>
      </c>
      <c r="R394" s="291">
        <f t="shared" si="187"/>
        <v>16</v>
      </c>
      <c r="S394" s="291">
        <f t="shared" si="187"/>
        <v>17</v>
      </c>
      <c r="T394" s="291">
        <f t="shared" si="187"/>
        <v>18</v>
      </c>
      <c r="U394" s="291">
        <f t="shared" si="187"/>
        <v>19</v>
      </c>
      <c r="V394" s="291">
        <f t="shared" si="187"/>
        <v>20</v>
      </c>
      <c r="W394" s="291">
        <f t="shared" si="187"/>
        <v>21</v>
      </c>
      <c r="X394" s="291">
        <f t="shared" si="187"/>
        <v>22</v>
      </c>
      <c r="Y394" s="291">
        <f t="shared" si="187"/>
        <v>23</v>
      </c>
      <c r="Z394" s="291">
        <f t="shared" si="187"/>
        <v>24</v>
      </c>
      <c r="AA394" s="291">
        <f t="shared" si="187"/>
        <v>25</v>
      </c>
      <c r="AB394" s="291" t="str">
        <f t="shared" si="187"/>
        <v/>
      </c>
      <c r="AC394" s="291" t="str">
        <f t="shared" si="187"/>
        <v/>
      </c>
      <c r="AD394" s="291" t="str">
        <f t="shared" si="187"/>
        <v/>
      </c>
      <c r="AE394" s="291" t="str">
        <f t="shared" si="187"/>
        <v/>
      </c>
      <c r="AF394" s="291" t="str">
        <f t="shared" si="187"/>
        <v/>
      </c>
      <c r="AG394" s="291" t="str">
        <f t="shared" si="187"/>
        <v/>
      </c>
      <c r="AH394" s="291" t="str">
        <f t="shared" si="187"/>
        <v/>
      </c>
      <c r="AI394" s="291" t="str">
        <f t="shared" si="187"/>
        <v/>
      </c>
      <c r="AJ394" s="291" t="str">
        <f t="shared" si="187"/>
        <v/>
      </c>
      <c r="AK394" s="291" t="str">
        <f t="shared" si="187"/>
        <v/>
      </c>
      <c r="AL394" s="291" t="str">
        <f t="shared" si="187"/>
        <v/>
      </c>
      <c r="AM394" s="291" t="str">
        <f t="shared" si="187"/>
        <v/>
      </c>
      <c r="AN394" s="291" t="str">
        <f t="shared" si="187"/>
        <v/>
      </c>
      <c r="AO394" s="291" t="str">
        <f t="shared" si="187"/>
        <v/>
      </c>
      <c r="AP394" s="291" t="str">
        <f t="shared" si="187"/>
        <v/>
      </c>
    </row>
    <row r="395" spans="1:42" x14ac:dyDescent="0.2">
      <c r="A395" s="38" t="s">
        <v>111</v>
      </c>
      <c r="B395" s="290">
        <v>0</v>
      </c>
      <c r="C395" s="283">
        <f t="shared" ref="C395:AP395" si="188">IF($B$393=$A376,C376,0)+IF($B$393=$A377,C377,0)+IF($B$393=$A378,C378,0)+IF($B$393=$A379,C379,0)+IF($B$393=$A380,C380,0)+IF($B$393=$A381,C381,0)</f>
        <v>20</v>
      </c>
      <c r="D395" s="283">
        <f t="shared" si="188"/>
        <v>32</v>
      </c>
      <c r="E395" s="283">
        <f t="shared" si="188"/>
        <v>19.2</v>
      </c>
      <c r="F395" s="283">
        <f t="shared" si="188"/>
        <v>11.52</v>
      </c>
      <c r="G395" s="283">
        <f t="shared" si="188"/>
        <v>11.52</v>
      </c>
      <c r="H395" s="283">
        <f t="shared" si="188"/>
        <v>5.76</v>
      </c>
      <c r="I395" s="283">
        <f t="shared" si="188"/>
        <v>0</v>
      </c>
      <c r="J395" s="283">
        <f t="shared" si="188"/>
        <v>0</v>
      </c>
      <c r="K395" s="283">
        <f t="shared" si="188"/>
        <v>0</v>
      </c>
      <c r="L395" s="283">
        <f t="shared" si="188"/>
        <v>0</v>
      </c>
      <c r="M395" s="283">
        <f t="shared" si="188"/>
        <v>0</v>
      </c>
      <c r="N395" s="283">
        <f t="shared" si="188"/>
        <v>0</v>
      </c>
      <c r="O395" s="283">
        <f t="shared" si="188"/>
        <v>0</v>
      </c>
      <c r="P395" s="283">
        <f t="shared" si="188"/>
        <v>0</v>
      </c>
      <c r="Q395" s="283">
        <f t="shared" si="188"/>
        <v>0</v>
      </c>
      <c r="R395" s="283">
        <f t="shared" si="188"/>
        <v>0</v>
      </c>
      <c r="S395" s="283">
        <f t="shared" si="188"/>
        <v>0</v>
      </c>
      <c r="T395" s="283">
        <f t="shared" si="188"/>
        <v>0</v>
      </c>
      <c r="U395" s="283">
        <f t="shared" si="188"/>
        <v>0</v>
      </c>
      <c r="V395" s="283">
        <f t="shared" si="188"/>
        <v>0</v>
      </c>
      <c r="W395" s="283">
        <f t="shared" si="188"/>
        <v>0</v>
      </c>
      <c r="X395" s="283">
        <f t="shared" si="188"/>
        <v>0</v>
      </c>
      <c r="Y395" s="283">
        <f t="shared" si="188"/>
        <v>0</v>
      </c>
      <c r="Z395" s="283">
        <f t="shared" si="188"/>
        <v>0</v>
      </c>
      <c r="AA395" s="283">
        <f t="shared" si="188"/>
        <v>0</v>
      </c>
      <c r="AB395" s="283" t="e">
        <f t="shared" si="188"/>
        <v>#N/A</v>
      </c>
      <c r="AC395" s="283" t="e">
        <f t="shared" si="188"/>
        <v>#N/A</v>
      </c>
      <c r="AD395" s="283" t="e">
        <f t="shared" si="188"/>
        <v>#N/A</v>
      </c>
      <c r="AE395" s="283" t="e">
        <f t="shared" si="188"/>
        <v>#N/A</v>
      </c>
      <c r="AF395" s="283" t="e">
        <f t="shared" si="188"/>
        <v>#N/A</v>
      </c>
      <c r="AG395" s="283" t="e">
        <f t="shared" si="188"/>
        <v>#N/A</v>
      </c>
      <c r="AH395" s="283" t="e">
        <f t="shared" si="188"/>
        <v>#N/A</v>
      </c>
      <c r="AI395" s="283" t="e">
        <f t="shared" si="188"/>
        <v>#N/A</v>
      </c>
      <c r="AJ395" s="283" t="e">
        <f t="shared" si="188"/>
        <v>#N/A</v>
      </c>
      <c r="AK395" s="283" t="e">
        <f t="shared" si="188"/>
        <v>#N/A</v>
      </c>
      <c r="AL395" s="283" t="e">
        <f t="shared" si="188"/>
        <v>#N/A</v>
      </c>
      <c r="AM395" s="283" t="e">
        <f t="shared" si="188"/>
        <v>#N/A</v>
      </c>
      <c r="AN395" s="283" t="e">
        <f t="shared" si="188"/>
        <v>#N/A</v>
      </c>
      <c r="AO395" s="283" t="e">
        <f t="shared" si="188"/>
        <v>#N/A</v>
      </c>
      <c r="AP395" s="283" t="e">
        <f t="shared" si="188"/>
        <v>#N/A</v>
      </c>
    </row>
    <row r="396" spans="1:42" x14ac:dyDescent="0.2">
      <c r="A396" s="36"/>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x14ac:dyDescent="0.2">
      <c r="A397" s="36" t="s">
        <v>141</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x14ac:dyDescent="0.2">
      <c r="A398" s="38" t="s">
        <v>108</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x14ac:dyDescent="0.2">
      <c r="A399" s="21">
        <v>1</v>
      </c>
      <c r="C399" s="272">
        <f t="shared" ref="C399:AP399" si="189">C266</f>
        <v>0</v>
      </c>
      <c r="D399" s="272">
        <f t="shared" si="189"/>
        <v>0</v>
      </c>
      <c r="E399" s="272">
        <f t="shared" si="189"/>
        <v>0</v>
      </c>
      <c r="F399" s="272">
        <f t="shared" si="189"/>
        <v>0</v>
      </c>
      <c r="G399" s="272">
        <f t="shared" si="189"/>
        <v>0</v>
      </c>
      <c r="H399" s="272">
        <f t="shared" si="189"/>
        <v>0</v>
      </c>
      <c r="I399" s="272">
        <f t="shared" si="189"/>
        <v>0</v>
      </c>
      <c r="J399" s="272">
        <f t="shared" si="189"/>
        <v>0</v>
      </c>
      <c r="K399" s="272">
        <f t="shared" si="189"/>
        <v>0</v>
      </c>
      <c r="L399" s="272">
        <f t="shared" si="189"/>
        <v>0</v>
      </c>
      <c r="M399" s="272">
        <f t="shared" si="189"/>
        <v>0</v>
      </c>
      <c r="N399" s="272">
        <f t="shared" si="189"/>
        <v>1</v>
      </c>
      <c r="O399" s="272">
        <f t="shared" si="189"/>
        <v>2</v>
      </c>
      <c r="P399" s="272">
        <f t="shared" si="189"/>
        <v>3</v>
      </c>
      <c r="Q399" s="272">
        <f t="shared" si="189"/>
        <v>4</v>
      </c>
      <c r="R399" s="272">
        <f t="shared" si="189"/>
        <v>5</v>
      </c>
      <c r="S399" s="272">
        <f t="shared" si="189"/>
        <v>6</v>
      </c>
      <c r="T399" s="272">
        <f t="shared" si="189"/>
        <v>7</v>
      </c>
      <c r="U399" s="272">
        <f t="shared" si="189"/>
        <v>8</v>
      </c>
      <c r="V399" s="272">
        <f t="shared" si="189"/>
        <v>9</v>
      </c>
      <c r="W399" s="272">
        <f t="shared" si="189"/>
        <v>10</v>
      </c>
      <c r="X399" s="272">
        <f t="shared" si="189"/>
        <v>11</v>
      </c>
      <c r="Y399" s="272">
        <f t="shared" si="189"/>
        <v>12</v>
      </c>
      <c r="Z399" s="272">
        <f t="shared" si="189"/>
        <v>13</v>
      </c>
      <c r="AA399" s="272">
        <f t="shared" si="189"/>
        <v>14</v>
      </c>
      <c r="AB399" s="272">
        <f t="shared" si="189"/>
        <v>0</v>
      </c>
      <c r="AC399" s="272">
        <f t="shared" si="189"/>
        <v>0</v>
      </c>
      <c r="AD399" s="272">
        <f t="shared" si="189"/>
        <v>0</v>
      </c>
      <c r="AE399" s="272">
        <f t="shared" si="189"/>
        <v>0</v>
      </c>
      <c r="AF399" s="272">
        <f t="shared" si="189"/>
        <v>0</v>
      </c>
      <c r="AG399" s="272">
        <f t="shared" si="189"/>
        <v>0</v>
      </c>
      <c r="AH399" s="272">
        <f t="shared" si="189"/>
        <v>0</v>
      </c>
      <c r="AI399" s="272">
        <f t="shared" si="189"/>
        <v>0</v>
      </c>
      <c r="AJ399" s="272">
        <f t="shared" si="189"/>
        <v>0</v>
      </c>
      <c r="AK399" s="272">
        <f t="shared" si="189"/>
        <v>0</v>
      </c>
      <c r="AL399" s="272">
        <f t="shared" si="189"/>
        <v>0</v>
      </c>
      <c r="AM399" s="272">
        <f t="shared" si="189"/>
        <v>0</v>
      </c>
      <c r="AN399" s="272">
        <f t="shared" si="189"/>
        <v>0</v>
      </c>
      <c r="AO399" s="272">
        <f t="shared" si="189"/>
        <v>0</v>
      </c>
      <c r="AP399" s="272">
        <f t="shared" si="189"/>
        <v>0</v>
      </c>
    </row>
    <row r="400" spans="1:42" x14ac:dyDescent="0.2">
      <c r="A400" s="21">
        <f>A399+1</f>
        <v>2</v>
      </c>
      <c r="C400" s="272">
        <f t="shared" ref="C400:AP400" si="190">C267</f>
        <v>0</v>
      </c>
      <c r="D400" s="272">
        <f t="shared" si="190"/>
        <v>0</v>
      </c>
      <c r="E400" s="272">
        <f t="shared" si="190"/>
        <v>0</v>
      </c>
      <c r="F400" s="272">
        <f t="shared" si="190"/>
        <v>0</v>
      </c>
      <c r="G400" s="272">
        <f t="shared" si="190"/>
        <v>0</v>
      </c>
      <c r="H400" s="272">
        <f t="shared" si="190"/>
        <v>0</v>
      </c>
      <c r="I400" s="272">
        <f t="shared" si="190"/>
        <v>0</v>
      </c>
      <c r="J400" s="272">
        <f t="shared" si="190"/>
        <v>0</v>
      </c>
      <c r="K400" s="272">
        <f t="shared" si="190"/>
        <v>0</v>
      </c>
      <c r="L400" s="272">
        <f t="shared" si="190"/>
        <v>0</v>
      </c>
      <c r="M400" s="272">
        <f t="shared" si="190"/>
        <v>0</v>
      </c>
      <c r="N400" s="272">
        <f t="shared" si="190"/>
        <v>0</v>
      </c>
      <c r="O400" s="272">
        <f t="shared" si="190"/>
        <v>0</v>
      </c>
      <c r="P400" s="272">
        <f t="shared" si="190"/>
        <v>0</v>
      </c>
      <c r="Q400" s="272">
        <f t="shared" si="190"/>
        <v>0</v>
      </c>
      <c r="R400" s="272">
        <f t="shared" si="190"/>
        <v>0</v>
      </c>
      <c r="S400" s="272">
        <f t="shared" si="190"/>
        <v>0</v>
      </c>
      <c r="T400" s="272">
        <f t="shared" si="190"/>
        <v>0</v>
      </c>
      <c r="U400" s="272">
        <f t="shared" si="190"/>
        <v>0</v>
      </c>
      <c r="V400" s="272">
        <f t="shared" si="190"/>
        <v>0</v>
      </c>
      <c r="W400" s="272">
        <f t="shared" si="190"/>
        <v>0</v>
      </c>
      <c r="X400" s="272">
        <f t="shared" si="190"/>
        <v>0</v>
      </c>
      <c r="Y400" s="272">
        <f t="shared" si="190"/>
        <v>0</v>
      </c>
      <c r="Z400" s="272">
        <f t="shared" si="190"/>
        <v>1</v>
      </c>
      <c r="AA400" s="272">
        <f t="shared" si="190"/>
        <v>2</v>
      </c>
      <c r="AB400" s="272">
        <f t="shared" si="190"/>
        <v>0</v>
      </c>
      <c r="AC400" s="272">
        <f t="shared" si="190"/>
        <v>0</v>
      </c>
      <c r="AD400" s="272">
        <f t="shared" si="190"/>
        <v>0</v>
      </c>
      <c r="AE400" s="272">
        <f t="shared" si="190"/>
        <v>0</v>
      </c>
      <c r="AF400" s="272">
        <f t="shared" si="190"/>
        <v>0</v>
      </c>
      <c r="AG400" s="272">
        <f t="shared" si="190"/>
        <v>0</v>
      </c>
      <c r="AH400" s="272">
        <f t="shared" si="190"/>
        <v>0</v>
      </c>
      <c r="AI400" s="272">
        <f t="shared" si="190"/>
        <v>0</v>
      </c>
      <c r="AJ400" s="272">
        <f t="shared" si="190"/>
        <v>0</v>
      </c>
      <c r="AK400" s="272">
        <f t="shared" si="190"/>
        <v>0</v>
      </c>
      <c r="AL400" s="272">
        <f t="shared" si="190"/>
        <v>0</v>
      </c>
      <c r="AM400" s="272">
        <f t="shared" si="190"/>
        <v>0</v>
      </c>
      <c r="AN400" s="272">
        <f t="shared" si="190"/>
        <v>0</v>
      </c>
      <c r="AO400" s="272">
        <f t="shared" si="190"/>
        <v>0</v>
      </c>
      <c r="AP400" s="272">
        <f t="shared" si="190"/>
        <v>0</v>
      </c>
    </row>
    <row r="401" spans="1:42" x14ac:dyDescent="0.2">
      <c r="A401" s="21">
        <f t="shared" ref="A401:A406" si="191">A400+1</f>
        <v>3</v>
      </c>
      <c r="C401" s="272">
        <f t="shared" ref="C401:AP401" si="192">C268</f>
        <v>0</v>
      </c>
      <c r="D401" s="272">
        <f t="shared" si="192"/>
        <v>0</v>
      </c>
      <c r="E401" s="272">
        <f t="shared" si="192"/>
        <v>0</v>
      </c>
      <c r="F401" s="272">
        <f t="shared" si="192"/>
        <v>0</v>
      </c>
      <c r="G401" s="272">
        <f t="shared" si="192"/>
        <v>0</v>
      </c>
      <c r="H401" s="272">
        <f t="shared" si="192"/>
        <v>0</v>
      </c>
      <c r="I401" s="272">
        <f t="shared" si="192"/>
        <v>0</v>
      </c>
      <c r="J401" s="272">
        <f t="shared" si="192"/>
        <v>0</v>
      </c>
      <c r="K401" s="272">
        <f t="shared" si="192"/>
        <v>0</v>
      </c>
      <c r="L401" s="272">
        <f t="shared" si="192"/>
        <v>0</v>
      </c>
      <c r="M401" s="272">
        <f t="shared" si="192"/>
        <v>0</v>
      </c>
      <c r="N401" s="272">
        <f t="shared" si="192"/>
        <v>0</v>
      </c>
      <c r="O401" s="272">
        <f t="shared" si="192"/>
        <v>0</v>
      </c>
      <c r="P401" s="272">
        <f t="shared" si="192"/>
        <v>0</v>
      </c>
      <c r="Q401" s="272">
        <f t="shared" si="192"/>
        <v>0</v>
      </c>
      <c r="R401" s="272">
        <f t="shared" si="192"/>
        <v>0</v>
      </c>
      <c r="S401" s="272">
        <f t="shared" si="192"/>
        <v>0</v>
      </c>
      <c r="T401" s="272">
        <f t="shared" si="192"/>
        <v>0</v>
      </c>
      <c r="U401" s="272">
        <f t="shared" si="192"/>
        <v>0</v>
      </c>
      <c r="V401" s="272">
        <f t="shared" si="192"/>
        <v>0</v>
      </c>
      <c r="W401" s="272">
        <f t="shared" si="192"/>
        <v>0</v>
      </c>
      <c r="X401" s="272">
        <f t="shared" si="192"/>
        <v>0</v>
      </c>
      <c r="Y401" s="272">
        <f t="shared" si="192"/>
        <v>0</v>
      </c>
      <c r="Z401" s="272">
        <f t="shared" si="192"/>
        <v>0</v>
      </c>
      <c r="AA401" s="272">
        <f t="shared" si="192"/>
        <v>0</v>
      </c>
      <c r="AB401" s="272">
        <f t="shared" si="192"/>
        <v>0</v>
      </c>
      <c r="AC401" s="272">
        <f t="shared" si="192"/>
        <v>0</v>
      </c>
      <c r="AD401" s="272">
        <f t="shared" si="192"/>
        <v>0</v>
      </c>
      <c r="AE401" s="272">
        <f t="shared" si="192"/>
        <v>0</v>
      </c>
      <c r="AF401" s="272">
        <f t="shared" si="192"/>
        <v>0</v>
      </c>
      <c r="AG401" s="272">
        <f t="shared" si="192"/>
        <v>0</v>
      </c>
      <c r="AH401" s="272">
        <f t="shared" si="192"/>
        <v>0</v>
      </c>
      <c r="AI401" s="272">
        <f t="shared" si="192"/>
        <v>0</v>
      </c>
      <c r="AJ401" s="272">
        <f t="shared" si="192"/>
        <v>0</v>
      </c>
      <c r="AK401" s="272">
        <f t="shared" si="192"/>
        <v>0</v>
      </c>
      <c r="AL401" s="272">
        <f t="shared" si="192"/>
        <v>0</v>
      </c>
      <c r="AM401" s="272">
        <f t="shared" si="192"/>
        <v>0</v>
      </c>
      <c r="AN401" s="272">
        <f t="shared" si="192"/>
        <v>0</v>
      </c>
      <c r="AO401" s="272">
        <f t="shared" si="192"/>
        <v>0</v>
      </c>
      <c r="AP401" s="272">
        <f t="shared" si="192"/>
        <v>0</v>
      </c>
    </row>
    <row r="402" spans="1:42" x14ac:dyDescent="0.2">
      <c r="A402" s="21">
        <f t="shared" si="191"/>
        <v>4</v>
      </c>
      <c r="C402" s="272">
        <f t="shared" ref="C402:AP402" si="193">C269</f>
        <v>0</v>
      </c>
      <c r="D402" s="272">
        <f t="shared" si="193"/>
        <v>0</v>
      </c>
      <c r="E402" s="272">
        <f t="shared" si="193"/>
        <v>0</v>
      </c>
      <c r="F402" s="272">
        <f t="shared" si="193"/>
        <v>0</v>
      </c>
      <c r="G402" s="272">
        <f t="shared" si="193"/>
        <v>0</v>
      </c>
      <c r="H402" s="272">
        <f t="shared" si="193"/>
        <v>0</v>
      </c>
      <c r="I402" s="272">
        <f t="shared" si="193"/>
        <v>0</v>
      </c>
      <c r="J402" s="272">
        <f t="shared" si="193"/>
        <v>0</v>
      </c>
      <c r="K402" s="272">
        <f t="shared" si="193"/>
        <v>0</v>
      </c>
      <c r="L402" s="272">
        <f t="shared" si="193"/>
        <v>0</v>
      </c>
      <c r="M402" s="272">
        <f t="shared" si="193"/>
        <v>0</v>
      </c>
      <c r="N402" s="272">
        <f t="shared" si="193"/>
        <v>0</v>
      </c>
      <c r="O402" s="272">
        <f t="shared" si="193"/>
        <v>0</v>
      </c>
      <c r="P402" s="272">
        <f t="shared" si="193"/>
        <v>0</v>
      </c>
      <c r="Q402" s="272">
        <f t="shared" si="193"/>
        <v>0</v>
      </c>
      <c r="R402" s="272">
        <f t="shared" si="193"/>
        <v>0</v>
      </c>
      <c r="S402" s="272">
        <f t="shared" si="193"/>
        <v>0</v>
      </c>
      <c r="T402" s="272">
        <f t="shared" si="193"/>
        <v>0</v>
      </c>
      <c r="U402" s="272">
        <f t="shared" si="193"/>
        <v>0</v>
      </c>
      <c r="V402" s="272">
        <f t="shared" si="193"/>
        <v>0</v>
      </c>
      <c r="W402" s="272">
        <f t="shared" si="193"/>
        <v>0</v>
      </c>
      <c r="X402" s="272">
        <f t="shared" si="193"/>
        <v>0</v>
      </c>
      <c r="Y402" s="272">
        <f t="shared" si="193"/>
        <v>0</v>
      </c>
      <c r="Z402" s="272">
        <f t="shared" si="193"/>
        <v>0</v>
      </c>
      <c r="AA402" s="272">
        <f t="shared" si="193"/>
        <v>0</v>
      </c>
      <c r="AB402" s="272">
        <f t="shared" si="193"/>
        <v>0</v>
      </c>
      <c r="AC402" s="272">
        <f t="shared" si="193"/>
        <v>0</v>
      </c>
      <c r="AD402" s="272">
        <f t="shared" si="193"/>
        <v>0</v>
      </c>
      <c r="AE402" s="272">
        <f t="shared" si="193"/>
        <v>0</v>
      </c>
      <c r="AF402" s="272">
        <f t="shared" si="193"/>
        <v>0</v>
      </c>
      <c r="AG402" s="272">
        <f t="shared" si="193"/>
        <v>0</v>
      </c>
      <c r="AH402" s="272">
        <f t="shared" si="193"/>
        <v>0</v>
      </c>
      <c r="AI402" s="272">
        <f t="shared" si="193"/>
        <v>0</v>
      </c>
      <c r="AJ402" s="272">
        <f t="shared" si="193"/>
        <v>0</v>
      </c>
      <c r="AK402" s="272">
        <f t="shared" si="193"/>
        <v>0</v>
      </c>
      <c r="AL402" s="272">
        <f t="shared" si="193"/>
        <v>0</v>
      </c>
      <c r="AM402" s="272">
        <f t="shared" si="193"/>
        <v>0</v>
      </c>
      <c r="AN402" s="272">
        <f t="shared" si="193"/>
        <v>0</v>
      </c>
      <c r="AO402" s="272">
        <f t="shared" si="193"/>
        <v>0</v>
      </c>
      <c r="AP402" s="272">
        <f t="shared" si="193"/>
        <v>0</v>
      </c>
    </row>
    <row r="403" spans="1:42" x14ac:dyDescent="0.2">
      <c r="A403" s="21">
        <f t="shared" si="191"/>
        <v>5</v>
      </c>
      <c r="C403" s="272">
        <f t="shared" ref="C403:AP403" si="194">C270</f>
        <v>0</v>
      </c>
      <c r="D403" s="272">
        <f t="shared" si="194"/>
        <v>0</v>
      </c>
      <c r="E403" s="272">
        <f t="shared" si="194"/>
        <v>0</v>
      </c>
      <c r="F403" s="272">
        <f t="shared" si="194"/>
        <v>0</v>
      </c>
      <c r="G403" s="272">
        <f t="shared" si="194"/>
        <v>0</v>
      </c>
      <c r="H403" s="272">
        <f t="shared" si="194"/>
        <v>0</v>
      </c>
      <c r="I403" s="272">
        <f t="shared" si="194"/>
        <v>0</v>
      </c>
      <c r="J403" s="272">
        <f t="shared" si="194"/>
        <v>0</v>
      </c>
      <c r="K403" s="272">
        <f t="shared" si="194"/>
        <v>0</v>
      </c>
      <c r="L403" s="272">
        <f t="shared" si="194"/>
        <v>0</v>
      </c>
      <c r="M403" s="272">
        <f t="shared" si="194"/>
        <v>0</v>
      </c>
      <c r="N403" s="272">
        <f t="shared" si="194"/>
        <v>0</v>
      </c>
      <c r="O403" s="272">
        <f t="shared" si="194"/>
        <v>0</v>
      </c>
      <c r="P403" s="272">
        <f t="shared" si="194"/>
        <v>0</v>
      </c>
      <c r="Q403" s="272">
        <f t="shared" si="194"/>
        <v>0</v>
      </c>
      <c r="R403" s="272">
        <f t="shared" si="194"/>
        <v>0</v>
      </c>
      <c r="S403" s="272">
        <f t="shared" si="194"/>
        <v>0</v>
      </c>
      <c r="T403" s="272">
        <f t="shared" si="194"/>
        <v>0</v>
      </c>
      <c r="U403" s="272">
        <f t="shared" si="194"/>
        <v>0</v>
      </c>
      <c r="V403" s="272">
        <f t="shared" si="194"/>
        <v>0</v>
      </c>
      <c r="W403" s="272">
        <f t="shared" si="194"/>
        <v>0</v>
      </c>
      <c r="X403" s="272">
        <f t="shared" si="194"/>
        <v>0</v>
      </c>
      <c r="Y403" s="272">
        <f t="shared" si="194"/>
        <v>0</v>
      </c>
      <c r="Z403" s="272">
        <f t="shared" si="194"/>
        <v>0</v>
      </c>
      <c r="AA403" s="272">
        <f t="shared" si="194"/>
        <v>0</v>
      </c>
      <c r="AB403" s="272">
        <f t="shared" si="194"/>
        <v>0</v>
      </c>
      <c r="AC403" s="272">
        <f t="shared" si="194"/>
        <v>0</v>
      </c>
      <c r="AD403" s="272">
        <f t="shared" si="194"/>
        <v>0</v>
      </c>
      <c r="AE403" s="272">
        <f t="shared" si="194"/>
        <v>0</v>
      </c>
      <c r="AF403" s="272">
        <f t="shared" si="194"/>
        <v>0</v>
      </c>
      <c r="AG403" s="272">
        <f t="shared" si="194"/>
        <v>0</v>
      </c>
      <c r="AH403" s="272">
        <f t="shared" si="194"/>
        <v>0</v>
      </c>
      <c r="AI403" s="272">
        <f t="shared" si="194"/>
        <v>0</v>
      </c>
      <c r="AJ403" s="272">
        <f t="shared" si="194"/>
        <v>0</v>
      </c>
      <c r="AK403" s="272">
        <f t="shared" si="194"/>
        <v>0</v>
      </c>
      <c r="AL403" s="272">
        <f t="shared" si="194"/>
        <v>0</v>
      </c>
      <c r="AM403" s="272">
        <f t="shared" si="194"/>
        <v>0</v>
      </c>
      <c r="AN403" s="272">
        <f t="shared" si="194"/>
        <v>0</v>
      </c>
      <c r="AO403" s="272">
        <f t="shared" si="194"/>
        <v>0</v>
      </c>
      <c r="AP403" s="272">
        <f t="shared" si="194"/>
        <v>0</v>
      </c>
    </row>
    <row r="404" spans="1:42" x14ac:dyDescent="0.2">
      <c r="A404" s="21">
        <f t="shared" si="191"/>
        <v>6</v>
      </c>
      <c r="C404" s="272">
        <f t="shared" ref="C404:AP404" si="195">C271</f>
        <v>0</v>
      </c>
      <c r="D404" s="272">
        <f t="shared" si="195"/>
        <v>0</v>
      </c>
      <c r="E404" s="272">
        <f t="shared" si="195"/>
        <v>0</v>
      </c>
      <c r="F404" s="272">
        <f t="shared" si="195"/>
        <v>0</v>
      </c>
      <c r="G404" s="272">
        <f t="shared" si="195"/>
        <v>0</v>
      </c>
      <c r="H404" s="272">
        <f t="shared" si="195"/>
        <v>0</v>
      </c>
      <c r="I404" s="272">
        <f t="shared" si="195"/>
        <v>0</v>
      </c>
      <c r="J404" s="272">
        <f t="shared" si="195"/>
        <v>0</v>
      </c>
      <c r="K404" s="272">
        <f t="shared" si="195"/>
        <v>0</v>
      </c>
      <c r="L404" s="272">
        <f t="shared" si="195"/>
        <v>0</v>
      </c>
      <c r="M404" s="272">
        <f t="shared" si="195"/>
        <v>0</v>
      </c>
      <c r="N404" s="272">
        <f t="shared" si="195"/>
        <v>0</v>
      </c>
      <c r="O404" s="272">
        <f t="shared" si="195"/>
        <v>0</v>
      </c>
      <c r="P404" s="272">
        <f t="shared" si="195"/>
        <v>0</v>
      </c>
      <c r="Q404" s="272">
        <f t="shared" si="195"/>
        <v>0</v>
      </c>
      <c r="R404" s="272">
        <f t="shared" si="195"/>
        <v>0</v>
      </c>
      <c r="S404" s="272">
        <f t="shared" si="195"/>
        <v>0</v>
      </c>
      <c r="T404" s="272">
        <f t="shared" si="195"/>
        <v>0</v>
      </c>
      <c r="U404" s="272">
        <f t="shared" si="195"/>
        <v>0</v>
      </c>
      <c r="V404" s="272">
        <f t="shared" si="195"/>
        <v>0</v>
      </c>
      <c r="W404" s="272">
        <f t="shared" si="195"/>
        <v>0</v>
      </c>
      <c r="X404" s="272">
        <f t="shared" si="195"/>
        <v>0</v>
      </c>
      <c r="Y404" s="272">
        <f t="shared" si="195"/>
        <v>0</v>
      </c>
      <c r="Z404" s="272">
        <f t="shared" si="195"/>
        <v>0</v>
      </c>
      <c r="AA404" s="272">
        <f t="shared" si="195"/>
        <v>0</v>
      </c>
      <c r="AB404" s="272">
        <f t="shared" si="195"/>
        <v>0</v>
      </c>
      <c r="AC404" s="272">
        <f t="shared" si="195"/>
        <v>0</v>
      </c>
      <c r="AD404" s="272">
        <f t="shared" si="195"/>
        <v>0</v>
      </c>
      <c r="AE404" s="272">
        <f t="shared" si="195"/>
        <v>0</v>
      </c>
      <c r="AF404" s="272">
        <f t="shared" si="195"/>
        <v>0</v>
      </c>
      <c r="AG404" s="272">
        <f t="shared" si="195"/>
        <v>0</v>
      </c>
      <c r="AH404" s="272">
        <f t="shared" si="195"/>
        <v>0</v>
      </c>
      <c r="AI404" s="272">
        <f t="shared" si="195"/>
        <v>0</v>
      </c>
      <c r="AJ404" s="272">
        <f t="shared" si="195"/>
        <v>0</v>
      </c>
      <c r="AK404" s="272">
        <f t="shared" si="195"/>
        <v>0</v>
      </c>
      <c r="AL404" s="272">
        <f t="shared" si="195"/>
        <v>0</v>
      </c>
      <c r="AM404" s="272">
        <f t="shared" si="195"/>
        <v>0</v>
      </c>
      <c r="AN404" s="272">
        <f t="shared" si="195"/>
        <v>0</v>
      </c>
      <c r="AO404" s="272">
        <f t="shared" si="195"/>
        <v>0</v>
      </c>
      <c r="AP404" s="272">
        <f t="shared" si="195"/>
        <v>0</v>
      </c>
    </row>
    <row r="405" spans="1:42" x14ac:dyDescent="0.2">
      <c r="A405" s="21">
        <f t="shared" si="191"/>
        <v>7</v>
      </c>
      <c r="C405" s="272">
        <f t="shared" ref="C405:AP405" si="196">C272</f>
        <v>0</v>
      </c>
      <c r="D405" s="272">
        <f t="shared" si="196"/>
        <v>0</v>
      </c>
      <c r="E405" s="272">
        <f t="shared" si="196"/>
        <v>0</v>
      </c>
      <c r="F405" s="272">
        <f t="shared" si="196"/>
        <v>0</v>
      </c>
      <c r="G405" s="272">
        <f t="shared" si="196"/>
        <v>0</v>
      </c>
      <c r="H405" s="272">
        <f t="shared" si="196"/>
        <v>0</v>
      </c>
      <c r="I405" s="272">
        <f t="shared" si="196"/>
        <v>0</v>
      </c>
      <c r="J405" s="272">
        <f t="shared" si="196"/>
        <v>0</v>
      </c>
      <c r="K405" s="272">
        <f t="shared" si="196"/>
        <v>0</v>
      </c>
      <c r="L405" s="272">
        <f t="shared" si="196"/>
        <v>0</v>
      </c>
      <c r="M405" s="272">
        <f t="shared" si="196"/>
        <v>0</v>
      </c>
      <c r="N405" s="272">
        <f t="shared" si="196"/>
        <v>0</v>
      </c>
      <c r="O405" s="272">
        <f t="shared" si="196"/>
        <v>0</v>
      </c>
      <c r="P405" s="272">
        <f t="shared" si="196"/>
        <v>0</v>
      </c>
      <c r="Q405" s="272">
        <f t="shared" si="196"/>
        <v>0</v>
      </c>
      <c r="R405" s="272">
        <f t="shared" si="196"/>
        <v>0</v>
      </c>
      <c r="S405" s="272">
        <f t="shared" si="196"/>
        <v>0</v>
      </c>
      <c r="T405" s="272">
        <f t="shared" si="196"/>
        <v>0</v>
      </c>
      <c r="U405" s="272">
        <f t="shared" si="196"/>
        <v>0</v>
      </c>
      <c r="V405" s="272">
        <f t="shared" si="196"/>
        <v>0</v>
      </c>
      <c r="W405" s="272">
        <f t="shared" si="196"/>
        <v>0</v>
      </c>
      <c r="X405" s="272">
        <f t="shared" si="196"/>
        <v>0</v>
      </c>
      <c r="Y405" s="272">
        <f t="shared" si="196"/>
        <v>0</v>
      </c>
      <c r="Z405" s="272">
        <f t="shared" si="196"/>
        <v>0</v>
      </c>
      <c r="AA405" s="272">
        <f t="shared" si="196"/>
        <v>0</v>
      </c>
      <c r="AB405" s="272">
        <f t="shared" si="196"/>
        <v>0</v>
      </c>
      <c r="AC405" s="272">
        <f t="shared" si="196"/>
        <v>0</v>
      </c>
      <c r="AD405" s="272">
        <f t="shared" si="196"/>
        <v>0</v>
      </c>
      <c r="AE405" s="272">
        <f t="shared" si="196"/>
        <v>0</v>
      </c>
      <c r="AF405" s="272">
        <f t="shared" si="196"/>
        <v>0</v>
      </c>
      <c r="AG405" s="272">
        <f t="shared" si="196"/>
        <v>0</v>
      </c>
      <c r="AH405" s="272">
        <f t="shared" si="196"/>
        <v>0</v>
      </c>
      <c r="AI405" s="272">
        <f t="shared" si="196"/>
        <v>0</v>
      </c>
      <c r="AJ405" s="272">
        <f t="shared" si="196"/>
        <v>0</v>
      </c>
      <c r="AK405" s="272">
        <f t="shared" si="196"/>
        <v>0</v>
      </c>
      <c r="AL405" s="272">
        <f t="shared" si="196"/>
        <v>0</v>
      </c>
      <c r="AM405" s="272">
        <f t="shared" si="196"/>
        <v>0</v>
      </c>
      <c r="AN405" s="272">
        <f t="shared" si="196"/>
        <v>0</v>
      </c>
      <c r="AO405" s="272">
        <f t="shared" si="196"/>
        <v>0</v>
      </c>
      <c r="AP405" s="272">
        <f t="shared" si="196"/>
        <v>0</v>
      </c>
    </row>
    <row r="406" spans="1:42" x14ac:dyDescent="0.2">
      <c r="A406" s="21">
        <f t="shared" si="191"/>
        <v>8</v>
      </c>
      <c r="C406" s="272">
        <f t="shared" ref="C406:AP406" si="197">C273</f>
        <v>0</v>
      </c>
      <c r="D406" s="272">
        <f t="shared" si="197"/>
        <v>0</v>
      </c>
      <c r="E406" s="272">
        <f t="shared" si="197"/>
        <v>0</v>
      </c>
      <c r="F406" s="272">
        <f t="shared" si="197"/>
        <v>0</v>
      </c>
      <c r="G406" s="272">
        <f t="shared" si="197"/>
        <v>0</v>
      </c>
      <c r="H406" s="272">
        <f t="shared" si="197"/>
        <v>0</v>
      </c>
      <c r="I406" s="272">
        <f t="shared" si="197"/>
        <v>0</v>
      </c>
      <c r="J406" s="272">
        <f t="shared" si="197"/>
        <v>0</v>
      </c>
      <c r="K406" s="272">
        <f t="shared" si="197"/>
        <v>0</v>
      </c>
      <c r="L406" s="272">
        <f t="shared" si="197"/>
        <v>0</v>
      </c>
      <c r="M406" s="272">
        <f t="shared" si="197"/>
        <v>0</v>
      </c>
      <c r="N406" s="272">
        <f t="shared" si="197"/>
        <v>0</v>
      </c>
      <c r="O406" s="272">
        <f t="shared" si="197"/>
        <v>0</v>
      </c>
      <c r="P406" s="272">
        <f t="shared" si="197"/>
        <v>0</v>
      </c>
      <c r="Q406" s="272">
        <f t="shared" si="197"/>
        <v>0</v>
      </c>
      <c r="R406" s="272">
        <f t="shared" si="197"/>
        <v>0</v>
      </c>
      <c r="S406" s="272">
        <f t="shared" si="197"/>
        <v>0</v>
      </c>
      <c r="T406" s="272">
        <f t="shared" si="197"/>
        <v>0</v>
      </c>
      <c r="U406" s="272">
        <f t="shared" si="197"/>
        <v>0</v>
      </c>
      <c r="V406" s="272">
        <f t="shared" si="197"/>
        <v>0</v>
      </c>
      <c r="W406" s="272">
        <f t="shared" si="197"/>
        <v>0</v>
      </c>
      <c r="X406" s="272">
        <f t="shared" si="197"/>
        <v>0</v>
      </c>
      <c r="Y406" s="272">
        <f t="shared" si="197"/>
        <v>0</v>
      </c>
      <c r="Z406" s="272">
        <f t="shared" si="197"/>
        <v>0</v>
      </c>
      <c r="AA406" s="272">
        <f t="shared" si="197"/>
        <v>0</v>
      </c>
      <c r="AB406" s="272">
        <f t="shared" si="197"/>
        <v>0</v>
      </c>
      <c r="AC406" s="272">
        <f t="shared" si="197"/>
        <v>0</v>
      </c>
      <c r="AD406" s="272">
        <f t="shared" si="197"/>
        <v>0</v>
      </c>
      <c r="AE406" s="272">
        <f t="shared" si="197"/>
        <v>0</v>
      </c>
      <c r="AF406" s="272">
        <f t="shared" si="197"/>
        <v>0</v>
      </c>
      <c r="AG406" s="272">
        <f t="shared" si="197"/>
        <v>0</v>
      </c>
      <c r="AH406" s="272">
        <f t="shared" si="197"/>
        <v>0</v>
      </c>
      <c r="AI406" s="272">
        <f t="shared" si="197"/>
        <v>0</v>
      </c>
      <c r="AJ406" s="272">
        <f t="shared" si="197"/>
        <v>0</v>
      </c>
      <c r="AK406" s="272">
        <f t="shared" si="197"/>
        <v>0</v>
      </c>
      <c r="AL406" s="272">
        <f t="shared" si="197"/>
        <v>0</v>
      </c>
      <c r="AM406" s="272">
        <f t="shared" si="197"/>
        <v>0</v>
      </c>
      <c r="AN406" s="272">
        <f t="shared" si="197"/>
        <v>0</v>
      </c>
      <c r="AO406" s="272">
        <f t="shared" si="197"/>
        <v>0</v>
      </c>
      <c r="AP406" s="272">
        <f t="shared" si="197"/>
        <v>0</v>
      </c>
    </row>
    <row r="407" spans="1:42" x14ac:dyDescent="0.2">
      <c r="A407" s="21">
        <f>A406+1</f>
        <v>9</v>
      </c>
      <c r="C407" s="272">
        <f t="shared" ref="C407:AP407" si="198">C274</f>
        <v>0</v>
      </c>
      <c r="D407" s="272">
        <f t="shared" si="198"/>
        <v>0</v>
      </c>
      <c r="E407" s="272">
        <f t="shared" si="198"/>
        <v>0</v>
      </c>
      <c r="F407" s="272">
        <f t="shared" si="198"/>
        <v>0</v>
      </c>
      <c r="G407" s="272">
        <f t="shared" si="198"/>
        <v>0</v>
      </c>
      <c r="H407" s="272">
        <f t="shared" si="198"/>
        <v>0</v>
      </c>
      <c r="I407" s="272">
        <f t="shared" si="198"/>
        <v>0</v>
      </c>
      <c r="J407" s="272">
        <f t="shared" si="198"/>
        <v>0</v>
      </c>
      <c r="K407" s="272">
        <f t="shared" si="198"/>
        <v>0</v>
      </c>
      <c r="L407" s="272">
        <f t="shared" si="198"/>
        <v>0</v>
      </c>
      <c r="M407" s="272">
        <f t="shared" si="198"/>
        <v>0</v>
      </c>
      <c r="N407" s="272">
        <f t="shared" si="198"/>
        <v>0</v>
      </c>
      <c r="O407" s="272">
        <f t="shared" si="198"/>
        <v>0</v>
      </c>
      <c r="P407" s="272">
        <f t="shared" si="198"/>
        <v>0</v>
      </c>
      <c r="Q407" s="272">
        <f t="shared" si="198"/>
        <v>0</v>
      </c>
      <c r="R407" s="272">
        <f t="shared" si="198"/>
        <v>0</v>
      </c>
      <c r="S407" s="272">
        <f t="shared" si="198"/>
        <v>0</v>
      </c>
      <c r="T407" s="272">
        <f t="shared" si="198"/>
        <v>0</v>
      </c>
      <c r="U407" s="272">
        <f t="shared" si="198"/>
        <v>0</v>
      </c>
      <c r="V407" s="272">
        <f t="shared" si="198"/>
        <v>0</v>
      </c>
      <c r="W407" s="272">
        <f t="shared" si="198"/>
        <v>0</v>
      </c>
      <c r="X407" s="272">
        <f t="shared" si="198"/>
        <v>0</v>
      </c>
      <c r="Y407" s="272">
        <f t="shared" si="198"/>
        <v>0</v>
      </c>
      <c r="Z407" s="272">
        <f t="shared" si="198"/>
        <v>0</v>
      </c>
      <c r="AA407" s="272">
        <f t="shared" si="198"/>
        <v>0</v>
      </c>
      <c r="AB407" s="272">
        <f t="shared" si="198"/>
        <v>0</v>
      </c>
      <c r="AC407" s="272">
        <f t="shared" si="198"/>
        <v>0</v>
      </c>
      <c r="AD407" s="272">
        <f t="shared" si="198"/>
        <v>0</v>
      </c>
      <c r="AE407" s="272">
        <f t="shared" si="198"/>
        <v>0</v>
      </c>
      <c r="AF407" s="272">
        <f t="shared" si="198"/>
        <v>0</v>
      </c>
      <c r="AG407" s="272">
        <f t="shared" si="198"/>
        <v>0</v>
      </c>
      <c r="AH407" s="272">
        <f t="shared" si="198"/>
        <v>0</v>
      </c>
      <c r="AI407" s="272">
        <f t="shared" si="198"/>
        <v>0</v>
      </c>
      <c r="AJ407" s="272">
        <f t="shared" si="198"/>
        <v>0</v>
      </c>
      <c r="AK407" s="272">
        <f t="shared" si="198"/>
        <v>0</v>
      </c>
      <c r="AL407" s="272">
        <f t="shared" si="198"/>
        <v>0</v>
      </c>
      <c r="AM407" s="272">
        <f t="shared" si="198"/>
        <v>0</v>
      </c>
      <c r="AN407" s="272">
        <f t="shared" si="198"/>
        <v>0</v>
      </c>
      <c r="AO407" s="272">
        <f t="shared" si="198"/>
        <v>0</v>
      </c>
      <c r="AP407" s="272">
        <f t="shared" si="198"/>
        <v>0</v>
      </c>
    </row>
    <row r="408" spans="1:42" x14ac:dyDescent="0.2">
      <c r="A408" s="21">
        <f t="shared" ref="A408" si="199">A407+1</f>
        <v>10</v>
      </c>
      <c r="C408" s="272">
        <f t="shared" ref="C408:AP408" si="200">C275</f>
        <v>0</v>
      </c>
      <c r="D408" s="272">
        <f t="shared" si="200"/>
        <v>0</v>
      </c>
      <c r="E408" s="272">
        <f t="shared" si="200"/>
        <v>0</v>
      </c>
      <c r="F408" s="272">
        <f t="shared" si="200"/>
        <v>0</v>
      </c>
      <c r="G408" s="272">
        <f t="shared" si="200"/>
        <v>0</v>
      </c>
      <c r="H408" s="272">
        <f t="shared" si="200"/>
        <v>0</v>
      </c>
      <c r="I408" s="272">
        <f t="shared" si="200"/>
        <v>0</v>
      </c>
      <c r="J408" s="272">
        <f t="shared" si="200"/>
        <v>0</v>
      </c>
      <c r="K408" s="272">
        <f t="shared" si="200"/>
        <v>0</v>
      </c>
      <c r="L408" s="272">
        <f t="shared" si="200"/>
        <v>0</v>
      </c>
      <c r="M408" s="272">
        <f t="shared" si="200"/>
        <v>0</v>
      </c>
      <c r="N408" s="272">
        <f t="shared" si="200"/>
        <v>0</v>
      </c>
      <c r="O408" s="272">
        <f t="shared" si="200"/>
        <v>0</v>
      </c>
      <c r="P408" s="272">
        <f t="shared" si="200"/>
        <v>0</v>
      </c>
      <c r="Q408" s="272">
        <f t="shared" si="200"/>
        <v>0</v>
      </c>
      <c r="R408" s="272">
        <f t="shared" si="200"/>
        <v>0</v>
      </c>
      <c r="S408" s="272">
        <f t="shared" si="200"/>
        <v>0</v>
      </c>
      <c r="T408" s="272">
        <f t="shared" si="200"/>
        <v>0</v>
      </c>
      <c r="U408" s="272">
        <f t="shared" si="200"/>
        <v>0</v>
      </c>
      <c r="V408" s="272">
        <f t="shared" si="200"/>
        <v>0</v>
      </c>
      <c r="W408" s="272">
        <f t="shared" si="200"/>
        <v>0</v>
      </c>
      <c r="X408" s="272">
        <f t="shared" si="200"/>
        <v>0</v>
      </c>
      <c r="Y408" s="272">
        <f t="shared" si="200"/>
        <v>0</v>
      </c>
      <c r="Z408" s="272">
        <f t="shared" si="200"/>
        <v>0</v>
      </c>
      <c r="AA408" s="272">
        <f t="shared" si="200"/>
        <v>0</v>
      </c>
      <c r="AB408" s="272">
        <f t="shared" si="200"/>
        <v>0</v>
      </c>
      <c r="AC408" s="272">
        <f t="shared" si="200"/>
        <v>0</v>
      </c>
      <c r="AD408" s="272">
        <f t="shared" si="200"/>
        <v>0</v>
      </c>
      <c r="AE408" s="272">
        <f t="shared" si="200"/>
        <v>0</v>
      </c>
      <c r="AF408" s="272">
        <f t="shared" si="200"/>
        <v>0</v>
      </c>
      <c r="AG408" s="272">
        <f t="shared" si="200"/>
        <v>0</v>
      </c>
      <c r="AH408" s="272">
        <f t="shared" si="200"/>
        <v>0</v>
      </c>
      <c r="AI408" s="272">
        <f t="shared" si="200"/>
        <v>0</v>
      </c>
      <c r="AJ408" s="272">
        <f t="shared" si="200"/>
        <v>0</v>
      </c>
      <c r="AK408" s="272">
        <f t="shared" si="200"/>
        <v>0</v>
      </c>
      <c r="AL408" s="272">
        <f t="shared" si="200"/>
        <v>0</v>
      </c>
      <c r="AM408" s="272">
        <f t="shared" si="200"/>
        <v>0</v>
      </c>
      <c r="AN408" s="272">
        <f t="shared" si="200"/>
        <v>0</v>
      </c>
      <c r="AO408" s="272">
        <f t="shared" si="200"/>
        <v>0</v>
      </c>
      <c r="AP408" s="272">
        <f t="shared" si="200"/>
        <v>0</v>
      </c>
    </row>
    <row r="409" spans="1:42" x14ac:dyDescent="0.2">
      <c r="A409" s="3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x14ac:dyDescent="0.2">
      <c r="A410" s="38" t="s">
        <v>112</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x14ac:dyDescent="0.2">
      <c r="A411" s="21">
        <v>1</v>
      </c>
      <c r="B411" s="292">
        <f t="shared" ref="B411:B420" si="201">SUM(C411:AP411)</f>
        <v>6560433.2890063301</v>
      </c>
      <c r="C411" s="294">
        <f>LOOKUP(C399,$B$394:$AP$394,$B$395:$AP$395)*$B566/100</f>
        <v>0</v>
      </c>
      <c r="D411" s="294">
        <f t="shared" ref="D411:AP411" si="202">LOOKUP(D399,$B$394:$AP$394,$B$395:$AP$395)*$B566/100</f>
        <v>0</v>
      </c>
      <c r="E411" s="294">
        <f t="shared" si="202"/>
        <v>0</v>
      </c>
      <c r="F411" s="294">
        <f t="shared" si="202"/>
        <v>0</v>
      </c>
      <c r="G411" s="294">
        <f t="shared" si="202"/>
        <v>0</v>
      </c>
      <c r="H411" s="294">
        <f t="shared" si="202"/>
        <v>0</v>
      </c>
      <c r="I411" s="294">
        <f t="shared" si="202"/>
        <v>0</v>
      </c>
      <c r="J411" s="294">
        <f t="shared" si="202"/>
        <v>0</v>
      </c>
      <c r="K411" s="294">
        <f t="shared" si="202"/>
        <v>0</v>
      </c>
      <c r="L411" s="294">
        <f t="shared" si="202"/>
        <v>0</v>
      </c>
      <c r="M411" s="294">
        <f t="shared" si="202"/>
        <v>0</v>
      </c>
      <c r="N411" s="294">
        <f t="shared" si="202"/>
        <v>1312086.6578012661</v>
      </c>
      <c r="O411" s="294">
        <f t="shared" si="202"/>
        <v>2099338.6524820258</v>
      </c>
      <c r="P411" s="294">
        <f t="shared" si="202"/>
        <v>1259603.1914892152</v>
      </c>
      <c r="Q411" s="294">
        <f t="shared" si="202"/>
        <v>755761.91489352926</v>
      </c>
      <c r="R411" s="294">
        <f t="shared" si="202"/>
        <v>755761.91489352926</v>
      </c>
      <c r="S411" s="294">
        <f t="shared" si="202"/>
        <v>377880.95744676463</v>
      </c>
      <c r="T411" s="294">
        <f t="shared" si="202"/>
        <v>0</v>
      </c>
      <c r="U411" s="294">
        <f t="shared" si="202"/>
        <v>0</v>
      </c>
      <c r="V411" s="294">
        <f t="shared" si="202"/>
        <v>0</v>
      </c>
      <c r="W411" s="294">
        <f t="shared" si="202"/>
        <v>0</v>
      </c>
      <c r="X411" s="294">
        <f t="shared" si="202"/>
        <v>0</v>
      </c>
      <c r="Y411" s="294">
        <f t="shared" si="202"/>
        <v>0</v>
      </c>
      <c r="Z411" s="294">
        <f t="shared" si="202"/>
        <v>0</v>
      </c>
      <c r="AA411" s="294">
        <f t="shared" si="202"/>
        <v>0</v>
      </c>
      <c r="AB411" s="294">
        <f t="shared" si="202"/>
        <v>0</v>
      </c>
      <c r="AC411" s="294">
        <f t="shared" si="202"/>
        <v>0</v>
      </c>
      <c r="AD411" s="294">
        <f t="shared" si="202"/>
        <v>0</v>
      </c>
      <c r="AE411" s="294">
        <f t="shared" si="202"/>
        <v>0</v>
      </c>
      <c r="AF411" s="294">
        <f t="shared" si="202"/>
        <v>0</v>
      </c>
      <c r="AG411" s="294">
        <f t="shared" si="202"/>
        <v>0</v>
      </c>
      <c r="AH411" s="294">
        <f t="shared" si="202"/>
        <v>0</v>
      </c>
      <c r="AI411" s="294">
        <f t="shared" si="202"/>
        <v>0</v>
      </c>
      <c r="AJ411" s="294">
        <f t="shared" si="202"/>
        <v>0</v>
      </c>
      <c r="AK411" s="294">
        <f t="shared" si="202"/>
        <v>0</v>
      </c>
      <c r="AL411" s="294">
        <f t="shared" si="202"/>
        <v>0</v>
      </c>
      <c r="AM411" s="294">
        <f t="shared" si="202"/>
        <v>0</v>
      </c>
      <c r="AN411" s="294">
        <f t="shared" si="202"/>
        <v>0</v>
      </c>
      <c r="AO411" s="294">
        <f t="shared" si="202"/>
        <v>0</v>
      </c>
      <c r="AP411" s="294">
        <f t="shared" si="202"/>
        <v>0</v>
      </c>
    </row>
    <row r="412" spans="1:42" x14ac:dyDescent="0.2">
      <c r="A412" s="21">
        <f>A411+1</f>
        <v>2</v>
      </c>
      <c r="B412" s="292">
        <f t="shared" si="201"/>
        <v>4587987.7745509576</v>
      </c>
      <c r="C412" s="294">
        <f t="shared" ref="C412:AP412" si="203">LOOKUP(C400,$B$394:$AP$394,$B$395:$AP$395)*$B567/100</f>
        <v>0</v>
      </c>
      <c r="D412" s="294">
        <f t="shared" si="203"/>
        <v>0</v>
      </c>
      <c r="E412" s="294">
        <f t="shared" si="203"/>
        <v>0</v>
      </c>
      <c r="F412" s="294">
        <f t="shared" si="203"/>
        <v>0</v>
      </c>
      <c r="G412" s="294">
        <f t="shared" si="203"/>
        <v>0</v>
      </c>
      <c r="H412" s="294">
        <f t="shared" si="203"/>
        <v>0</v>
      </c>
      <c r="I412" s="294">
        <f t="shared" si="203"/>
        <v>0</v>
      </c>
      <c r="J412" s="294">
        <f t="shared" si="203"/>
        <v>0</v>
      </c>
      <c r="K412" s="294">
        <f t="shared" si="203"/>
        <v>0</v>
      </c>
      <c r="L412" s="294">
        <f t="shared" si="203"/>
        <v>0</v>
      </c>
      <c r="M412" s="294">
        <f t="shared" si="203"/>
        <v>0</v>
      </c>
      <c r="N412" s="294">
        <f t="shared" si="203"/>
        <v>0</v>
      </c>
      <c r="O412" s="294">
        <f t="shared" si="203"/>
        <v>0</v>
      </c>
      <c r="P412" s="294">
        <f t="shared" si="203"/>
        <v>0</v>
      </c>
      <c r="Q412" s="294">
        <f t="shared" si="203"/>
        <v>0</v>
      </c>
      <c r="R412" s="294">
        <f t="shared" si="203"/>
        <v>0</v>
      </c>
      <c r="S412" s="294">
        <f t="shared" si="203"/>
        <v>0</v>
      </c>
      <c r="T412" s="294">
        <f t="shared" si="203"/>
        <v>0</v>
      </c>
      <c r="U412" s="294">
        <f t="shared" si="203"/>
        <v>0</v>
      </c>
      <c r="V412" s="294">
        <f t="shared" si="203"/>
        <v>0</v>
      </c>
      <c r="W412" s="294">
        <f t="shared" si="203"/>
        <v>0</v>
      </c>
      <c r="X412" s="294">
        <f t="shared" si="203"/>
        <v>0</v>
      </c>
      <c r="Y412" s="294">
        <f t="shared" si="203"/>
        <v>0</v>
      </c>
      <c r="Z412" s="294">
        <f t="shared" si="203"/>
        <v>1764610.6825195991</v>
      </c>
      <c r="AA412" s="294">
        <f t="shared" si="203"/>
        <v>2823377.0920313583</v>
      </c>
      <c r="AB412" s="294">
        <f t="shared" si="203"/>
        <v>0</v>
      </c>
      <c r="AC412" s="294">
        <f t="shared" si="203"/>
        <v>0</v>
      </c>
      <c r="AD412" s="294">
        <f t="shared" si="203"/>
        <v>0</v>
      </c>
      <c r="AE412" s="294">
        <f t="shared" si="203"/>
        <v>0</v>
      </c>
      <c r="AF412" s="294">
        <f t="shared" si="203"/>
        <v>0</v>
      </c>
      <c r="AG412" s="294">
        <f t="shared" si="203"/>
        <v>0</v>
      </c>
      <c r="AH412" s="294">
        <f t="shared" si="203"/>
        <v>0</v>
      </c>
      <c r="AI412" s="294">
        <f t="shared" si="203"/>
        <v>0</v>
      </c>
      <c r="AJ412" s="294">
        <f t="shared" si="203"/>
        <v>0</v>
      </c>
      <c r="AK412" s="294">
        <f t="shared" si="203"/>
        <v>0</v>
      </c>
      <c r="AL412" s="294">
        <f t="shared" si="203"/>
        <v>0</v>
      </c>
      <c r="AM412" s="294">
        <f t="shared" si="203"/>
        <v>0</v>
      </c>
      <c r="AN412" s="294">
        <f t="shared" si="203"/>
        <v>0</v>
      </c>
      <c r="AO412" s="294">
        <f t="shared" si="203"/>
        <v>0</v>
      </c>
      <c r="AP412" s="294">
        <f t="shared" si="203"/>
        <v>0</v>
      </c>
    </row>
    <row r="413" spans="1:42" x14ac:dyDescent="0.2">
      <c r="A413" s="21">
        <f t="shared" ref="A413:A418" si="204">A412+1</f>
        <v>3</v>
      </c>
      <c r="B413" s="292">
        <f t="shared" si="201"/>
        <v>0</v>
      </c>
      <c r="C413" s="294">
        <f t="shared" ref="C413:AP413" si="205">LOOKUP(C401,$B$394:$AP$394,$B$395:$AP$395)*$B568/100</f>
        <v>0</v>
      </c>
      <c r="D413" s="294">
        <f t="shared" si="205"/>
        <v>0</v>
      </c>
      <c r="E413" s="294">
        <f t="shared" si="205"/>
        <v>0</v>
      </c>
      <c r="F413" s="294">
        <f t="shared" si="205"/>
        <v>0</v>
      </c>
      <c r="G413" s="294">
        <f t="shared" si="205"/>
        <v>0</v>
      </c>
      <c r="H413" s="294">
        <f t="shared" si="205"/>
        <v>0</v>
      </c>
      <c r="I413" s="294">
        <f t="shared" si="205"/>
        <v>0</v>
      </c>
      <c r="J413" s="294">
        <f t="shared" si="205"/>
        <v>0</v>
      </c>
      <c r="K413" s="294">
        <f t="shared" si="205"/>
        <v>0</v>
      </c>
      <c r="L413" s="294">
        <f t="shared" si="205"/>
        <v>0</v>
      </c>
      <c r="M413" s="294">
        <f t="shared" si="205"/>
        <v>0</v>
      </c>
      <c r="N413" s="294">
        <f t="shared" si="205"/>
        <v>0</v>
      </c>
      <c r="O413" s="294">
        <f t="shared" si="205"/>
        <v>0</v>
      </c>
      <c r="P413" s="294">
        <f t="shared" si="205"/>
        <v>0</v>
      </c>
      <c r="Q413" s="294">
        <f t="shared" si="205"/>
        <v>0</v>
      </c>
      <c r="R413" s="294">
        <f t="shared" si="205"/>
        <v>0</v>
      </c>
      <c r="S413" s="294">
        <f t="shared" si="205"/>
        <v>0</v>
      </c>
      <c r="T413" s="294">
        <f t="shared" si="205"/>
        <v>0</v>
      </c>
      <c r="U413" s="294">
        <f t="shared" si="205"/>
        <v>0</v>
      </c>
      <c r="V413" s="294">
        <f t="shared" si="205"/>
        <v>0</v>
      </c>
      <c r="W413" s="294">
        <f t="shared" si="205"/>
        <v>0</v>
      </c>
      <c r="X413" s="294">
        <f t="shared" si="205"/>
        <v>0</v>
      </c>
      <c r="Y413" s="294">
        <f t="shared" si="205"/>
        <v>0</v>
      </c>
      <c r="Z413" s="294">
        <f t="shared" si="205"/>
        <v>0</v>
      </c>
      <c r="AA413" s="294">
        <f t="shared" si="205"/>
        <v>0</v>
      </c>
      <c r="AB413" s="294">
        <f t="shared" si="205"/>
        <v>0</v>
      </c>
      <c r="AC413" s="294">
        <f t="shared" si="205"/>
        <v>0</v>
      </c>
      <c r="AD413" s="294">
        <f t="shared" si="205"/>
        <v>0</v>
      </c>
      <c r="AE413" s="294">
        <f t="shared" si="205"/>
        <v>0</v>
      </c>
      <c r="AF413" s="294">
        <f t="shared" si="205"/>
        <v>0</v>
      </c>
      <c r="AG413" s="294">
        <f t="shared" si="205"/>
        <v>0</v>
      </c>
      <c r="AH413" s="294">
        <f t="shared" si="205"/>
        <v>0</v>
      </c>
      <c r="AI413" s="294">
        <f t="shared" si="205"/>
        <v>0</v>
      </c>
      <c r="AJ413" s="294">
        <f t="shared" si="205"/>
        <v>0</v>
      </c>
      <c r="AK413" s="294">
        <f t="shared" si="205"/>
        <v>0</v>
      </c>
      <c r="AL413" s="294">
        <f t="shared" si="205"/>
        <v>0</v>
      </c>
      <c r="AM413" s="294">
        <f t="shared" si="205"/>
        <v>0</v>
      </c>
      <c r="AN413" s="294">
        <f t="shared" si="205"/>
        <v>0</v>
      </c>
      <c r="AO413" s="294">
        <f t="shared" si="205"/>
        <v>0</v>
      </c>
      <c r="AP413" s="294">
        <f t="shared" si="205"/>
        <v>0</v>
      </c>
    </row>
    <row r="414" spans="1:42" x14ac:dyDescent="0.2">
      <c r="A414" s="21">
        <f t="shared" si="204"/>
        <v>4</v>
      </c>
      <c r="B414" s="292">
        <f t="shared" si="201"/>
        <v>0</v>
      </c>
      <c r="C414" s="294">
        <f t="shared" ref="C414:AP414" si="206">LOOKUP(C402,$B$394:$AP$394,$B$395:$AP$395)*$B569/100</f>
        <v>0</v>
      </c>
      <c r="D414" s="294">
        <f t="shared" si="206"/>
        <v>0</v>
      </c>
      <c r="E414" s="294">
        <f t="shared" si="206"/>
        <v>0</v>
      </c>
      <c r="F414" s="294">
        <f t="shared" si="206"/>
        <v>0</v>
      </c>
      <c r="G414" s="294">
        <f t="shared" si="206"/>
        <v>0</v>
      </c>
      <c r="H414" s="294">
        <f t="shared" si="206"/>
        <v>0</v>
      </c>
      <c r="I414" s="294">
        <f t="shared" si="206"/>
        <v>0</v>
      </c>
      <c r="J414" s="294">
        <f t="shared" si="206"/>
        <v>0</v>
      </c>
      <c r="K414" s="294">
        <f t="shared" si="206"/>
        <v>0</v>
      </c>
      <c r="L414" s="294">
        <f t="shared" si="206"/>
        <v>0</v>
      </c>
      <c r="M414" s="294">
        <f t="shared" si="206"/>
        <v>0</v>
      </c>
      <c r="N414" s="294">
        <f t="shared" si="206"/>
        <v>0</v>
      </c>
      <c r="O414" s="294">
        <f t="shared" si="206"/>
        <v>0</v>
      </c>
      <c r="P414" s="294">
        <f t="shared" si="206"/>
        <v>0</v>
      </c>
      <c r="Q414" s="294">
        <f t="shared" si="206"/>
        <v>0</v>
      </c>
      <c r="R414" s="294">
        <f t="shared" si="206"/>
        <v>0</v>
      </c>
      <c r="S414" s="294">
        <f t="shared" si="206"/>
        <v>0</v>
      </c>
      <c r="T414" s="294">
        <f t="shared" si="206"/>
        <v>0</v>
      </c>
      <c r="U414" s="294">
        <f t="shared" si="206"/>
        <v>0</v>
      </c>
      <c r="V414" s="294">
        <f t="shared" si="206"/>
        <v>0</v>
      </c>
      <c r="W414" s="294">
        <f t="shared" si="206"/>
        <v>0</v>
      </c>
      <c r="X414" s="294">
        <f t="shared" si="206"/>
        <v>0</v>
      </c>
      <c r="Y414" s="294">
        <f t="shared" si="206"/>
        <v>0</v>
      </c>
      <c r="Z414" s="294">
        <f t="shared" si="206"/>
        <v>0</v>
      </c>
      <c r="AA414" s="294">
        <f t="shared" si="206"/>
        <v>0</v>
      </c>
      <c r="AB414" s="294">
        <f t="shared" si="206"/>
        <v>0</v>
      </c>
      <c r="AC414" s="294">
        <f t="shared" si="206"/>
        <v>0</v>
      </c>
      <c r="AD414" s="294">
        <f t="shared" si="206"/>
        <v>0</v>
      </c>
      <c r="AE414" s="294">
        <f t="shared" si="206"/>
        <v>0</v>
      </c>
      <c r="AF414" s="294">
        <f t="shared" si="206"/>
        <v>0</v>
      </c>
      <c r="AG414" s="294">
        <f t="shared" si="206"/>
        <v>0</v>
      </c>
      <c r="AH414" s="294">
        <f t="shared" si="206"/>
        <v>0</v>
      </c>
      <c r="AI414" s="294">
        <f t="shared" si="206"/>
        <v>0</v>
      </c>
      <c r="AJ414" s="294">
        <f t="shared" si="206"/>
        <v>0</v>
      </c>
      <c r="AK414" s="294">
        <f t="shared" si="206"/>
        <v>0</v>
      </c>
      <c r="AL414" s="294">
        <f t="shared" si="206"/>
        <v>0</v>
      </c>
      <c r="AM414" s="294">
        <f t="shared" si="206"/>
        <v>0</v>
      </c>
      <c r="AN414" s="294">
        <f t="shared" si="206"/>
        <v>0</v>
      </c>
      <c r="AO414" s="294">
        <f t="shared" si="206"/>
        <v>0</v>
      </c>
      <c r="AP414" s="294">
        <f t="shared" si="206"/>
        <v>0</v>
      </c>
    </row>
    <row r="415" spans="1:42" x14ac:dyDescent="0.2">
      <c r="A415" s="21">
        <f t="shared" si="204"/>
        <v>5</v>
      </c>
      <c r="B415" s="292">
        <f t="shared" si="201"/>
        <v>0</v>
      </c>
      <c r="C415" s="294">
        <f t="shared" ref="C415:AP415" si="207">LOOKUP(C403,$B$394:$AP$394,$B$395:$AP$395)*$B570/100</f>
        <v>0</v>
      </c>
      <c r="D415" s="294">
        <f t="shared" si="207"/>
        <v>0</v>
      </c>
      <c r="E415" s="294">
        <f t="shared" si="207"/>
        <v>0</v>
      </c>
      <c r="F415" s="294">
        <f t="shared" si="207"/>
        <v>0</v>
      </c>
      <c r="G415" s="294">
        <f t="shared" si="207"/>
        <v>0</v>
      </c>
      <c r="H415" s="294">
        <f t="shared" si="207"/>
        <v>0</v>
      </c>
      <c r="I415" s="294">
        <f t="shared" si="207"/>
        <v>0</v>
      </c>
      <c r="J415" s="294">
        <f t="shared" si="207"/>
        <v>0</v>
      </c>
      <c r="K415" s="294">
        <f t="shared" si="207"/>
        <v>0</v>
      </c>
      <c r="L415" s="294">
        <f t="shared" si="207"/>
        <v>0</v>
      </c>
      <c r="M415" s="294">
        <f t="shared" si="207"/>
        <v>0</v>
      </c>
      <c r="N415" s="294">
        <f t="shared" si="207"/>
        <v>0</v>
      </c>
      <c r="O415" s="294">
        <f t="shared" si="207"/>
        <v>0</v>
      </c>
      <c r="P415" s="294">
        <f t="shared" si="207"/>
        <v>0</v>
      </c>
      <c r="Q415" s="294">
        <f t="shared" si="207"/>
        <v>0</v>
      </c>
      <c r="R415" s="294">
        <f t="shared" si="207"/>
        <v>0</v>
      </c>
      <c r="S415" s="294">
        <f t="shared" si="207"/>
        <v>0</v>
      </c>
      <c r="T415" s="294">
        <f t="shared" si="207"/>
        <v>0</v>
      </c>
      <c r="U415" s="294">
        <f t="shared" si="207"/>
        <v>0</v>
      </c>
      <c r="V415" s="294">
        <f t="shared" si="207"/>
        <v>0</v>
      </c>
      <c r="W415" s="294">
        <f t="shared" si="207"/>
        <v>0</v>
      </c>
      <c r="X415" s="294">
        <f t="shared" si="207"/>
        <v>0</v>
      </c>
      <c r="Y415" s="294">
        <f t="shared" si="207"/>
        <v>0</v>
      </c>
      <c r="Z415" s="294">
        <f t="shared" si="207"/>
        <v>0</v>
      </c>
      <c r="AA415" s="294">
        <f t="shared" si="207"/>
        <v>0</v>
      </c>
      <c r="AB415" s="294">
        <f t="shared" si="207"/>
        <v>0</v>
      </c>
      <c r="AC415" s="294">
        <f t="shared" si="207"/>
        <v>0</v>
      </c>
      <c r="AD415" s="294">
        <f t="shared" si="207"/>
        <v>0</v>
      </c>
      <c r="AE415" s="294">
        <f t="shared" si="207"/>
        <v>0</v>
      </c>
      <c r="AF415" s="294">
        <f t="shared" si="207"/>
        <v>0</v>
      </c>
      <c r="AG415" s="294">
        <f t="shared" si="207"/>
        <v>0</v>
      </c>
      <c r="AH415" s="294">
        <f t="shared" si="207"/>
        <v>0</v>
      </c>
      <c r="AI415" s="294">
        <f t="shared" si="207"/>
        <v>0</v>
      </c>
      <c r="AJ415" s="294">
        <f t="shared" si="207"/>
        <v>0</v>
      </c>
      <c r="AK415" s="294">
        <f t="shared" si="207"/>
        <v>0</v>
      </c>
      <c r="AL415" s="294">
        <f t="shared" si="207"/>
        <v>0</v>
      </c>
      <c r="AM415" s="294">
        <f t="shared" si="207"/>
        <v>0</v>
      </c>
      <c r="AN415" s="294">
        <f t="shared" si="207"/>
        <v>0</v>
      </c>
      <c r="AO415" s="294">
        <f t="shared" si="207"/>
        <v>0</v>
      </c>
      <c r="AP415" s="294">
        <f t="shared" si="207"/>
        <v>0</v>
      </c>
    </row>
    <row r="416" spans="1:42" x14ac:dyDescent="0.2">
      <c r="A416" s="21">
        <f t="shared" si="204"/>
        <v>6</v>
      </c>
      <c r="B416" s="292">
        <f t="shared" si="201"/>
        <v>0</v>
      </c>
      <c r="C416" s="294">
        <f t="shared" ref="C416:AP416" si="208">LOOKUP(C404,$B$394:$AP$394,$B$395:$AP$395)*$B571/100</f>
        <v>0</v>
      </c>
      <c r="D416" s="294">
        <f t="shared" si="208"/>
        <v>0</v>
      </c>
      <c r="E416" s="294">
        <f t="shared" si="208"/>
        <v>0</v>
      </c>
      <c r="F416" s="294">
        <f t="shared" si="208"/>
        <v>0</v>
      </c>
      <c r="G416" s="294">
        <f t="shared" si="208"/>
        <v>0</v>
      </c>
      <c r="H416" s="294">
        <f t="shared" si="208"/>
        <v>0</v>
      </c>
      <c r="I416" s="294">
        <f t="shared" si="208"/>
        <v>0</v>
      </c>
      <c r="J416" s="294">
        <f t="shared" si="208"/>
        <v>0</v>
      </c>
      <c r="K416" s="294">
        <f t="shared" si="208"/>
        <v>0</v>
      </c>
      <c r="L416" s="294">
        <f t="shared" si="208"/>
        <v>0</v>
      </c>
      <c r="M416" s="294">
        <f t="shared" si="208"/>
        <v>0</v>
      </c>
      <c r="N416" s="294">
        <f t="shared" si="208"/>
        <v>0</v>
      </c>
      <c r="O416" s="294">
        <f t="shared" si="208"/>
        <v>0</v>
      </c>
      <c r="P416" s="294">
        <f t="shared" si="208"/>
        <v>0</v>
      </c>
      <c r="Q416" s="294">
        <f t="shared" si="208"/>
        <v>0</v>
      </c>
      <c r="R416" s="294">
        <f t="shared" si="208"/>
        <v>0</v>
      </c>
      <c r="S416" s="294">
        <f t="shared" si="208"/>
        <v>0</v>
      </c>
      <c r="T416" s="294">
        <f t="shared" si="208"/>
        <v>0</v>
      </c>
      <c r="U416" s="294">
        <f t="shared" si="208"/>
        <v>0</v>
      </c>
      <c r="V416" s="294">
        <f t="shared" si="208"/>
        <v>0</v>
      </c>
      <c r="W416" s="294">
        <f t="shared" si="208"/>
        <v>0</v>
      </c>
      <c r="X416" s="294">
        <f t="shared" si="208"/>
        <v>0</v>
      </c>
      <c r="Y416" s="294">
        <f t="shared" si="208"/>
        <v>0</v>
      </c>
      <c r="Z416" s="294">
        <f t="shared" si="208"/>
        <v>0</v>
      </c>
      <c r="AA416" s="294">
        <f t="shared" si="208"/>
        <v>0</v>
      </c>
      <c r="AB416" s="294">
        <f t="shared" si="208"/>
        <v>0</v>
      </c>
      <c r="AC416" s="294">
        <f t="shared" si="208"/>
        <v>0</v>
      </c>
      <c r="AD416" s="294">
        <f t="shared" si="208"/>
        <v>0</v>
      </c>
      <c r="AE416" s="294">
        <f t="shared" si="208"/>
        <v>0</v>
      </c>
      <c r="AF416" s="294">
        <f t="shared" si="208"/>
        <v>0</v>
      </c>
      <c r="AG416" s="294">
        <f t="shared" si="208"/>
        <v>0</v>
      </c>
      <c r="AH416" s="294">
        <f t="shared" si="208"/>
        <v>0</v>
      </c>
      <c r="AI416" s="294">
        <f t="shared" si="208"/>
        <v>0</v>
      </c>
      <c r="AJ416" s="294">
        <f t="shared" si="208"/>
        <v>0</v>
      </c>
      <c r="AK416" s="294">
        <f t="shared" si="208"/>
        <v>0</v>
      </c>
      <c r="AL416" s="294">
        <f t="shared" si="208"/>
        <v>0</v>
      </c>
      <c r="AM416" s="294">
        <f t="shared" si="208"/>
        <v>0</v>
      </c>
      <c r="AN416" s="294">
        <f t="shared" si="208"/>
        <v>0</v>
      </c>
      <c r="AO416" s="294">
        <f t="shared" si="208"/>
        <v>0</v>
      </c>
      <c r="AP416" s="294">
        <f t="shared" si="208"/>
        <v>0</v>
      </c>
    </row>
    <row r="417" spans="1:42" x14ac:dyDescent="0.2">
      <c r="A417" s="21">
        <f t="shared" si="204"/>
        <v>7</v>
      </c>
      <c r="B417" s="292">
        <f t="shared" si="201"/>
        <v>0</v>
      </c>
      <c r="C417" s="294">
        <f t="shared" ref="C417:AP417" si="209">LOOKUP(C405,$B$394:$AP$394,$B$395:$AP$395)*$B572/100</f>
        <v>0</v>
      </c>
      <c r="D417" s="294">
        <f t="shared" si="209"/>
        <v>0</v>
      </c>
      <c r="E417" s="294">
        <f t="shared" si="209"/>
        <v>0</v>
      </c>
      <c r="F417" s="294">
        <f t="shared" si="209"/>
        <v>0</v>
      </c>
      <c r="G417" s="294">
        <f t="shared" si="209"/>
        <v>0</v>
      </c>
      <c r="H417" s="294">
        <f t="shared" si="209"/>
        <v>0</v>
      </c>
      <c r="I417" s="294">
        <f t="shared" si="209"/>
        <v>0</v>
      </c>
      <c r="J417" s="294">
        <f t="shared" si="209"/>
        <v>0</v>
      </c>
      <c r="K417" s="294">
        <f t="shared" si="209"/>
        <v>0</v>
      </c>
      <c r="L417" s="294">
        <f t="shared" si="209"/>
        <v>0</v>
      </c>
      <c r="M417" s="294">
        <f t="shared" si="209"/>
        <v>0</v>
      </c>
      <c r="N417" s="294">
        <f t="shared" si="209"/>
        <v>0</v>
      </c>
      <c r="O417" s="294">
        <f t="shared" si="209"/>
        <v>0</v>
      </c>
      <c r="P417" s="294">
        <f t="shared" si="209"/>
        <v>0</v>
      </c>
      <c r="Q417" s="294">
        <f t="shared" si="209"/>
        <v>0</v>
      </c>
      <c r="R417" s="294">
        <f t="shared" si="209"/>
        <v>0</v>
      </c>
      <c r="S417" s="294">
        <f t="shared" si="209"/>
        <v>0</v>
      </c>
      <c r="T417" s="294">
        <f t="shared" si="209"/>
        <v>0</v>
      </c>
      <c r="U417" s="294">
        <f t="shared" si="209"/>
        <v>0</v>
      </c>
      <c r="V417" s="294">
        <f t="shared" si="209"/>
        <v>0</v>
      </c>
      <c r="W417" s="294">
        <f t="shared" si="209"/>
        <v>0</v>
      </c>
      <c r="X417" s="294">
        <f t="shared" si="209"/>
        <v>0</v>
      </c>
      <c r="Y417" s="294">
        <f t="shared" si="209"/>
        <v>0</v>
      </c>
      <c r="Z417" s="294">
        <f t="shared" si="209"/>
        <v>0</v>
      </c>
      <c r="AA417" s="294">
        <f t="shared" si="209"/>
        <v>0</v>
      </c>
      <c r="AB417" s="294">
        <f t="shared" si="209"/>
        <v>0</v>
      </c>
      <c r="AC417" s="294">
        <f t="shared" si="209"/>
        <v>0</v>
      </c>
      <c r="AD417" s="294">
        <f t="shared" si="209"/>
        <v>0</v>
      </c>
      <c r="AE417" s="294">
        <f t="shared" si="209"/>
        <v>0</v>
      </c>
      <c r="AF417" s="294">
        <f t="shared" si="209"/>
        <v>0</v>
      </c>
      <c r="AG417" s="294">
        <f t="shared" si="209"/>
        <v>0</v>
      </c>
      <c r="AH417" s="294">
        <f t="shared" si="209"/>
        <v>0</v>
      </c>
      <c r="AI417" s="294">
        <f t="shared" si="209"/>
        <v>0</v>
      </c>
      <c r="AJ417" s="294">
        <f t="shared" si="209"/>
        <v>0</v>
      </c>
      <c r="AK417" s="294">
        <f t="shared" si="209"/>
        <v>0</v>
      </c>
      <c r="AL417" s="294">
        <f t="shared" si="209"/>
        <v>0</v>
      </c>
      <c r="AM417" s="294">
        <f t="shared" si="209"/>
        <v>0</v>
      </c>
      <c r="AN417" s="294">
        <f t="shared" si="209"/>
        <v>0</v>
      </c>
      <c r="AO417" s="294">
        <f t="shared" si="209"/>
        <v>0</v>
      </c>
      <c r="AP417" s="294">
        <f t="shared" si="209"/>
        <v>0</v>
      </c>
    </row>
    <row r="418" spans="1:42" x14ac:dyDescent="0.2">
      <c r="A418" s="21">
        <f t="shared" si="204"/>
        <v>8</v>
      </c>
      <c r="B418" s="292">
        <f t="shared" si="201"/>
        <v>0</v>
      </c>
      <c r="C418" s="294">
        <f t="shared" ref="C418:AP418" si="210">LOOKUP(C406,$B$394:$AP$394,$B$395:$AP$395)*$B573/100</f>
        <v>0</v>
      </c>
      <c r="D418" s="294">
        <f t="shared" si="210"/>
        <v>0</v>
      </c>
      <c r="E418" s="294">
        <f t="shared" si="210"/>
        <v>0</v>
      </c>
      <c r="F418" s="294">
        <f t="shared" si="210"/>
        <v>0</v>
      </c>
      <c r="G418" s="294">
        <f t="shared" si="210"/>
        <v>0</v>
      </c>
      <c r="H418" s="294">
        <f t="shared" si="210"/>
        <v>0</v>
      </c>
      <c r="I418" s="294">
        <f t="shared" si="210"/>
        <v>0</v>
      </c>
      <c r="J418" s="294">
        <f t="shared" si="210"/>
        <v>0</v>
      </c>
      <c r="K418" s="294">
        <f t="shared" si="210"/>
        <v>0</v>
      </c>
      <c r="L418" s="294">
        <f t="shared" si="210"/>
        <v>0</v>
      </c>
      <c r="M418" s="294">
        <f t="shared" si="210"/>
        <v>0</v>
      </c>
      <c r="N418" s="294">
        <f t="shared" si="210"/>
        <v>0</v>
      </c>
      <c r="O418" s="294">
        <f t="shared" si="210"/>
        <v>0</v>
      </c>
      <c r="P418" s="294">
        <f t="shared" si="210"/>
        <v>0</v>
      </c>
      <c r="Q418" s="294">
        <f t="shared" si="210"/>
        <v>0</v>
      </c>
      <c r="R418" s="294">
        <f t="shared" si="210"/>
        <v>0</v>
      </c>
      <c r="S418" s="294">
        <f t="shared" si="210"/>
        <v>0</v>
      </c>
      <c r="T418" s="294">
        <f t="shared" si="210"/>
        <v>0</v>
      </c>
      <c r="U418" s="294">
        <f t="shared" si="210"/>
        <v>0</v>
      </c>
      <c r="V418" s="294">
        <f t="shared" si="210"/>
        <v>0</v>
      </c>
      <c r="W418" s="294">
        <f t="shared" si="210"/>
        <v>0</v>
      </c>
      <c r="X418" s="294">
        <f t="shared" si="210"/>
        <v>0</v>
      </c>
      <c r="Y418" s="294">
        <f t="shared" si="210"/>
        <v>0</v>
      </c>
      <c r="Z418" s="294">
        <f t="shared" si="210"/>
        <v>0</v>
      </c>
      <c r="AA418" s="294">
        <f t="shared" si="210"/>
        <v>0</v>
      </c>
      <c r="AB418" s="294">
        <f t="shared" si="210"/>
        <v>0</v>
      </c>
      <c r="AC418" s="294">
        <f t="shared" si="210"/>
        <v>0</v>
      </c>
      <c r="AD418" s="294">
        <f t="shared" si="210"/>
        <v>0</v>
      </c>
      <c r="AE418" s="294">
        <f t="shared" si="210"/>
        <v>0</v>
      </c>
      <c r="AF418" s="294">
        <f t="shared" si="210"/>
        <v>0</v>
      </c>
      <c r="AG418" s="294">
        <f t="shared" si="210"/>
        <v>0</v>
      </c>
      <c r="AH418" s="294">
        <f t="shared" si="210"/>
        <v>0</v>
      </c>
      <c r="AI418" s="294">
        <f t="shared" si="210"/>
        <v>0</v>
      </c>
      <c r="AJ418" s="294">
        <f t="shared" si="210"/>
        <v>0</v>
      </c>
      <c r="AK418" s="294">
        <f t="shared" si="210"/>
        <v>0</v>
      </c>
      <c r="AL418" s="294">
        <f t="shared" si="210"/>
        <v>0</v>
      </c>
      <c r="AM418" s="294">
        <f t="shared" si="210"/>
        <v>0</v>
      </c>
      <c r="AN418" s="294">
        <f t="shared" si="210"/>
        <v>0</v>
      </c>
      <c r="AO418" s="294">
        <f t="shared" si="210"/>
        <v>0</v>
      </c>
      <c r="AP418" s="294">
        <f t="shared" si="210"/>
        <v>0</v>
      </c>
    </row>
    <row r="419" spans="1:42" x14ac:dyDescent="0.2">
      <c r="A419" s="21">
        <f>A418+1</f>
        <v>9</v>
      </c>
      <c r="B419" s="292">
        <f t="shared" si="201"/>
        <v>0</v>
      </c>
      <c r="C419" s="294">
        <f t="shared" ref="C419:AP419" si="211">LOOKUP(C407,$B$394:$AP$394,$B$395:$AP$395)*$B574/100</f>
        <v>0</v>
      </c>
      <c r="D419" s="294">
        <f t="shared" si="211"/>
        <v>0</v>
      </c>
      <c r="E419" s="294">
        <f t="shared" si="211"/>
        <v>0</v>
      </c>
      <c r="F419" s="294">
        <f t="shared" si="211"/>
        <v>0</v>
      </c>
      <c r="G419" s="294">
        <f t="shared" si="211"/>
        <v>0</v>
      </c>
      <c r="H419" s="294">
        <f t="shared" si="211"/>
        <v>0</v>
      </c>
      <c r="I419" s="294">
        <f t="shared" si="211"/>
        <v>0</v>
      </c>
      <c r="J419" s="294">
        <f t="shared" si="211"/>
        <v>0</v>
      </c>
      <c r="K419" s="294">
        <f t="shared" si="211"/>
        <v>0</v>
      </c>
      <c r="L419" s="294">
        <f t="shared" si="211"/>
        <v>0</v>
      </c>
      <c r="M419" s="294">
        <f t="shared" si="211"/>
        <v>0</v>
      </c>
      <c r="N419" s="294">
        <f t="shared" si="211"/>
        <v>0</v>
      </c>
      <c r="O419" s="294">
        <f t="shared" si="211"/>
        <v>0</v>
      </c>
      <c r="P419" s="294">
        <f t="shared" si="211"/>
        <v>0</v>
      </c>
      <c r="Q419" s="294">
        <f t="shared" si="211"/>
        <v>0</v>
      </c>
      <c r="R419" s="294">
        <f t="shared" si="211"/>
        <v>0</v>
      </c>
      <c r="S419" s="294">
        <f t="shared" si="211"/>
        <v>0</v>
      </c>
      <c r="T419" s="294">
        <f t="shared" si="211"/>
        <v>0</v>
      </c>
      <c r="U419" s="294">
        <f t="shared" si="211"/>
        <v>0</v>
      </c>
      <c r="V419" s="294">
        <f t="shared" si="211"/>
        <v>0</v>
      </c>
      <c r="W419" s="294">
        <f t="shared" si="211"/>
        <v>0</v>
      </c>
      <c r="X419" s="294">
        <f t="shared" si="211"/>
        <v>0</v>
      </c>
      <c r="Y419" s="294">
        <f t="shared" si="211"/>
        <v>0</v>
      </c>
      <c r="Z419" s="294">
        <f t="shared" si="211"/>
        <v>0</v>
      </c>
      <c r="AA419" s="294">
        <f t="shared" si="211"/>
        <v>0</v>
      </c>
      <c r="AB419" s="294">
        <f t="shared" si="211"/>
        <v>0</v>
      </c>
      <c r="AC419" s="294">
        <f t="shared" si="211"/>
        <v>0</v>
      </c>
      <c r="AD419" s="294">
        <f t="shared" si="211"/>
        <v>0</v>
      </c>
      <c r="AE419" s="294">
        <f t="shared" si="211"/>
        <v>0</v>
      </c>
      <c r="AF419" s="294">
        <f t="shared" si="211"/>
        <v>0</v>
      </c>
      <c r="AG419" s="294">
        <f t="shared" si="211"/>
        <v>0</v>
      </c>
      <c r="AH419" s="294">
        <f t="shared" si="211"/>
        <v>0</v>
      </c>
      <c r="AI419" s="294">
        <f t="shared" si="211"/>
        <v>0</v>
      </c>
      <c r="AJ419" s="294">
        <f t="shared" si="211"/>
        <v>0</v>
      </c>
      <c r="AK419" s="294">
        <f t="shared" si="211"/>
        <v>0</v>
      </c>
      <c r="AL419" s="294">
        <f t="shared" si="211"/>
        <v>0</v>
      </c>
      <c r="AM419" s="294">
        <f t="shared" si="211"/>
        <v>0</v>
      </c>
      <c r="AN419" s="294">
        <f t="shared" si="211"/>
        <v>0</v>
      </c>
      <c r="AO419" s="294">
        <f t="shared" si="211"/>
        <v>0</v>
      </c>
      <c r="AP419" s="294">
        <f t="shared" si="211"/>
        <v>0</v>
      </c>
    </row>
    <row r="420" spans="1:42" x14ac:dyDescent="0.2">
      <c r="A420" s="21">
        <f t="shared" ref="A420" si="212">A419+1</f>
        <v>10</v>
      </c>
      <c r="B420" s="292">
        <f t="shared" si="201"/>
        <v>0</v>
      </c>
      <c r="C420" s="294">
        <f t="shared" ref="C420:AP420" si="213">LOOKUP(C408,$B$394:$AP$394,$B$395:$AP$395)*$B575/100</f>
        <v>0</v>
      </c>
      <c r="D420" s="294">
        <f t="shared" si="213"/>
        <v>0</v>
      </c>
      <c r="E420" s="294">
        <f t="shared" si="213"/>
        <v>0</v>
      </c>
      <c r="F420" s="294">
        <f t="shared" si="213"/>
        <v>0</v>
      </c>
      <c r="G420" s="294">
        <f t="shared" si="213"/>
        <v>0</v>
      </c>
      <c r="H420" s="294">
        <f t="shared" si="213"/>
        <v>0</v>
      </c>
      <c r="I420" s="294">
        <f t="shared" si="213"/>
        <v>0</v>
      </c>
      <c r="J420" s="294">
        <f t="shared" si="213"/>
        <v>0</v>
      </c>
      <c r="K420" s="294">
        <f t="shared" si="213"/>
        <v>0</v>
      </c>
      <c r="L420" s="294">
        <f t="shared" si="213"/>
        <v>0</v>
      </c>
      <c r="M420" s="294">
        <f t="shared" si="213"/>
        <v>0</v>
      </c>
      <c r="N420" s="294">
        <f t="shared" si="213"/>
        <v>0</v>
      </c>
      <c r="O420" s="294">
        <f t="shared" si="213"/>
        <v>0</v>
      </c>
      <c r="P420" s="294">
        <f t="shared" si="213"/>
        <v>0</v>
      </c>
      <c r="Q420" s="294">
        <f t="shared" si="213"/>
        <v>0</v>
      </c>
      <c r="R420" s="294">
        <f t="shared" si="213"/>
        <v>0</v>
      </c>
      <c r="S420" s="294">
        <f t="shared" si="213"/>
        <v>0</v>
      </c>
      <c r="T420" s="294">
        <f t="shared" si="213"/>
        <v>0</v>
      </c>
      <c r="U420" s="294">
        <f t="shared" si="213"/>
        <v>0</v>
      </c>
      <c r="V420" s="294">
        <f t="shared" si="213"/>
        <v>0</v>
      </c>
      <c r="W420" s="294">
        <f t="shared" si="213"/>
        <v>0</v>
      </c>
      <c r="X420" s="294">
        <f t="shared" si="213"/>
        <v>0</v>
      </c>
      <c r="Y420" s="294">
        <f t="shared" si="213"/>
        <v>0</v>
      </c>
      <c r="Z420" s="294">
        <f t="shared" si="213"/>
        <v>0</v>
      </c>
      <c r="AA420" s="294">
        <f t="shared" si="213"/>
        <v>0</v>
      </c>
      <c r="AB420" s="294">
        <f t="shared" si="213"/>
        <v>0</v>
      </c>
      <c r="AC420" s="294">
        <f t="shared" si="213"/>
        <v>0</v>
      </c>
      <c r="AD420" s="294">
        <f t="shared" si="213"/>
        <v>0</v>
      </c>
      <c r="AE420" s="294">
        <f t="shared" si="213"/>
        <v>0</v>
      </c>
      <c r="AF420" s="294">
        <f t="shared" si="213"/>
        <v>0</v>
      </c>
      <c r="AG420" s="294">
        <f t="shared" si="213"/>
        <v>0</v>
      </c>
      <c r="AH420" s="294">
        <f t="shared" si="213"/>
        <v>0</v>
      </c>
      <c r="AI420" s="294">
        <f t="shared" si="213"/>
        <v>0</v>
      </c>
      <c r="AJ420" s="294">
        <f t="shared" si="213"/>
        <v>0</v>
      </c>
      <c r="AK420" s="294">
        <f t="shared" si="213"/>
        <v>0</v>
      </c>
      <c r="AL420" s="294">
        <f t="shared" si="213"/>
        <v>0</v>
      </c>
      <c r="AM420" s="294">
        <f t="shared" si="213"/>
        <v>0</v>
      </c>
      <c r="AN420" s="294">
        <f t="shared" si="213"/>
        <v>0</v>
      </c>
      <c r="AO420" s="294">
        <f t="shared" si="213"/>
        <v>0</v>
      </c>
      <c r="AP420" s="294">
        <f t="shared" si="213"/>
        <v>0</v>
      </c>
    </row>
    <row r="421" spans="1:42" s="21" customFormat="1" x14ac:dyDescent="0.2">
      <c r="A421" s="46" t="s">
        <v>18</v>
      </c>
      <c r="B421" s="24"/>
      <c r="C421" s="273">
        <f>SUM(C411:C420)</f>
        <v>0</v>
      </c>
      <c r="D421" s="273">
        <f t="shared" ref="D421:AP421" si="214">SUM(D411:D420)</f>
        <v>0</v>
      </c>
      <c r="E421" s="273">
        <f t="shared" si="214"/>
        <v>0</v>
      </c>
      <c r="F421" s="273">
        <f t="shared" si="214"/>
        <v>0</v>
      </c>
      <c r="G421" s="273">
        <f t="shared" si="214"/>
        <v>0</v>
      </c>
      <c r="H421" s="273">
        <f t="shared" si="214"/>
        <v>0</v>
      </c>
      <c r="I421" s="273">
        <f t="shared" si="214"/>
        <v>0</v>
      </c>
      <c r="J421" s="273">
        <f t="shared" si="214"/>
        <v>0</v>
      </c>
      <c r="K421" s="273">
        <f t="shared" si="214"/>
        <v>0</v>
      </c>
      <c r="L421" s="273">
        <f t="shared" si="214"/>
        <v>0</v>
      </c>
      <c r="M421" s="273">
        <f t="shared" si="214"/>
        <v>0</v>
      </c>
      <c r="N421" s="273">
        <f t="shared" si="214"/>
        <v>1312086.6578012661</v>
      </c>
      <c r="O421" s="273">
        <f t="shared" si="214"/>
        <v>2099338.6524820258</v>
      </c>
      <c r="P421" s="273">
        <f t="shared" si="214"/>
        <v>1259603.1914892152</v>
      </c>
      <c r="Q421" s="273">
        <f t="shared" si="214"/>
        <v>755761.91489352926</v>
      </c>
      <c r="R421" s="273">
        <f t="shared" si="214"/>
        <v>755761.91489352926</v>
      </c>
      <c r="S421" s="273">
        <f t="shared" si="214"/>
        <v>377880.95744676463</v>
      </c>
      <c r="T421" s="273">
        <f t="shared" si="214"/>
        <v>0</v>
      </c>
      <c r="U421" s="273">
        <f t="shared" si="214"/>
        <v>0</v>
      </c>
      <c r="V421" s="273">
        <f t="shared" si="214"/>
        <v>0</v>
      </c>
      <c r="W421" s="273">
        <f t="shared" si="214"/>
        <v>0</v>
      </c>
      <c r="X421" s="273">
        <f t="shared" si="214"/>
        <v>0</v>
      </c>
      <c r="Y421" s="273">
        <f t="shared" si="214"/>
        <v>0</v>
      </c>
      <c r="Z421" s="273">
        <f t="shared" si="214"/>
        <v>1764610.6825195991</v>
      </c>
      <c r="AA421" s="273">
        <f t="shared" si="214"/>
        <v>2823377.0920313583</v>
      </c>
      <c r="AB421" s="273">
        <f t="shared" si="214"/>
        <v>0</v>
      </c>
      <c r="AC421" s="273">
        <f t="shared" si="214"/>
        <v>0</v>
      </c>
      <c r="AD421" s="273">
        <f t="shared" si="214"/>
        <v>0</v>
      </c>
      <c r="AE421" s="273">
        <f t="shared" si="214"/>
        <v>0</v>
      </c>
      <c r="AF421" s="273">
        <f t="shared" si="214"/>
        <v>0</v>
      </c>
      <c r="AG421" s="273">
        <f t="shared" si="214"/>
        <v>0</v>
      </c>
      <c r="AH421" s="273">
        <f t="shared" si="214"/>
        <v>0</v>
      </c>
      <c r="AI421" s="273">
        <f t="shared" si="214"/>
        <v>0</v>
      </c>
      <c r="AJ421" s="273">
        <f t="shared" si="214"/>
        <v>0</v>
      </c>
      <c r="AK421" s="273">
        <f t="shared" si="214"/>
        <v>0</v>
      </c>
      <c r="AL421" s="273">
        <f t="shared" si="214"/>
        <v>0</v>
      </c>
      <c r="AM421" s="273">
        <f t="shared" si="214"/>
        <v>0</v>
      </c>
      <c r="AN421" s="273">
        <f t="shared" si="214"/>
        <v>0</v>
      </c>
      <c r="AO421" s="273">
        <f t="shared" si="214"/>
        <v>0</v>
      </c>
      <c r="AP421" s="273">
        <f t="shared" si="214"/>
        <v>0</v>
      </c>
    </row>
    <row r="422" spans="1:42" s="21" customFormat="1" x14ac:dyDescent="0.2">
      <c r="A422" s="46"/>
      <c r="B422" s="24"/>
      <c r="C422" s="273"/>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6" t="s">
        <v>144</v>
      </c>
      <c r="C423" s="273"/>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x14ac:dyDescent="0.2">
      <c r="A424" s="38" t="s">
        <v>108</v>
      </c>
      <c r="C424" s="273"/>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x14ac:dyDescent="0.2">
      <c r="A425" s="21">
        <v>1</v>
      </c>
      <c r="C425" s="273">
        <f t="shared" ref="C425:AP425" si="215">C291</f>
        <v>0</v>
      </c>
      <c r="D425" s="272">
        <f t="shared" si="215"/>
        <v>0</v>
      </c>
      <c r="E425" s="272">
        <f t="shared" si="215"/>
        <v>0</v>
      </c>
      <c r="F425" s="272">
        <f t="shared" si="215"/>
        <v>0</v>
      </c>
      <c r="G425" s="272">
        <f t="shared" si="215"/>
        <v>0</v>
      </c>
      <c r="H425" s="272">
        <f t="shared" si="215"/>
        <v>0</v>
      </c>
      <c r="I425" s="272">
        <f t="shared" si="215"/>
        <v>0</v>
      </c>
      <c r="J425" s="272">
        <f t="shared" si="215"/>
        <v>0</v>
      </c>
      <c r="K425" s="272">
        <f t="shared" si="215"/>
        <v>0</v>
      </c>
      <c r="L425" s="272">
        <f t="shared" si="215"/>
        <v>0</v>
      </c>
      <c r="M425" s="272">
        <f t="shared" si="215"/>
        <v>0</v>
      </c>
      <c r="N425" s="272">
        <f t="shared" si="215"/>
        <v>0</v>
      </c>
      <c r="O425" s="272">
        <f t="shared" si="215"/>
        <v>0</v>
      </c>
      <c r="P425" s="272">
        <f t="shared" si="215"/>
        <v>0</v>
      </c>
      <c r="Q425" s="272">
        <f t="shared" si="215"/>
        <v>0</v>
      </c>
      <c r="R425" s="272">
        <f t="shared" si="215"/>
        <v>0</v>
      </c>
      <c r="S425" s="272">
        <f t="shared" si="215"/>
        <v>0</v>
      </c>
      <c r="T425" s="272">
        <f t="shared" si="215"/>
        <v>0</v>
      </c>
      <c r="U425" s="272">
        <f t="shared" si="215"/>
        <v>0</v>
      </c>
      <c r="V425" s="272">
        <f t="shared" si="215"/>
        <v>0</v>
      </c>
      <c r="W425" s="272">
        <f t="shared" si="215"/>
        <v>0</v>
      </c>
      <c r="X425" s="272">
        <f t="shared" si="215"/>
        <v>0</v>
      </c>
      <c r="Y425" s="272">
        <f t="shared" si="215"/>
        <v>0</v>
      </c>
      <c r="Z425" s="272">
        <f t="shared" si="215"/>
        <v>0</v>
      </c>
      <c r="AA425" s="272">
        <f t="shared" si="215"/>
        <v>0</v>
      </c>
      <c r="AB425" s="272">
        <f t="shared" si="215"/>
        <v>0</v>
      </c>
      <c r="AC425" s="272">
        <f t="shared" si="215"/>
        <v>0</v>
      </c>
      <c r="AD425" s="272">
        <f t="shared" si="215"/>
        <v>0</v>
      </c>
      <c r="AE425" s="272">
        <f t="shared" si="215"/>
        <v>0</v>
      </c>
      <c r="AF425" s="272">
        <f t="shared" si="215"/>
        <v>0</v>
      </c>
      <c r="AG425" s="272">
        <f t="shared" si="215"/>
        <v>0</v>
      </c>
      <c r="AH425" s="272">
        <f t="shared" si="215"/>
        <v>0</v>
      </c>
      <c r="AI425" s="272">
        <f t="shared" si="215"/>
        <v>0</v>
      </c>
      <c r="AJ425" s="272">
        <f t="shared" si="215"/>
        <v>0</v>
      </c>
      <c r="AK425" s="272">
        <f t="shared" si="215"/>
        <v>0</v>
      </c>
      <c r="AL425" s="272">
        <f t="shared" si="215"/>
        <v>0</v>
      </c>
      <c r="AM425" s="272">
        <f t="shared" si="215"/>
        <v>0</v>
      </c>
      <c r="AN425" s="272">
        <f t="shared" si="215"/>
        <v>0</v>
      </c>
      <c r="AO425" s="272">
        <f t="shared" si="215"/>
        <v>0</v>
      </c>
      <c r="AP425" s="272">
        <f t="shared" si="215"/>
        <v>0</v>
      </c>
    </row>
    <row r="426" spans="1:42" x14ac:dyDescent="0.2">
      <c r="A426" s="21">
        <f>A425+1</f>
        <v>2</v>
      </c>
      <c r="C426" s="273">
        <f t="shared" ref="C426:AP426" si="216">C292</f>
        <v>0</v>
      </c>
      <c r="D426" s="272">
        <f t="shared" si="216"/>
        <v>0</v>
      </c>
      <c r="E426" s="272">
        <f t="shared" si="216"/>
        <v>0</v>
      </c>
      <c r="F426" s="272">
        <f t="shared" si="216"/>
        <v>0</v>
      </c>
      <c r="G426" s="272">
        <f t="shared" si="216"/>
        <v>0</v>
      </c>
      <c r="H426" s="272">
        <f t="shared" si="216"/>
        <v>0</v>
      </c>
      <c r="I426" s="272">
        <f t="shared" si="216"/>
        <v>0</v>
      </c>
      <c r="J426" s="272">
        <f t="shared" si="216"/>
        <v>0</v>
      </c>
      <c r="K426" s="272">
        <f t="shared" si="216"/>
        <v>0</v>
      </c>
      <c r="L426" s="272">
        <f t="shared" si="216"/>
        <v>0</v>
      </c>
      <c r="M426" s="272">
        <f t="shared" si="216"/>
        <v>0</v>
      </c>
      <c r="N426" s="272">
        <f t="shared" si="216"/>
        <v>0</v>
      </c>
      <c r="O426" s="272">
        <f t="shared" si="216"/>
        <v>0</v>
      </c>
      <c r="P426" s="272">
        <f t="shared" si="216"/>
        <v>0</v>
      </c>
      <c r="Q426" s="272">
        <f t="shared" si="216"/>
        <v>0</v>
      </c>
      <c r="R426" s="272">
        <f t="shared" si="216"/>
        <v>0</v>
      </c>
      <c r="S426" s="272">
        <f t="shared" si="216"/>
        <v>0</v>
      </c>
      <c r="T426" s="272">
        <f t="shared" si="216"/>
        <v>0</v>
      </c>
      <c r="U426" s="272">
        <f t="shared" si="216"/>
        <v>0</v>
      </c>
      <c r="V426" s="272">
        <f t="shared" si="216"/>
        <v>0</v>
      </c>
      <c r="W426" s="272">
        <f t="shared" si="216"/>
        <v>0</v>
      </c>
      <c r="X426" s="272">
        <f t="shared" si="216"/>
        <v>0</v>
      </c>
      <c r="Y426" s="272">
        <f t="shared" si="216"/>
        <v>0</v>
      </c>
      <c r="Z426" s="272">
        <f t="shared" si="216"/>
        <v>0</v>
      </c>
      <c r="AA426" s="272">
        <f t="shared" si="216"/>
        <v>0</v>
      </c>
      <c r="AB426" s="272">
        <f t="shared" si="216"/>
        <v>0</v>
      </c>
      <c r="AC426" s="272">
        <f t="shared" si="216"/>
        <v>0</v>
      </c>
      <c r="AD426" s="272">
        <f t="shared" si="216"/>
        <v>0</v>
      </c>
      <c r="AE426" s="272">
        <f t="shared" si="216"/>
        <v>0</v>
      </c>
      <c r="AF426" s="272">
        <f t="shared" si="216"/>
        <v>0</v>
      </c>
      <c r="AG426" s="272">
        <f t="shared" si="216"/>
        <v>0</v>
      </c>
      <c r="AH426" s="272">
        <f t="shared" si="216"/>
        <v>0</v>
      </c>
      <c r="AI426" s="272">
        <f t="shared" si="216"/>
        <v>0</v>
      </c>
      <c r="AJ426" s="272">
        <f t="shared" si="216"/>
        <v>0</v>
      </c>
      <c r="AK426" s="272">
        <f t="shared" si="216"/>
        <v>0</v>
      </c>
      <c r="AL426" s="272">
        <f t="shared" si="216"/>
        <v>0</v>
      </c>
      <c r="AM426" s="272">
        <f t="shared" si="216"/>
        <v>0</v>
      </c>
      <c r="AN426" s="272">
        <f t="shared" si="216"/>
        <v>0</v>
      </c>
      <c r="AO426" s="272">
        <f t="shared" si="216"/>
        <v>0</v>
      </c>
      <c r="AP426" s="272">
        <f t="shared" si="216"/>
        <v>0</v>
      </c>
    </row>
    <row r="427" spans="1:42" x14ac:dyDescent="0.2">
      <c r="A427" s="21">
        <f t="shared" ref="A427:A432" si="217">A426+1</f>
        <v>3</v>
      </c>
      <c r="C427" s="273">
        <f t="shared" ref="C427:AP427" si="218">C293</f>
        <v>0</v>
      </c>
      <c r="D427" s="272">
        <f t="shared" si="218"/>
        <v>0</v>
      </c>
      <c r="E427" s="272">
        <f t="shared" si="218"/>
        <v>0</v>
      </c>
      <c r="F427" s="272">
        <f t="shared" si="218"/>
        <v>0</v>
      </c>
      <c r="G427" s="272">
        <f t="shared" si="218"/>
        <v>0</v>
      </c>
      <c r="H427" s="272">
        <f t="shared" si="218"/>
        <v>0</v>
      </c>
      <c r="I427" s="272">
        <f t="shared" si="218"/>
        <v>0</v>
      </c>
      <c r="J427" s="272">
        <f t="shared" si="218"/>
        <v>0</v>
      </c>
      <c r="K427" s="272">
        <f t="shared" si="218"/>
        <v>0</v>
      </c>
      <c r="L427" s="272">
        <f t="shared" si="218"/>
        <v>0</v>
      </c>
      <c r="M427" s="272">
        <f t="shared" si="218"/>
        <v>0</v>
      </c>
      <c r="N427" s="272">
        <f t="shared" si="218"/>
        <v>0</v>
      </c>
      <c r="O427" s="272">
        <f t="shared" si="218"/>
        <v>0</v>
      </c>
      <c r="P427" s="272">
        <f t="shared" si="218"/>
        <v>0</v>
      </c>
      <c r="Q427" s="272">
        <f t="shared" si="218"/>
        <v>0</v>
      </c>
      <c r="R427" s="272">
        <f t="shared" si="218"/>
        <v>0</v>
      </c>
      <c r="S427" s="272">
        <f t="shared" si="218"/>
        <v>0</v>
      </c>
      <c r="T427" s="272">
        <f t="shared" si="218"/>
        <v>0</v>
      </c>
      <c r="U427" s="272">
        <f t="shared" si="218"/>
        <v>0</v>
      </c>
      <c r="V427" s="272">
        <f t="shared" si="218"/>
        <v>0</v>
      </c>
      <c r="W427" s="272">
        <f t="shared" si="218"/>
        <v>0</v>
      </c>
      <c r="X427" s="272">
        <f t="shared" si="218"/>
        <v>0</v>
      </c>
      <c r="Y427" s="272">
        <f t="shared" si="218"/>
        <v>0</v>
      </c>
      <c r="Z427" s="272">
        <f t="shared" si="218"/>
        <v>0</v>
      </c>
      <c r="AA427" s="272">
        <f t="shared" si="218"/>
        <v>0</v>
      </c>
      <c r="AB427" s="272">
        <f t="shared" si="218"/>
        <v>0</v>
      </c>
      <c r="AC427" s="272">
        <f t="shared" si="218"/>
        <v>0</v>
      </c>
      <c r="AD427" s="272">
        <f t="shared" si="218"/>
        <v>0</v>
      </c>
      <c r="AE427" s="272">
        <f t="shared" si="218"/>
        <v>0</v>
      </c>
      <c r="AF427" s="272">
        <f t="shared" si="218"/>
        <v>0</v>
      </c>
      <c r="AG427" s="272">
        <f t="shared" si="218"/>
        <v>0</v>
      </c>
      <c r="AH427" s="272">
        <f t="shared" si="218"/>
        <v>0</v>
      </c>
      <c r="AI427" s="272">
        <f t="shared" si="218"/>
        <v>0</v>
      </c>
      <c r="AJ427" s="272">
        <f t="shared" si="218"/>
        <v>0</v>
      </c>
      <c r="AK427" s="272">
        <f t="shared" si="218"/>
        <v>0</v>
      </c>
      <c r="AL427" s="272">
        <f t="shared" si="218"/>
        <v>0</v>
      </c>
      <c r="AM427" s="272">
        <f t="shared" si="218"/>
        <v>0</v>
      </c>
      <c r="AN427" s="272">
        <f t="shared" si="218"/>
        <v>0</v>
      </c>
      <c r="AO427" s="272">
        <f t="shared" si="218"/>
        <v>0</v>
      </c>
      <c r="AP427" s="272">
        <f t="shared" si="218"/>
        <v>0</v>
      </c>
    </row>
    <row r="428" spans="1:42" x14ac:dyDescent="0.2">
      <c r="A428" s="21">
        <f t="shared" si="217"/>
        <v>4</v>
      </c>
      <c r="C428" s="273">
        <f t="shared" ref="C428:AP428" si="219">C294</f>
        <v>0</v>
      </c>
      <c r="D428" s="272">
        <f t="shared" si="219"/>
        <v>0</v>
      </c>
      <c r="E428" s="272">
        <f t="shared" si="219"/>
        <v>0</v>
      </c>
      <c r="F428" s="272">
        <f t="shared" si="219"/>
        <v>0</v>
      </c>
      <c r="G428" s="272">
        <f t="shared" si="219"/>
        <v>0</v>
      </c>
      <c r="H428" s="272">
        <f t="shared" si="219"/>
        <v>0</v>
      </c>
      <c r="I428" s="272">
        <f t="shared" si="219"/>
        <v>0</v>
      </c>
      <c r="J428" s="272">
        <f t="shared" si="219"/>
        <v>0</v>
      </c>
      <c r="K428" s="272">
        <f t="shared" si="219"/>
        <v>0</v>
      </c>
      <c r="L428" s="272">
        <f t="shared" si="219"/>
        <v>0</v>
      </c>
      <c r="M428" s="272">
        <f t="shared" si="219"/>
        <v>0</v>
      </c>
      <c r="N428" s="272">
        <f t="shared" si="219"/>
        <v>0</v>
      </c>
      <c r="O428" s="272">
        <f t="shared" si="219"/>
        <v>0</v>
      </c>
      <c r="P428" s="272">
        <f t="shared" si="219"/>
        <v>0</v>
      </c>
      <c r="Q428" s="272">
        <f t="shared" si="219"/>
        <v>0</v>
      </c>
      <c r="R428" s="272">
        <f t="shared" si="219"/>
        <v>0</v>
      </c>
      <c r="S428" s="272">
        <f t="shared" si="219"/>
        <v>0</v>
      </c>
      <c r="T428" s="272">
        <f t="shared" si="219"/>
        <v>0</v>
      </c>
      <c r="U428" s="272">
        <f t="shared" si="219"/>
        <v>0</v>
      </c>
      <c r="V428" s="272">
        <f t="shared" si="219"/>
        <v>0</v>
      </c>
      <c r="W428" s="272">
        <f t="shared" si="219"/>
        <v>0</v>
      </c>
      <c r="X428" s="272">
        <f t="shared" si="219"/>
        <v>0</v>
      </c>
      <c r="Y428" s="272">
        <f t="shared" si="219"/>
        <v>0</v>
      </c>
      <c r="Z428" s="272">
        <f t="shared" si="219"/>
        <v>0</v>
      </c>
      <c r="AA428" s="272">
        <f t="shared" si="219"/>
        <v>0</v>
      </c>
      <c r="AB428" s="272">
        <f t="shared" si="219"/>
        <v>0</v>
      </c>
      <c r="AC428" s="272">
        <f t="shared" si="219"/>
        <v>0</v>
      </c>
      <c r="AD428" s="272">
        <f t="shared" si="219"/>
        <v>0</v>
      </c>
      <c r="AE428" s="272">
        <f t="shared" si="219"/>
        <v>0</v>
      </c>
      <c r="AF428" s="272">
        <f t="shared" si="219"/>
        <v>0</v>
      </c>
      <c r="AG428" s="272">
        <f t="shared" si="219"/>
        <v>0</v>
      </c>
      <c r="AH428" s="272">
        <f t="shared" si="219"/>
        <v>0</v>
      </c>
      <c r="AI428" s="272">
        <f t="shared" si="219"/>
        <v>0</v>
      </c>
      <c r="AJ428" s="272">
        <f t="shared" si="219"/>
        <v>0</v>
      </c>
      <c r="AK428" s="272">
        <f t="shared" si="219"/>
        <v>0</v>
      </c>
      <c r="AL428" s="272">
        <f t="shared" si="219"/>
        <v>0</v>
      </c>
      <c r="AM428" s="272">
        <f t="shared" si="219"/>
        <v>0</v>
      </c>
      <c r="AN428" s="272">
        <f t="shared" si="219"/>
        <v>0</v>
      </c>
      <c r="AO428" s="272">
        <f t="shared" si="219"/>
        <v>0</v>
      </c>
      <c r="AP428" s="272">
        <f t="shared" si="219"/>
        <v>0</v>
      </c>
    </row>
    <row r="429" spans="1:42" x14ac:dyDescent="0.2">
      <c r="A429" s="21">
        <f t="shared" si="217"/>
        <v>5</v>
      </c>
      <c r="C429" s="273">
        <f t="shared" ref="C429:AP429" si="220">C295</f>
        <v>0</v>
      </c>
      <c r="D429" s="272">
        <f t="shared" si="220"/>
        <v>0</v>
      </c>
      <c r="E429" s="272">
        <f t="shared" si="220"/>
        <v>0</v>
      </c>
      <c r="F429" s="272">
        <f t="shared" si="220"/>
        <v>0</v>
      </c>
      <c r="G429" s="272">
        <f t="shared" si="220"/>
        <v>0</v>
      </c>
      <c r="H429" s="272">
        <f t="shared" si="220"/>
        <v>0</v>
      </c>
      <c r="I429" s="272">
        <f t="shared" si="220"/>
        <v>0</v>
      </c>
      <c r="J429" s="272">
        <f t="shared" si="220"/>
        <v>0</v>
      </c>
      <c r="K429" s="272">
        <f t="shared" si="220"/>
        <v>0</v>
      </c>
      <c r="L429" s="272">
        <f t="shared" si="220"/>
        <v>0</v>
      </c>
      <c r="M429" s="272">
        <f t="shared" si="220"/>
        <v>0</v>
      </c>
      <c r="N429" s="272">
        <f t="shared" si="220"/>
        <v>0</v>
      </c>
      <c r="O429" s="272">
        <f t="shared" si="220"/>
        <v>0</v>
      </c>
      <c r="P429" s="272">
        <f t="shared" si="220"/>
        <v>0</v>
      </c>
      <c r="Q429" s="272">
        <f t="shared" si="220"/>
        <v>0</v>
      </c>
      <c r="R429" s="272">
        <f t="shared" si="220"/>
        <v>0</v>
      </c>
      <c r="S429" s="272">
        <f t="shared" si="220"/>
        <v>0</v>
      </c>
      <c r="T429" s="272">
        <f t="shared" si="220"/>
        <v>0</v>
      </c>
      <c r="U429" s="272">
        <f t="shared" si="220"/>
        <v>0</v>
      </c>
      <c r="V429" s="272">
        <f t="shared" si="220"/>
        <v>0</v>
      </c>
      <c r="W429" s="272">
        <f t="shared" si="220"/>
        <v>0</v>
      </c>
      <c r="X429" s="272">
        <f t="shared" si="220"/>
        <v>0</v>
      </c>
      <c r="Y429" s="272">
        <f t="shared" si="220"/>
        <v>0</v>
      </c>
      <c r="Z429" s="272">
        <f t="shared" si="220"/>
        <v>0</v>
      </c>
      <c r="AA429" s="272">
        <f t="shared" si="220"/>
        <v>0</v>
      </c>
      <c r="AB429" s="272">
        <f t="shared" si="220"/>
        <v>0</v>
      </c>
      <c r="AC429" s="272">
        <f t="shared" si="220"/>
        <v>0</v>
      </c>
      <c r="AD429" s="272">
        <f t="shared" si="220"/>
        <v>0</v>
      </c>
      <c r="AE429" s="272">
        <f t="shared" si="220"/>
        <v>0</v>
      </c>
      <c r="AF429" s="272">
        <f t="shared" si="220"/>
        <v>0</v>
      </c>
      <c r="AG429" s="272">
        <f t="shared" si="220"/>
        <v>0</v>
      </c>
      <c r="AH429" s="272">
        <f t="shared" si="220"/>
        <v>0</v>
      </c>
      <c r="AI429" s="272">
        <f t="shared" si="220"/>
        <v>0</v>
      </c>
      <c r="AJ429" s="272">
        <f t="shared" si="220"/>
        <v>0</v>
      </c>
      <c r="AK429" s="272">
        <f t="shared" si="220"/>
        <v>0</v>
      </c>
      <c r="AL429" s="272">
        <f t="shared" si="220"/>
        <v>0</v>
      </c>
      <c r="AM429" s="272">
        <f t="shared" si="220"/>
        <v>0</v>
      </c>
      <c r="AN429" s="272">
        <f t="shared" si="220"/>
        <v>0</v>
      </c>
      <c r="AO429" s="272">
        <f t="shared" si="220"/>
        <v>0</v>
      </c>
      <c r="AP429" s="272">
        <f t="shared" si="220"/>
        <v>0</v>
      </c>
    </row>
    <row r="430" spans="1:42" x14ac:dyDescent="0.2">
      <c r="A430" s="21">
        <f t="shared" si="217"/>
        <v>6</v>
      </c>
      <c r="C430" s="273">
        <f t="shared" ref="C430:AP430" si="221">C296</f>
        <v>0</v>
      </c>
      <c r="D430" s="272">
        <f t="shared" si="221"/>
        <v>0</v>
      </c>
      <c r="E430" s="272">
        <f t="shared" si="221"/>
        <v>0</v>
      </c>
      <c r="F430" s="272">
        <f t="shared" si="221"/>
        <v>0</v>
      </c>
      <c r="G430" s="272">
        <f t="shared" si="221"/>
        <v>0</v>
      </c>
      <c r="H430" s="272">
        <f t="shared" si="221"/>
        <v>0</v>
      </c>
      <c r="I430" s="272">
        <f t="shared" si="221"/>
        <v>0</v>
      </c>
      <c r="J430" s="272">
        <f t="shared" si="221"/>
        <v>0</v>
      </c>
      <c r="K430" s="272">
        <f t="shared" si="221"/>
        <v>0</v>
      </c>
      <c r="L430" s="272">
        <f t="shared" si="221"/>
        <v>0</v>
      </c>
      <c r="M430" s="272">
        <f t="shared" si="221"/>
        <v>0</v>
      </c>
      <c r="N430" s="272">
        <f t="shared" si="221"/>
        <v>0</v>
      </c>
      <c r="O430" s="272">
        <f t="shared" si="221"/>
        <v>0</v>
      </c>
      <c r="P430" s="272">
        <f t="shared" si="221"/>
        <v>0</v>
      </c>
      <c r="Q430" s="272">
        <f t="shared" si="221"/>
        <v>0</v>
      </c>
      <c r="R430" s="272">
        <f t="shared" si="221"/>
        <v>0</v>
      </c>
      <c r="S430" s="272">
        <f t="shared" si="221"/>
        <v>0</v>
      </c>
      <c r="T430" s="272">
        <f t="shared" si="221"/>
        <v>0</v>
      </c>
      <c r="U430" s="272">
        <f t="shared" si="221"/>
        <v>0</v>
      </c>
      <c r="V430" s="272">
        <f t="shared" si="221"/>
        <v>0</v>
      </c>
      <c r="W430" s="272">
        <f t="shared" si="221"/>
        <v>0</v>
      </c>
      <c r="X430" s="272">
        <f t="shared" si="221"/>
        <v>0</v>
      </c>
      <c r="Y430" s="272">
        <f t="shared" si="221"/>
        <v>0</v>
      </c>
      <c r="Z430" s="272">
        <f t="shared" si="221"/>
        <v>0</v>
      </c>
      <c r="AA430" s="272">
        <f t="shared" si="221"/>
        <v>0</v>
      </c>
      <c r="AB430" s="272">
        <f t="shared" si="221"/>
        <v>0</v>
      </c>
      <c r="AC430" s="272">
        <f t="shared" si="221"/>
        <v>0</v>
      </c>
      <c r="AD430" s="272">
        <f t="shared" si="221"/>
        <v>0</v>
      </c>
      <c r="AE430" s="272">
        <f t="shared" si="221"/>
        <v>0</v>
      </c>
      <c r="AF430" s="272">
        <f t="shared" si="221"/>
        <v>0</v>
      </c>
      <c r="AG430" s="272">
        <f t="shared" si="221"/>
        <v>0</v>
      </c>
      <c r="AH430" s="272">
        <f t="shared" si="221"/>
        <v>0</v>
      </c>
      <c r="AI430" s="272">
        <f t="shared" si="221"/>
        <v>0</v>
      </c>
      <c r="AJ430" s="272">
        <f t="shared" si="221"/>
        <v>0</v>
      </c>
      <c r="AK430" s="272">
        <f t="shared" si="221"/>
        <v>0</v>
      </c>
      <c r="AL430" s="272">
        <f t="shared" si="221"/>
        <v>0</v>
      </c>
      <c r="AM430" s="272">
        <f t="shared" si="221"/>
        <v>0</v>
      </c>
      <c r="AN430" s="272">
        <f t="shared" si="221"/>
        <v>0</v>
      </c>
      <c r="AO430" s="272">
        <f t="shared" si="221"/>
        <v>0</v>
      </c>
      <c r="AP430" s="272">
        <f t="shared" si="221"/>
        <v>0</v>
      </c>
    </row>
    <row r="431" spans="1:42" x14ac:dyDescent="0.2">
      <c r="A431" s="21">
        <f t="shared" si="217"/>
        <v>7</v>
      </c>
      <c r="C431" s="273">
        <f t="shared" ref="C431:AP431" si="222">C297</f>
        <v>0</v>
      </c>
      <c r="D431" s="272">
        <f t="shared" si="222"/>
        <v>0</v>
      </c>
      <c r="E431" s="272">
        <f t="shared" si="222"/>
        <v>0</v>
      </c>
      <c r="F431" s="272">
        <f t="shared" si="222"/>
        <v>0</v>
      </c>
      <c r="G431" s="272">
        <f t="shared" si="222"/>
        <v>0</v>
      </c>
      <c r="H431" s="272">
        <f t="shared" si="222"/>
        <v>0</v>
      </c>
      <c r="I431" s="272">
        <f t="shared" si="222"/>
        <v>0</v>
      </c>
      <c r="J431" s="272">
        <f t="shared" si="222"/>
        <v>0</v>
      </c>
      <c r="K431" s="272">
        <f t="shared" si="222"/>
        <v>0</v>
      </c>
      <c r="L431" s="272">
        <f t="shared" si="222"/>
        <v>0</v>
      </c>
      <c r="M431" s="272">
        <f t="shared" si="222"/>
        <v>0</v>
      </c>
      <c r="N431" s="272">
        <f t="shared" si="222"/>
        <v>0</v>
      </c>
      <c r="O431" s="272">
        <f t="shared" si="222"/>
        <v>0</v>
      </c>
      <c r="P431" s="272">
        <f t="shared" si="222"/>
        <v>0</v>
      </c>
      <c r="Q431" s="272">
        <f t="shared" si="222"/>
        <v>0</v>
      </c>
      <c r="R431" s="272">
        <f t="shared" si="222"/>
        <v>0</v>
      </c>
      <c r="S431" s="272">
        <f t="shared" si="222"/>
        <v>0</v>
      </c>
      <c r="T431" s="272">
        <f t="shared" si="222"/>
        <v>0</v>
      </c>
      <c r="U431" s="272">
        <f t="shared" si="222"/>
        <v>0</v>
      </c>
      <c r="V431" s="272">
        <f t="shared" si="222"/>
        <v>0</v>
      </c>
      <c r="W431" s="272">
        <f t="shared" si="222"/>
        <v>0</v>
      </c>
      <c r="X431" s="272">
        <f t="shared" si="222"/>
        <v>0</v>
      </c>
      <c r="Y431" s="272">
        <f t="shared" si="222"/>
        <v>0</v>
      </c>
      <c r="Z431" s="272">
        <f t="shared" si="222"/>
        <v>0</v>
      </c>
      <c r="AA431" s="272">
        <f t="shared" si="222"/>
        <v>0</v>
      </c>
      <c r="AB431" s="272">
        <f t="shared" si="222"/>
        <v>0</v>
      </c>
      <c r="AC431" s="272">
        <f t="shared" si="222"/>
        <v>0</v>
      </c>
      <c r="AD431" s="272">
        <f t="shared" si="222"/>
        <v>0</v>
      </c>
      <c r="AE431" s="272">
        <f t="shared" si="222"/>
        <v>0</v>
      </c>
      <c r="AF431" s="272">
        <f t="shared" si="222"/>
        <v>0</v>
      </c>
      <c r="AG431" s="272">
        <f t="shared" si="222"/>
        <v>0</v>
      </c>
      <c r="AH431" s="272">
        <f t="shared" si="222"/>
        <v>0</v>
      </c>
      <c r="AI431" s="272">
        <f t="shared" si="222"/>
        <v>0</v>
      </c>
      <c r="AJ431" s="272">
        <f t="shared" si="222"/>
        <v>0</v>
      </c>
      <c r="AK431" s="272">
        <f t="shared" si="222"/>
        <v>0</v>
      </c>
      <c r="AL431" s="272">
        <f t="shared" si="222"/>
        <v>0</v>
      </c>
      <c r="AM431" s="272">
        <f t="shared" si="222"/>
        <v>0</v>
      </c>
      <c r="AN431" s="272">
        <f t="shared" si="222"/>
        <v>0</v>
      </c>
      <c r="AO431" s="272">
        <f t="shared" si="222"/>
        <v>0</v>
      </c>
      <c r="AP431" s="272">
        <f t="shared" si="222"/>
        <v>0</v>
      </c>
    </row>
    <row r="432" spans="1:42" x14ac:dyDescent="0.2">
      <c r="A432" s="21">
        <f t="shared" si="217"/>
        <v>8</v>
      </c>
      <c r="C432" s="273">
        <f t="shared" ref="C432:AP432" si="223">C298</f>
        <v>0</v>
      </c>
      <c r="D432" s="272">
        <f t="shared" si="223"/>
        <v>0</v>
      </c>
      <c r="E432" s="272">
        <f t="shared" si="223"/>
        <v>0</v>
      </c>
      <c r="F432" s="272">
        <f t="shared" si="223"/>
        <v>0</v>
      </c>
      <c r="G432" s="272">
        <f t="shared" si="223"/>
        <v>0</v>
      </c>
      <c r="H432" s="272">
        <f t="shared" si="223"/>
        <v>0</v>
      </c>
      <c r="I432" s="272">
        <f t="shared" si="223"/>
        <v>0</v>
      </c>
      <c r="J432" s="272">
        <f t="shared" si="223"/>
        <v>0</v>
      </c>
      <c r="K432" s="272">
        <f t="shared" si="223"/>
        <v>0</v>
      </c>
      <c r="L432" s="272">
        <f t="shared" si="223"/>
        <v>0</v>
      </c>
      <c r="M432" s="272">
        <f t="shared" si="223"/>
        <v>0</v>
      </c>
      <c r="N432" s="272">
        <f t="shared" si="223"/>
        <v>0</v>
      </c>
      <c r="O432" s="272">
        <f t="shared" si="223"/>
        <v>0</v>
      </c>
      <c r="P432" s="272">
        <f t="shared" si="223"/>
        <v>0</v>
      </c>
      <c r="Q432" s="272">
        <f t="shared" si="223"/>
        <v>0</v>
      </c>
      <c r="R432" s="272">
        <f t="shared" si="223"/>
        <v>0</v>
      </c>
      <c r="S432" s="272">
        <f t="shared" si="223"/>
        <v>0</v>
      </c>
      <c r="T432" s="272">
        <f t="shared" si="223"/>
        <v>0</v>
      </c>
      <c r="U432" s="272">
        <f t="shared" si="223"/>
        <v>0</v>
      </c>
      <c r="V432" s="272">
        <f t="shared" si="223"/>
        <v>0</v>
      </c>
      <c r="W432" s="272">
        <f t="shared" si="223"/>
        <v>0</v>
      </c>
      <c r="X432" s="272">
        <f t="shared" si="223"/>
        <v>0</v>
      </c>
      <c r="Y432" s="272">
        <f t="shared" si="223"/>
        <v>0</v>
      </c>
      <c r="Z432" s="272">
        <f t="shared" si="223"/>
        <v>0</v>
      </c>
      <c r="AA432" s="272">
        <f t="shared" si="223"/>
        <v>0</v>
      </c>
      <c r="AB432" s="272">
        <f t="shared" si="223"/>
        <v>0</v>
      </c>
      <c r="AC432" s="272">
        <f t="shared" si="223"/>
        <v>0</v>
      </c>
      <c r="AD432" s="272">
        <f t="shared" si="223"/>
        <v>0</v>
      </c>
      <c r="AE432" s="272">
        <f t="shared" si="223"/>
        <v>0</v>
      </c>
      <c r="AF432" s="272">
        <f t="shared" si="223"/>
        <v>0</v>
      </c>
      <c r="AG432" s="272">
        <f t="shared" si="223"/>
        <v>0</v>
      </c>
      <c r="AH432" s="272">
        <f t="shared" si="223"/>
        <v>0</v>
      </c>
      <c r="AI432" s="272">
        <f t="shared" si="223"/>
        <v>0</v>
      </c>
      <c r="AJ432" s="272">
        <f t="shared" si="223"/>
        <v>0</v>
      </c>
      <c r="AK432" s="272">
        <f t="shared" si="223"/>
        <v>0</v>
      </c>
      <c r="AL432" s="272">
        <f t="shared" si="223"/>
        <v>0</v>
      </c>
      <c r="AM432" s="272">
        <f t="shared" si="223"/>
        <v>0</v>
      </c>
      <c r="AN432" s="272">
        <f t="shared" si="223"/>
        <v>0</v>
      </c>
      <c r="AO432" s="272">
        <f t="shared" si="223"/>
        <v>0</v>
      </c>
      <c r="AP432" s="272">
        <f t="shared" si="223"/>
        <v>0</v>
      </c>
    </row>
    <row r="433" spans="1:42" x14ac:dyDescent="0.2">
      <c r="A433" s="21">
        <f>A432+1</f>
        <v>9</v>
      </c>
      <c r="C433" s="273">
        <f t="shared" ref="C433:AP433" si="224">C299</f>
        <v>0</v>
      </c>
      <c r="D433" s="272">
        <f t="shared" si="224"/>
        <v>0</v>
      </c>
      <c r="E433" s="272">
        <f t="shared" si="224"/>
        <v>0</v>
      </c>
      <c r="F433" s="272">
        <f t="shared" si="224"/>
        <v>0</v>
      </c>
      <c r="G433" s="272">
        <f t="shared" si="224"/>
        <v>0</v>
      </c>
      <c r="H433" s="272">
        <f t="shared" si="224"/>
        <v>0</v>
      </c>
      <c r="I433" s="272">
        <f t="shared" si="224"/>
        <v>0</v>
      </c>
      <c r="J433" s="272">
        <f t="shared" si="224"/>
        <v>0</v>
      </c>
      <c r="K433" s="272">
        <f t="shared" si="224"/>
        <v>0</v>
      </c>
      <c r="L433" s="272">
        <f t="shared" si="224"/>
        <v>0</v>
      </c>
      <c r="M433" s="272">
        <f t="shared" si="224"/>
        <v>0</v>
      </c>
      <c r="N433" s="272">
        <f t="shared" si="224"/>
        <v>0</v>
      </c>
      <c r="O433" s="272">
        <f t="shared" si="224"/>
        <v>0</v>
      </c>
      <c r="P433" s="272">
        <f t="shared" si="224"/>
        <v>0</v>
      </c>
      <c r="Q433" s="272">
        <f t="shared" si="224"/>
        <v>0</v>
      </c>
      <c r="R433" s="272">
        <f t="shared" si="224"/>
        <v>0</v>
      </c>
      <c r="S433" s="272">
        <f t="shared" si="224"/>
        <v>0</v>
      </c>
      <c r="T433" s="272">
        <f t="shared" si="224"/>
        <v>0</v>
      </c>
      <c r="U433" s="272">
        <f t="shared" si="224"/>
        <v>0</v>
      </c>
      <c r="V433" s="272">
        <f t="shared" si="224"/>
        <v>0</v>
      </c>
      <c r="W433" s="272">
        <f t="shared" si="224"/>
        <v>0</v>
      </c>
      <c r="X433" s="272">
        <f t="shared" si="224"/>
        <v>0</v>
      </c>
      <c r="Y433" s="272">
        <f t="shared" si="224"/>
        <v>0</v>
      </c>
      <c r="Z433" s="272">
        <f t="shared" si="224"/>
        <v>0</v>
      </c>
      <c r="AA433" s="272">
        <f t="shared" si="224"/>
        <v>0</v>
      </c>
      <c r="AB433" s="272">
        <f t="shared" si="224"/>
        <v>0</v>
      </c>
      <c r="AC433" s="272">
        <f t="shared" si="224"/>
        <v>0</v>
      </c>
      <c r="AD433" s="272">
        <f t="shared" si="224"/>
        <v>0</v>
      </c>
      <c r="AE433" s="272">
        <f t="shared" si="224"/>
        <v>0</v>
      </c>
      <c r="AF433" s="272">
        <f t="shared" si="224"/>
        <v>0</v>
      </c>
      <c r="AG433" s="272">
        <f t="shared" si="224"/>
        <v>0</v>
      </c>
      <c r="AH433" s="272">
        <f t="shared" si="224"/>
        <v>0</v>
      </c>
      <c r="AI433" s="272">
        <f t="shared" si="224"/>
        <v>0</v>
      </c>
      <c r="AJ433" s="272">
        <f t="shared" si="224"/>
        <v>0</v>
      </c>
      <c r="AK433" s="272">
        <f t="shared" si="224"/>
        <v>0</v>
      </c>
      <c r="AL433" s="272">
        <f t="shared" si="224"/>
        <v>0</v>
      </c>
      <c r="AM433" s="272">
        <f t="shared" si="224"/>
        <v>0</v>
      </c>
      <c r="AN433" s="272">
        <f t="shared" si="224"/>
        <v>0</v>
      </c>
      <c r="AO433" s="272">
        <f t="shared" si="224"/>
        <v>0</v>
      </c>
      <c r="AP433" s="272">
        <f t="shared" si="224"/>
        <v>0</v>
      </c>
    </row>
    <row r="434" spans="1:42" x14ac:dyDescent="0.2">
      <c r="A434" s="21">
        <f t="shared" ref="A434" si="225">A433+1</f>
        <v>10</v>
      </c>
      <c r="C434" s="273">
        <f t="shared" ref="C434:AP434" si="226">C300</f>
        <v>0</v>
      </c>
      <c r="D434" s="272">
        <f t="shared" si="226"/>
        <v>0</v>
      </c>
      <c r="E434" s="272">
        <f t="shared" si="226"/>
        <v>0</v>
      </c>
      <c r="F434" s="272">
        <f t="shared" si="226"/>
        <v>0</v>
      </c>
      <c r="G434" s="272">
        <f t="shared" si="226"/>
        <v>0</v>
      </c>
      <c r="H434" s="272">
        <f t="shared" si="226"/>
        <v>0</v>
      </c>
      <c r="I434" s="272">
        <f t="shared" si="226"/>
        <v>0</v>
      </c>
      <c r="J434" s="272">
        <f t="shared" si="226"/>
        <v>0</v>
      </c>
      <c r="K434" s="272">
        <f t="shared" si="226"/>
        <v>0</v>
      </c>
      <c r="L434" s="272">
        <f t="shared" si="226"/>
        <v>0</v>
      </c>
      <c r="M434" s="272">
        <f t="shared" si="226"/>
        <v>0</v>
      </c>
      <c r="N434" s="272">
        <f t="shared" si="226"/>
        <v>0</v>
      </c>
      <c r="O434" s="272">
        <f t="shared" si="226"/>
        <v>0</v>
      </c>
      <c r="P434" s="272">
        <f t="shared" si="226"/>
        <v>0</v>
      </c>
      <c r="Q434" s="272">
        <f t="shared" si="226"/>
        <v>0</v>
      </c>
      <c r="R434" s="272">
        <f t="shared" si="226"/>
        <v>0</v>
      </c>
      <c r="S434" s="272">
        <f t="shared" si="226"/>
        <v>0</v>
      </c>
      <c r="T434" s="272">
        <f t="shared" si="226"/>
        <v>0</v>
      </c>
      <c r="U434" s="272">
        <f t="shared" si="226"/>
        <v>0</v>
      </c>
      <c r="V434" s="272">
        <f t="shared" si="226"/>
        <v>0</v>
      </c>
      <c r="W434" s="272">
        <f t="shared" si="226"/>
        <v>0</v>
      </c>
      <c r="X434" s="272">
        <f t="shared" si="226"/>
        <v>0</v>
      </c>
      <c r="Y434" s="272">
        <f t="shared" si="226"/>
        <v>0</v>
      </c>
      <c r="Z434" s="272">
        <f t="shared" si="226"/>
        <v>0</v>
      </c>
      <c r="AA434" s="272">
        <f t="shared" si="226"/>
        <v>0</v>
      </c>
      <c r="AB434" s="272">
        <f t="shared" si="226"/>
        <v>0</v>
      </c>
      <c r="AC434" s="272">
        <f t="shared" si="226"/>
        <v>0</v>
      </c>
      <c r="AD434" s="272">
        <f t="shared" si="226"/>
        <v>0</v>
      </c>
      <c r="AE434" s="272">
        <f t="shared" si="226"/>
        <v>0</v>
      </c>
      <c r="AF434" s="272">
        <f t="shared" si="226"/>
        <v>0</v>
      </c>
      <c r="AG434" s="272">
        <f t="shared" si="226"/>
        <v>0</v>
      </c>
      <c r="AH434" s="272">
        <f t="shared" si="226"/>
        <v>0</v>
      </c>
      <c r="AI434" s="272">
        <f t="shared" si="226"/>
        <v>0</v>
      </c>
      <c r="AJ434" s="272">
        <f t="shared" si="226"/>
        <v>0</v>
      </c>
      <c r="AK434" s="272">
        <f t="shared" si="226"/>
        <v>0</v>
      </c>
      <c r="AL434" s="272">
        <f t="shared" si="226"/>
        <v>0</v>
      </c>
      <c r="AM434" s="272">
        <f t="shared" si="226"/>
        <v>0</v>
      </c>
      <c r="AN434" s="272">
        <f t="shared" si="226"/>
        <v>0</v>
      </c>
      <c r="AO434" s="272">
        <f t="shared" si="226"/>
        <v>0</v>
      </c>
      <c r="AP434" s="272">
        <f t="shared" si="226"/>
        <v>0</v>
      </c>
    </row>
    <row r="435" spans="1:42" x14ac:dyDescent="0.2">
      <c r="A435" s="38"/>
      <c r="C435" s="273"/>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x14ac:dyDescent="0.2">
      <c r="A436" s="38" t="s">
        <v>112</v>
      </c>
      <c r="C436" s="273"/>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x14ac:dyDescent="0.2">
      <c r="A437" s="21">
        <v>1</v>
      </c>
      <c r="B437" s="253">
        <f t="shared" ref="B437:B446" si="227">SUM(C437:AP437)</f>
        <v>0</v>
      </c>
      <c r="C437" s="273">
        <f>LOOKUP(C425,$B$394:$AP$394,$B$395:$AP$395)*$B598/100</f>
        <v>0</v>
      </c>
      <c r="D437" s="273">
        <f t="shared" ref="D437:AP437" si="228">LOOKUP(D425,$B$394:$AP$394,$B$395:$AP$395)*$B598/100</f>
        <v>0</v>
      </c>
      <c r="E437" s="273">
        <f t="shared" si="228"/>
        <v>0</v>
      </c>
      <c r="F437" s="273">
        <f t="shared" si="228"/>
        <v>0</v>
      </c>
      <c r="G437" s="273">
        <f t="shared" si="228"/>
        <v>0</v>
      </c>
      <c r="H437" s="273">
        <f t="shared" si="228"/>
        <v>0</v>
      </c>
      <c r="I437" s="273">
        <f t="shared" si="228"/>
        <v>0</v>
      </c>
      <c r="J437" s="273">
        <f t="shared" si="228"/>
        <v>0</v>
      </c>
      <c r="K437" s="273">
        <f t="shared" si="228"/>
        <v>0</v>
      </c>
      <c r="L437" s="273">
        <f t="shared" si="228"/>
        <v>0</v>
      </c>
      <c r="M437" s="273">
        <f t="shared" si="228"/>
        <v>0</v>
      </c>
      <c r="N437" s="273">
        <f t="shared" si="228"/>
        <v>0</v>
      </c>
      <c r="O437" s="273">
        <f t="shared" si="228"/>
        <v>0</v>
      </c>
      <c r="P437" s="273">
        <f t="shared" si="228"/>
        <v>0</v>
      </c>
      <c r="Q437" s="273">
        <f t="shared" si="228"/>
        <v>0</v>
      </c>
      <c r="R437" s="273">
        <f t="shared" si="228"/>
        <v>0</v>
      </c>
      <c r="S437" s="273">
        <f t="shared" si="228"/>
        <v>0</v>
      </c>
      <c r="T437" s="273">
        <f t="shared" si="228"/>
        <v>0</v>
      </c>
      <c r="U437" s="273">
        <f t="shared" si="228"/>
        <v>0</v>
      </c>
      <c r="V437" s="273">
        <f t="shared" si="228"/>
        <v>0</v>
      </c>
      <c r="W437" s="273">
        <f t="shared" si="228"/>
        <v>0</v>
      </c>
      <c r="X437" s="273">
        <f t="shared" si="228"/>
        <v>0</v>
      </c>
      <c r="Y437" s="273">
        <f t="shared" si="228"/>
        <v>0</v>
      </c>
      <c r="Z437" s="273">
        <f t="shared" si="228"/>
        <v>0</v>
      </c>
      <c r="AA437" s="273">
        <f t="shared" si="228"/>
        <v>0</v>
      </c>
      <c r="AB437" s="273">
        <f t="shared" si="228"/>
        <v>0</v>
      </c>
      <c r="AC437" s="273">
        <f t="shared" si="228"/>
        <v>0</v>
      </c>
      <c r="AD437" s="273">
        <f t="shared" si="228"/>
        <v>0</v>
      </c>
      <c r="AE437" s="273">
        <f t="shared" si="228"/>
        <v>0</v>
      </c>
      <c r="AF437" s="273">
        <f t="shared" si="228"/>
        <v>0</v>
      </c>
      <c r="AG437" s="273">
        <f t="shared" si="228"/>
        <v>0</v>
      </c>
      <c r="AH437" s="273">
        <f t="shared" si="228"/>
        <v>0</v>
      </c>
      <c r="AI437" s="273">
        <f t="shared" si="228"/>
        <v>0</v>
      </c>
      <c r="AJ437" s="273">
        <f t="shared" si="228"/>
        <v>0</v>
      </c>
      <c r="AK437" s="273">
        <f t="shared" si="228"/>
        <v>0</v>
      </c>
      <c r="AL437" s="273">
        <f t="shared" si="228"/>
        <v>0</v>
      </c>
      <c r="AM437" s="273">
        <f t="shared" si="228"/>
        <v>0</v>
      </c>
      <c r="AN437" s="273">
        <f t="shared" si="228"/>
        <v>0</v>
      </c>
      <c r="AO437" s="273">
        <f t="shared" si="228"/>
        <v>0</v>
      </c>
      <c r="AP437" s="273">
        <f t="shared" si="228"/>
        <v>0</v>
      </c>
    </row>
    <row r="438" spans="1:42" x14ac:dyDescent="0.2">
      <c r="A438" s="21">
        <f>A437+1</f>
        <v>2</v>
      </c>
      <c r="B438" s="253">
        <f t="shared" si="227"/>
        <v>0</v>
      </c>
      <c r="C438" s="273">
        <f t="shared" ref="C438:AP438" si="229">LOOKUP(C426,$B$394:$AP$394,$B$395:$AP$395)*$B599/100</f>
        <v>0</v>
      </c>
      <c r="D438" s="273">
        <f t="shared" si="229"/>
        <v>0</v>
      </c>
      <c r="E438" s="273">
        <f t="shared" si="229"/>
        <v>0</v>
      </c>
      <c r="F438" s="273">
        <f t="shared" si="229"/>
        <v>0</v>
      </c>
      <c r="G438" s="273">
        <f t="shared" si="229"/>
        <v>0</v>
      </c>
      <c r="H438" s="273">
        <f t="shared" si="229"/>
        <v>0</v>
      </c>
      <c r="I438" s="273">
        <f t="shared" si="229"/>
        <v>0</v>
      </c>
      <c r="J438" s="273">
        <f t="shared" si="229"/>
        <v>0</v>
      </c>
      <c r="K438" s="273">
        <f t="shared" si="229"/>
        <v>0</v>
      </c>
      <c r="L438" s="273">
        <f t="shared" si="229"/>
        <v>0</v>
      </c>
      <c r="M438" s="273">
        <f t="shared" si="229"/>
        <v>0</v>
      </c>
      <c r="N438" s="273">
        <f t="shared" si="229"/>
        <v>0</v>
      </c>
      <c r="O438" s="273">
        <f t="shared" si="229"/>
        <v>0</v>
      </c>
      <c r="P438" s="273">
        <f t="shared" si="229"/>
        <v>0</v>
      </c>
      <c r="Q438" s="273">
        <f t="shared" si="229"/>
        <v>0</v>
      </c>
      <c r="R438" s="273">
        <f t="shared" si="229"/>
        <v>0</v>
      </c>
      <c r="S438" s="273">
        <f t="shared" si="229"/>
        <v>0</v>
      </c>
      <c r="T438" s="273">
        <f t="shared" si="229"/>
        <v>0</v>
      </c>
      <c r="U438" s="273">
        <f t="shared" si="229"/>
        <v>0</v>
      </c>
      <c r="V438" s="273">
        <f t="shared" si="229"/>
        <v>0</v>
      </c>
      <c r="W438" s="273">
        <f t="shared" si="229"/>
        <v>0</v>
      </c>
      <c r="X438" s="273">
        <f t="shared" si="229"/>
        <v>0</v>
      </c>
      <c r="Y438" s="273">
        <f t="shared" si="229"/>
        <v>0</v>
      </c>
      <c r="Z438" s="273">
        <f t="shared" si="229"/>
        <v>0</v>
      </c>
      <c r="AA438" s="273">
        <f t="shared" si="229"/>
        <v>0</v>
      </c>
      <c r="AB438" s="273">
        <f t="shared" si="229"/>
        <v>0</v>
      </c>
      <c r="AC438" s="273">
        <f t="shared" si="229"/>
        <v>0</v>
      </c>
      <c r="AD438" s="273">
        <f t="shared" si="229"/>
        <v>0</v>
      </c>
      <c r="AE438" s="273">
        <f t="shared" si="229"/>
        <v>0</v>
      </c>
      <c r="AF438" s="273">
        <f t="shared" si="229"/>
        <v>0</v>
      </c>
      <c r="AG438" s="273">
        <f t="shared" si="229"/>
        <v>0</v>
      </c>
      <c r="AH438" s="273">
        <f t="shared" si="229"/>
        <v>0</v>
      </c>
      <c r="AI438" s="273">
        <f t="shared" si="229"/>
        <v>0</v>
      </c>
      <c r="AJ438" s="273">
        <f t="shared" si="229"/>
        <v>0</v>
      </c>
      <c r="AK438" s="273">
        <f t="shared" si="229"/>
        <v>0</v>
      </c>
      <c r="AL438" s="273">
        <f t="shared" si="229"/>
        <v>0</v>
      </c>
      <c r="AM438" s="273">
        <f t="shared" si="229"/>
        <v>0</v>
      </c>
      <c r="AN438" s="273">
        <f t="shared" si="229"/>
        <v>0</v>
      </c>
      <c r="AO438" s="273">
        <f t="shared" si="229"/>
        <v>0</v>
      </c>
      <c r="AP438" s="273">
        <f t="shared" si="229"/>
        <v>0</v>
      </c>
    </row>
    <row r="439" spans="1:42" x14ac:dyDescent="0.2">
      <c r="A439" s="21">
        <f t="shared" ref="A439:A444" si="230">A438+1</f>
        <v>3</v>
      </c>
      <c r="B439" s="253">
        <f t="shared" si="227"/>
        <v>0</v>
      </c>
      <c r="C439" s="273">
        <f t="shared" ref="C439:AP439" si="231">LOOKUP(C427,$B$394:$AP$394,$B$395:$AP$395)*$B600/100</f>
        <v>0</v>
      </c>
      <c r="D439" s="273">
        <f t="shared" si="231"/>
        <v>0</v>
      </c>
      <c r="E439" s="273">
        <f t="shared" si="231"/>
        <v>0</v>
      </c>
      <c r="F439" s="273">
        <f t="shared" si="231"/>
        <v>0</v>
      </c>
      <c r="G439" s="273">
        <f t="shared" si="231"/>
        <v>0</v>
      </c>
      <c r="H439" s="273">
        <f t="shared" si="231"/>
        <v>0</v>
      </c>
      <c r="I439" s="273">
        <f t="shared" si="231"/>
        <v>0</v>
      </c>
      <c r="J439" s="273">
        <f t="shared" si="231"/>
        <v>0</v>
      </c>
      <c r="K439" s="273">
        <f t="shared" si="231"/>
        <v>0</v>
      </c>
      <c r="L439" s="273">
        <f t="shared" si="231"/>
        <v>0</v>
      </c>
      <c r="M439" s="273">
        <f t="shared" si="231"/>
        <v>0</v>
      </c>
      <c r="N439" s="273">
        <f t="shared" si="231"/>
        <v>0</v>
      </c>
      <c r="O439" s="273">
        <f t="shared" si="231"/>
        <v>0</v>
      </c>
      <c r="P439" s="273">
        <f t="shared" si="231"/>
        <v>0</v>
      </c>
      <c r="Q439" s="273">
        <f t="shared" si="231"/>
        <v>0</v>
      </c>
      <c r="R439" s="273">
        <f t="shared" si="231"/>
        <v>0</v>
      </c>
      <c r="S439" s="273">
        <f t="shared" si="231"/>
        <v>0</v>
      </c>
      <c r="T439" s="273">
        <f t="shared" si="231"/>
        <v>0</v>
      </c>
      <c r="U439" s="273">
        <f t="shared" si="231"/>
        <v>0</v>
      </c>
      <c r="V439" s="273">
        <f t="shared" si="231"/>
        <v>0</v>
      </c>
      <c r="W439" s="273">
        <f t="shared" si="231"/>
        <v>0</v>
      </c>
      <c r="X439" s="273">
        <f t="shared" si="231"/>
        <v>0</v>
      </c>
      <c r="Y439" s="273">
        <f t="shared" si="231"/>
        <v>0</v>
      </c>
      <c r="Z439" s="273">
        <f t="shared" si="231"/>
        <v>0</v>
      </c>
      <c r="AA439" s="273">
        <f t="shared" si="231"/>
        <v>0</v>
      </c>
      <c r="AB439" s="273">
        <f t="shared" si="231"/>
        <v>0</v>
      </c>
      <c r="AC439" s="273">
        <f t="shared" si="231"/>
        <v>0</v>
      </c>
      <c r="AD439" s="273">
        <f t="shared" si="231"/>
        <v>0</v>
      </c>
      <c r="AE439" s="273">
        <f t="shared" si="231"/>
        <v>0</v>
      </c>
      <c r="AF439" s="273">
        <f t="shared" si="231"/>
        <v>0</v>
      </c>
      <c r="AG439" s="273">
        <f t="shared" si="231"/>
        <v>0</v>
      </c>
      <c r="AH439" s="273">
        <f t="shared" si="231"/>
        <v>0</v>
      </c>
      <c r="AI439" s="273">
        <f t="shared" si="231"/>
        <v>0</v>
      </c>
      <c r="AJ439" s="273">
        <f t="shared" si="231"/>
        <v>0</v>
      </c>
      <c r="AK439" s="273">
        <f t="shared" si="231"/>
        <v>0</v>
      </c>
      <c r="AL439" s="273">
        <f t="shared" si="231"/>
        <v>0</v>
      </c>
      <c r="AM439" s="273">
        <f t="shared" si="231"/>
        <v>0</v>
      </c>
      <c r="AN439" s="273">
        <f t="shared" si="231"/>
        <v>0</v>
      </c>
      <c r="AO439" s="273">
        <f t="shared" si="231"/>
        <v>0</v>
      </c>
      <c r="AP439" s="273">
        <f t="shared" si="231"/>
        <v>0</v>
      </c>
    </row>
    <row r="440" spans="1:42" x14ac:dyDescent="0.2">
      <c r="A440" s="21">
        <f t="shared" si="230"/>
        <v>4</v>
      </c>
      <c r="B440" s="253">
        <f t="shared" si="227"/>
        <v>0</v>
      </c>
      <c r="C440" s="273">
        <f t="shared" ref="C440:AP440" si="232">LOOKUP(C428,$B$394:$AP$394,$B$395:$AP$395)*$B601/100</f>
        <v>0</v>
      </c>
      <c r="D440" s="273">
        <f t="shared" si="232"/>
        <v>0</v>
      </c>
      <c r="E440" s="273">
        <f t="shared" si="232"/>
        <v>0</v>
      </c>
      <c r="F440" s="273">
        <f t="shared" si="232"/>
        <v>0</v>
      </c>
      <c r="G440" s="273">
        <f t="shared" si="232"/>
        <v>0</v>
      </c>
      <c r="H440" s="273">
        <f t="shared" si="232"/>
        <v>0</v>
      </c>
      <c r="I440" s="273">
        <f t="shared" si="232"/>
        <v>0</v>
      </c>
      <c r="J440" s="273">
        <f t="shared" si="232"/>
        <v>0</v>
      </c>
      <c r="K440" s="273">
        <f t="shared" si="232"/>
        <v>0</v>
      </c>
      <c r="L440" s="273">
        <f t="shared" si="232"/>
        <v>0</v>
      </c>
      <c r="M440" s="273">
        <f t="shared" si="232"/>
        <v>0</v>
      </c>
      <c r="N440" s="273">
        <f t="shared" si="232"/>
        <v>0</v>
      </c>
      <c r="O440" s="273">
        <f t="shared" si="232"/>
        <v>0</v>
      </c>
      <c r="P440" s="273">
        <f t="shared" si="232"/>
        <v>0</v>
      </c>
      <c r="Q440" s="273">
        <f t="shared" si="232"/>
        <v>0</v>
      </c>
      <c r="R440" s="273">
        <f t="shared" si="232"/>
        <v>0</v>
      </c>
      <c r="S440" s="273">
        <f t="shared" si="232"/>
        <v>0</v>
      </c>
      <c r="T440" s="273">
        <f t="shared" si="232"/>
        <v>0</v>
      </c>
      <c r="U440" s="273">
        <f t="shared" si="232"/>
        <v>0</v>
      </c>
      <c r="V440" s="273">
        <f t="shared" si="232"/>
        <v>0</v>
      </c>
      <c r="W440" s="273">
        <f t="shared" si="232"/>
        <v>0</v>
      </c>
      <c r="X440" s="273">
        <f t="shared" si="232"/>
        <v>0</v>
      </c>
      <c r="Y440" s="273">
        <f t="shared" si="232"/>
        <v>0</v>
      </c>
      <c r="Z440" s="273">
        <f t="shared" si="232"/>
        <v>0</v>
      </c>
      <c r="AA440" s="273">
        <f t="shared" si="232"/>
        <v>0</v>
      </c>
      <c r="AB440" s="273">
        <f t="shared" si="232"/>
        <v>0</v>
      </c>
      <c r="AC440" s="273">
        <f t="shared" si="232"/>
        <v>0</v>
      </c>
      <c r="AD440" s="273">
        <f t="shared" si="232"/>
        <v>0</v>
      </c>
      <c r="AE440" s="273">
        <f t="shared" si="232"/>
        <v>0</v>
      </c>
      <c r="AF440" s="273">
        <f t="shared" si="232"/>
        <v>0</v>
      </c>
      <c r="AG440" s="273">
        <f t="shared" si="232"/>
        <v>0</v>
      </c>
      <c r="AH440" s="273">
        <f t="shared" si="232"/>
        <v>0</v>
      </c>
      <c r="AI440" s="273">
        <f t="shared" si="232"/>
        <v>0</v>
      </c>
      <c r="AJ440" s="273">
        <f t="shared" si="232"/>
        <v>0</v>
      </c>
      <c r="AK440" s="273">
        <f t="shared" si="232"/>
        <v>0</v>
      </c>
      <c r="AL440" s="273">
        <f t="shared" si="232"/>
        <v>0</v>
      </c>
      <c r="AM440" s="273">
        <f t="shared" si="232"/>
        <v>0</v>
      </c>
      <c r="AN440" s="273">
        <f t="shared" si="232"/>
        <v>0</v>
      </c>
      <c r="AO440" s="273">
        <f t="shared" si="232"/>
        <v>0</v>
      </c>
      <c r="AP440" s="273">
        <f t="shared" si="232"/>
        <v>0</v>
      </c>
    </row>
    <row r="441" spans="1:42" x14ac:dyDescent="0.2">
      <c r="A441" s="21">
        <f t="shared" si="230"/>
        <v>5</v>
      </c>
      <c r="B441" s="253">
        <f t="shared" si="227"/>
        <v>0</v>
      </c>
      <c r="C441" s="273">
        <f t="shared" ref="C441:AP441" si="233">LOOKUP(C429,$B$394:$AP$394,$B$395:$AP$395)*$B602/100</f>
        <v>0</v>
      </c>
      <c r="D441" s="273">
        <f t="shared" si="233"/>
        <v>0</v>
      </c>
      <c r="E441" s="273">
        <f t="shared" si="233"/>
        <v>0</v>
      </c>
      <c r="F441" s="273">
        <f t="shared" si="233"/>
        <v>0</v>
      </c>
      <c r="G441" s="273">
        <f t="shared" si="233"/>
        <v>0</v>
      </c>
      <c r="H441" s="273">
        <f t="shared" si="233"/>
        <v>0</v>
      </c>
      <c r="I441" s="273">
        <f t="shared" si="233"/>
        <v>0</v>
      </c>
      <c r="J441" s="273">
        <f t="shared" si="233"/>
        <v>0</v>
      </c>
      <c r="K441" s="273">
        <f t="shared" si="233"/>
        <v>0</v>
      </c>
      <c r="L441" s="273">
        <f t="shared" si="233"/>
        <v>0</v>
      </c>
      <c r="M441" s="273">
        <f t="shared" si="233"/>
        <v>0</v>
      </c>
      <c r="N441" s="273">
        <f t="shared" si="233"/>
        <v>0</v>
      </c>
      <c r="O441" s="273">
        <f t="shared" si="233"/>
        <v>0</v>
      </c>
      <c r="P441" s="273">
        <f t="shared" si="233"/>
        <v>0</v>
      </c>
      <c r="Q441" s="273">
        <f t="shared" si="233"/>
        <v>0</v>
      </c>
      <c r="R441" s="273">
        <f t="shared" si="233"/>
        <v>0</v>
      </c>
      <c r="S441" s="273">
        <f t="shared" si="233"/>
        <v>0</v>
      </c>
      <c r="T441" s="273">
        <f t="shared" si="233"/>
        <v>0</v>
      </c>
      <c r="U441" s="273">
        <f t="shared" si="233"/>
        <v>0</v>
      </c>
      <c r="V441" s="273">
        <f t="shared" si="233"/>
        <v>0</v>
      </c>
      <c r="W441" s="273">
        <f t="shared" si="233"/>
        <v>0</v>
      </c>
      <c r="X441" s="273">
        <f t="shared" si="233"/>
        <v>0</v>
      </c>
      <c r="Y441" s="273">
        <f t="shared" si="233"/>
        <v>0</v>
      </c>
      <c r="Z441" s="273">
        <f t="shared" si="233"/>
        <v>0</v>
      </c>
      <c r="AA441" s="273">
        <f t="shared" si="233"/>
        <v>0</v>
      </c>
      <c r="AB441" s="273">
        <f t="shared" si="233"/>
        <v>0</v>
      </c>
      <c r="AC441" s="273">
        <f t="shared" si="233"/>
        <v>0</v>
      </c>
      <c r="AD441" s="273">
        <f t="shared" si="233"/>
        <v>0</v>
      </c>
      <c r="AE441" s="273">
        <f t="shared" si="233"/>
        <v>0</v>
      </c>
      <c r="AF441" s="273">
        <f t="shared" si="233"/>
        <v>0</v>
      </c>
      <c r="AG441" s="273">
        <f t="shared" si="233"/>
        <v>0</v>
      </c>
      <c r="AH441" s="273">
        <f t="shared" si="233"/>
        <v>0</v>
      </c>
      <c r="AI441" s="273">
        <f t="shared" si="233"/>
        <v>0</v>
      </c>
      <c r="AJ441" s="273">
        <f t="shared" si="233"/>
        <v>0</v>
      </c>
      <c r="AK441" s="273">
        <f t="shared" si="233"/>
        <v>0</v>
      </c>
      <c r="AL441" s="273">
        <f t="shared" si="233"/>
        <v>0</v>
      </c>
      <c r="AM441" s="273">
        <f t="shared" si="233"/>
        <v>0</v>
      </c>
      <c r="AN441" s="273">
        <f t="shared" si="233"/>
        <v>0</v>
      </c>
      <c r="AO441" s="273">
        <f t="shared" si="233"/>
        <v>0</v>
      </c>
      <c r="AP441" s="273">
        <f t="shared" si="233"/>
        <v>0</v>
      </c>
    </row>
    <row r="442" spans="1:42" x14ac:dyDescent="0.2">
      <c r="A442" s="21">
        <f t="shared" si="230"/>
        <v>6</v>
      </c>
      <c r="B442" s="253">
        <f t="shared" si="227"/>
        <v>0</v>
      </c>
      <c r="C442" s="273">
        <f t="shared" ref="C442:AP442" si="234">LOOKUP(C430,$B$394:$AP$394,$B$395:$AP$395)*$B603/100</f>
        <v>0</v>
      </c>
      <c r="D442" s="273">
        <f t="shared" si="234"/>
        <v>0</v>
      </c>
      <c r="E442" s="273">
        <f t="shared" si="234"/>
        <v>0</v>
      </c>
      <c r="F442" s="273">
        <f t="shared" si="234"/>
        <v>0</v>
      </c>
      <c r="G442" s="273">
        <f t="shared" si="234"/>
        <v>0</v>
      </c>
      <c r="H442" s="273">
        <f t="shared" si="234"/>
        <v>0</v>
      </c>
      <c r="I442" s="273">
        <f t="shared" si="234"/>
        <v>0</v>
      </c>
      <c r="J442" s="273">
        <f t="shared" si="234"/>
        <v>0</v>
      </c>
      <c r="K442" s="273">
        <f t="shared" si="234"/>
        <v>0</v>
      </c>
      <c r="L442" s="273">
        <f t="shared" si="234"/>
        <v>0</v>
      </c>
      <c r="M442" s="273">
        <f t="shared" si="234"/>
        <v>0</v>
      </c>
      <c r="N442" s="273">
        <f t="shared" si="234"/>
        <v>0</v>
      </c>
      <c r="O442" s="273">
        <f t="shared" si="234"/>
        <v>0</v>
      </c>
      <c r="P442" s="273">
        <f t="shared" si="234"/>
        <v>0</v>
      </c>
      <c r="Q442" s="273">
        <f t="shared" si="234"/>
        <v>0</v>
      </c>
      <c r="R442" s="273">
        <f t="shared" si="234"/>
        <v>0</v>
      </c>
      <c r="S442" s="273">
        <f t="shared" si="234"/>
        <v>0</v>
      </c>
      <c r="T442" s="273">
        <f t="shared" si="234"/>
        <v>0</v>
      </c>
      <c r="U442" s="273">
        <f t="shared" si="234"/>
        <v>0</v>
      </c>
      <c r="V442" s="273">
        <f t="shared" si="234"/>
        <v>0</v>
      </c>
      <c r="W442" s="273">
        <f t="shared" si="234"/>
        <v>0</v>
      </c>
      <c r="X442" s="273">
        <f t="shared" si="234"/>
        <v>0</v>
      </c>
      <c r="Y442" s="273">
        <f t="shared" si="234"/>
        <v>0</v>
      </c>
      <c r="Z442" s="273">
        <f t="shared" si="234"/>
        <v>0</v>
      </c>
      <c r="AA442" s="273">
        <f t="shared" si="234"/>
        <v>0</v>
      </c>
      <c r="AB442" s="273">
        <f t="shared" si="234"/>
        <v>0</v>
      </c>
      <c r="AC442" s="273">
        <f t="shared" si="234"/>
        <v>0</v>
      </c>
      <c r="AD442" s="273">
        <f t="shared" si="234"/>
        <v>0</v>
      </c>
      <c r="AE442" s="273">
        <f t="shared" si="234"/>
        <v>0</v>
      </c>
      <c r="AF442" s="273">
        <f t="shared" si="234"/>
        <v>0</v>
      </c>
      <c r="AG442" s="273">
        <f t="shared" si="234"/>
        <v>0</v>
      </c>
      <c r="AH442" s="273">
        <f t="shared" si="234"/>
        <v>0</v>
      </c>
      <c r="AI442" s="273">
        <f t="shared" si="234"/>
        <v>0</v>
      </c>
      <c r="AJ442" s="273">
        <f t="shared" si="234"/>
        <v>0</v>
      </c>
      <c r="AK442" s="273">
        <f t="shared" si="234"/>
        <v>0</v>
      </c>
      <c r="AL442" s="273">
        <f t="shared" si="234"/>
        <v>0</v>
      </c>
      <c r="AM442" s="273">
        <f t="shared" si="234"/>
        <v>0</v>
      </c>
      <c r="AN442" s="273">
        <f t="shared" si="234"/>
        <v>0</v>
      </c>
      <c r="AO442" s="273">
        <f t="shared" si="234"/>
        <v>0</v>
      </c>
      <c r="AP442" s="273">
        <f t="shared" si="234"/>
        <v>0</v>
      </c>
    </row>
    <row r="443" spans="1:42" x14ac:dyDescent="0.2">
      <c r="A443" s="21">
        <f t="shared" si="230"/>
        <v>7</v>
      </c>
      <c r="B443" s="253">
        <f t="shared" si="227"/>
        <v>0</v>
      </c>
      <c r="C443" s="273">
        <f t="shared" ref="C443:AP443" si="235">LOOKUP(C431,$B$394:$AP$394,$B$395:$AP$395)*$B604/100</f>
        <v>0</v>
      </c>
      <c r="D443" s="273">
        <f t="shared" si="235"/>
        <v>0</v>
      </c>
      <c r="E443" s="273">
        <f t="shared" si="235"/>
        <v>0</v>
      </c>
      <c r="F443" s="273">
        <f t="shared" si="235"/>
        <v>0</v>
      </c>
      <c r="G443" s="273">
        <f t="shared" si="235"/>
        <v>0</v>
      </c>
      <c r="H443" s="273">
        <f t="shared" si="235"/>
        <v>0</v>
      </c>
      <c r="I443" s="273">
        <f t="shared" si="235"/>
        <v>0</v>
      </c>
      <c r="J443" s="273">
        <f t="shared" si="235"/>
        <v>0</v>
      </c>
      <c r="K443" s="273">
        <f t="shared" si="235"/>
        <v>0</v>
      </c>
      <c r="L443" s="273">
        <f t="shared" si="235"/>
        <v>0</v>
      </c>
      <c r="M443" s="273">
        <f t="shared" si="235"/>
        <v>0</v>
      </c>
      <c r="N443" s="273">
        <f t="shared" si="235"/>
        <v>0</v>
      </c>
      <c r="O443" s="273">
        <f t="shared" si="235"/>
        <v>0</v>
      </c>
      <c r="P443" s="273">
        <f t="shared" si="235"/>
        <v>0</v>
      </c>
      <c r="Q443" s="273">
        <f t="shared" si="235"/>
        <v>0</v>
      </c>
      <c r="R443" s="273">
        <f t="shared" si="235"/>
        <v>0</v>
      </c>
      <c r="S443" s="273">
        <f t="shared" si="235"/>
        <v>0</v>
      </c>
      <c r="T443" s="273">
        <f t="shared" si="235"/>
        <v>0</v>
      </c>
      <c r="U443" s="273">
        <f t="shared" si="235"/>
        <v>0</v>
      </c>
      <c r="V443" s="273">
        <f t="shared" si="235"/>
        <v>0</v>
      </c>
      <c r="W443" s="273">
        <f t="shared" si="235"/>
        <v>0</v>
      </c>
      <c r="X443" s="273">
        <f t="shared" si="235"/>
        <v>0</v>
      </c>
      <c r="Y443" s="273">
        <f t="shared" si="235"/>
        <v>0</v>
      </c>
      <c r="Z443" s="273">
        <f t="shared" si="235"/>
        <v>0</v>
      </c>
      <c r="AA443" s="273">
        <f t="shared" si="235"/>
        <v>0</v>
      </c>
      <c r="AB443" s="273">
        <f t="shared" si="235"/>
        <v>0</v>
      </c>
      <c r="AC443" s="273">
        <f t="shared" si="235"/>
        <v>0</v>
      </c>
      <c r="AD443" s="273">
        <f t="shared" si="235"/>
        <v>0</v>
      </c>
      <c r="AE443" s="273">
        <f t="shared" si="235"/>
        <v>0</v>
      </c>
      <c r="AF443" s="273">
        <f t="shared" si="235"/>
        <v>0</v>
      </c>
      <c r="AG443" s="273">
        <f t="shared" si="235"/>
        <v>0</v>
      </c>
      <c r="AH443" s="273">
        <f t="shared" si="235"/>
        <v>0</v>
      </c>
      <c r="AI443" s="273">
        <f t="shared" si="235"/>
        <v>0</v>
      </c>
      <c r="AJ443" s="273">
        <f t="shared" si="235"/>
        <v>0</v>
      </c>
      <c r="AK443" s="273">
        <f t="shared" si="235"/>
        <v>0</v>
      </c>
      <c r="AL443" s="273">
        <f t="shared" si="235"/>
        <v>0</v>
      </c>
      <c r="AM443" s="273">
        <f t="shared" si="235"/>
        <v>0</v>
      </c>
      <c r="AN443" s="273">
        <f t="shared" si="235"/>
        <v>0</v>
      </c>
      <c r="AO443" s="273">
        <f t="shared" si="235"/>
        <v>0</v>
      </c>
      <c r="AP443" s="273">
        <f t="shared" si="235"/>
        <v>0</v>
      </c>
    </row>
    <row r="444" spans="1:42" x14ac:dyDescent="0.2">
      <c r="A444" s="21">
        <f t="shared" si="230"/>
        <v>8</v>
      </c>
      <c r="B444" s="253">
        <f t="shared" si="227"/>
        <v>0</v>
      </c>
      <c r="C444" s="273">
        <f t="shared" ref="C444:AP444" si="236">LOOKUP(C432,$B$394:$AP$394,$B$395:$AP$395)*$B605/100</f>
        <v>0</v>
      </c>
      <c r="D444" s="273">
        <f t="shared" si="236"/>
        <v>0</v>
      </c>
      <c r="E444" s="273">
        <f t="shared" si="236"/>
        <v>0</v>
      </c>
      <c r="F444" s="273">
        <f t="shared" si="236"/>
        <v>0</v>
      </c>
      <c r="G444" s="273">
        <f t="shared" si="236"/>
        <v>0</v>
      </c>
      <c r="H444" s="273">
        <f t="shared" si="236"/>
        <v>0</v>
      </c>
      <c r="I444" s="273">
        <f t="shared" si="236"/>
        <v>0</v>
      </c>
      <c r="J444" s="273">
        <f t="shared" si="236"/>
        <v>0</v>
      </c>
      <c r="K444" s="273">
        <f t="shared" si="236"/>
        <v>0</v>
      </c>
      <c r="L444" s="273">
        <f t="shared" si="236"/>
        <v>0</v>
      </c>
      <c r="M444" s="273">
        <f t="shared" si="236"/>
        <v>0</v>
      </c>
      <c r="N444" s="273">
        <f t="shared" si="236"/>
        <v>0</v>
      </c>
      <c r="O444" s="273">
        <f t="shared" si="236"/>
        <v>0</v>
      </c>
      <c r="P444" s="273">
        <f t="shared" si="236"/>
        <v>0</v>
      </c>
      <c r="Q444" s="273">
        <f t="shared" si="236"/>
        <v>0</v>
      </c>
      <c r="R444" s="273">
        <f t="shared" si="236"/>
        <v>0</v>
      </c>
      <c r="S444" s="273">
        <f t="shared" si="236"/>
        <v>0</v>
      </c>
      <c r="T444" s="273">
        <f t="shared" si="236"/>
        <v>0</v>
      </c>
      <c r="U444" s="273">
        <f t="shared" si="236"/>
        <v>0</v>
      </c>
      <c r="V444" s="273">
        <f t="shared" si="236"/>
        <v>0</v>
      </c>
      <c r="W444" s="273">
        <f t="shared" si="236"/>
        <v>0</v>
      </c>
      <c r="X444" s="273">
        <f t="shared" si="236"/>
        <v>0</v>
      </c>
      <c r="Y444" s="273">
        <f t="shared" si="236"/>
        <v>0</v>
      </c>
      <c r="Z444" s="273">
        <f t="shared" si="236"/>
        <v>0</v>
      </c>
      <c r="AA444" s="273">
        <f t="shared" si="236"/>
        <v>0</v>
      </c>
      <c r="AB444" s="273">
        <f t="shared" si="236"/>
        <v>0</v>
      </c>
      <c r="AC444" s="273">
        <f t="shared" si="236"/>
        <v>0</v>
      </c>
      <c r="AD444" s="273">
        <f t="shared" si="236"/>
        <v>0</v>
      </c>
      <c r="AE444" s="273">
        <f t="shared" si="236"/>
        <v>0</v>
      </c>
      <c r="AF444" s="273">
        <f t="shared" si="236"/>
        <v>0</v>
      </c>
      <c r="AG444" s="273">
        <f t="shared" si="236"/>
        <v>0</v>
      </c>
      <c r="AH444" s="273">
        <f t="shared" si="236"/>
        <v>0</v>
      </c>
      <c r="AI444" s="273">
        <f t="shared" si="236"/>
        <v>0</v>
      </c>
      <c r="AJ444" s="273">
        <f t="shared" si="236"/>
        <v>0</v>
      </c>
      <c r="AK444" s="273">
        <f t="shared" si="236"/>
        <v>0</v>
      </c>
      <c r="AL444" s="273">
        <f t="shared" si="236"/>
        <v>0</v>
      </c>
      <c r="AM444" s="273">
        <f t="shared" si="236"/>
        <v>0</v>
      </c>
      <c r="AN444" s="273">
        <f t="shared" si="236"/>
        <v>0</v>
      </c>
      <c r="AO444" s="273">
        <f t="shared" si="236"/>
        <v>0</v>
      </c>
      <c r="AP444" s="273">
        <f t="shared" si="236"/>
        <v>0</v>
      </c>
    </row>
    <row r="445" spans="1:42" x14ac:dyDescent="0.2">
      <c r="A445" s="21">
        <f>A444+1</f>
        <v>9</v>
      </c>
      <c r="B445" s="253">
        <f t="shared" si="227"/>
        <v>0</v>
      </c>
      <c r="C445" s="273">
        <f t="shared" ref="C445:AP445" si="237">LOOKUP(C433,$B$394:$AP$394,$B$395:$AP$395)*$B606/100</f>
        <v>0</v>
      </c>
      <c r="D445" s="273">
        <f t="shared" si="237"/>
        <v>0</v>
      </c>
      <c r="E445" s="273">
        <f t="shared" si="237"/>
        <v>0</v>
      </c>
      <c r="F445" s="273">
        <f t="shared" si="237"/>
        <v>0</v>
      </c>
      <c r="G445" s="273">
        <f t="shared" si="237"/>
        <v>0</v>
      </c>
      <c r="H445" s="273">
        <f t="shared" si="237"/>
        <v>0</v>
      </c>
      <c r="I445" s="273">
        <f t="shared" si="237"/>
        <v>0</v>
      </c>
      <c r="J445" s="273">
        <f t="shared" si="237"/>
        <v>0</v>
      </c>
      <c r="K445" s="273">
        <f t="shared" si="237"/>
        <v>0</v>
      </c>
      <c r="L445" s="273">
        <f t="shared" si="237"/>
        <v>0</v>
      </c>
      <c r="M445" s="273">
        <f t="shared" si="237"/>
        <v>0</v>
      </c>
      <c r="N445" s="273">
        <f t="shared" si="237"/>
        <v>0</v>
      </c>
      <c r="O445" s="273">
        <f t="shared" si="237"/>
        <v>0</v>
      </c>
      <c r="P445" s="273">
        <f t="shared" si="237"/>
        <v>0</v>
      </c>
      <c r="Q445" s="273">
        <f t="shared" si="237"/>
        <v>0</v>
      </c>
      <c r="R445" s="273">
        <f t="shared" si="237"/>
        <v>0</v>
      </c>
      <c r="S445" s="273">
        <f t="shared" si="237"/>
        <v>0</v>
      </c>
      <c r="T445" s="273">
        <f t="shared" si="237"/>
        <v>0</v>
      </c>
      <c r="U445" s="273">
        <f t="shared" si="237"/>
        <v>0</v>
      </c>
      <c r="V445" s="273">
        <f t="shared" si="237"/>
        <v>0</v>
      </c>
      <c r="W445" s="273">
        <f t="shared" si="237"/>
        <v>0</v>
      </c>
      <c r="X445" s="273">
        <f t="shared" si="237"/>
        <v>0</v>
      </c>
      <c r="Y445" s="273">
        <f t="shared" si="237"/>
        <v>0</v>
      </c>
      <c r="Z445" s="273">
        <f t="shared" si="237"/>
        <v>0</v>
      </c>
      <c r="AA445" s="273">
        <f t="shared" si="237"/>
        <v>0</v>
      </c>
      <c r="AB445" s="273">
        <f t="shared" si="237"/>
        <v>0</v>
      </c>
      <c r="AC445" s="273">
        <f t="shared" si="237"/>
        <v>0</v>
      </c>
      <c r="AD445" s="273">
        <f t="shared" si="237"/>
        <v>0</v>
      </c>
      <c r="AE445" s="273">
        <f t="shared" si="237"/>
        <v>0</v>
      </c>
      <c r="AF445" s="273">
        <f t="shared" si="237"/>
        <v>0</v>
      </c>
      <c r="AG445" s="273">
        <f t="shared" si="237"/>
        <v>0</v>
      </c>
      <c r="AH445" s="273">
        <f t="shared" si="237"/>
        <v>0</v>
      </c>
      <c r="AI445" s="273">
        <f t="shared" si="237"/>
        <v>0</v>
      </c>
      <c r="AJ445" s="273">
        <f t="shared" si="237"/>
        <v>0</v>
      </c>
      <c r="AK445" s="273">
        <f t="shared" si="237"/>
        <v>0</v>
      </c>
      <c r="AL445" s="273">
        <f t="shared" si="237"/>
        <v>0</v>
      </c>
      <c r="AM445" s="273">
        <f t="shared" si="237"/>
        <v>0</v>
      </c>
      <c r="AN445" s="273">
        <f t="shared" si="237"/>
        <v>0</v>
      </c>
      <c r="AO445" s="273">
        <f t="shared" si="237"/>
        <v>0</v>
      </c>
      <c r="AP445" s="273">
        <f t="shared" si="237"/>
        <v>0</v>
      </c>
    </row>
    <row r="446" spans="1:42" x14ac:dyDescent="0.2">
      <c r="A446" s="21">
        <f t="shared" ref="A446" si="238">A445+1</f>
        <v>10</v>
      </c>
      <c r="B446" s="253">
        <f t="shared" si="227"/>
        <v>0</v>
      </c>
      <c r="C446" s="273">
        <f t="shared" ref="C446:AP446" si="239">LOOKUP(C434,$B$394:$AP$394,$B$395:$AP$395)*$B607/100</f>
        <v>0</v>
      </c>
      <c r="D446" s="273">
        <f t="shared" si="239"/>
        <v>0</v>
      </c>
      <c r="E446" s="273">
        <f t="shared" si="239"/>
        <v>0</v>
      </c>
      <c r="F446" s="273">
        <f t="shared" si="239"/>
        <v>0</v>
      </c>
      <c r="G446" s="273">
        <f t="shared" si="239"/>
        <v>0</v>
      </c>
      <c r="H446" s="273">
        <f t="shared" si="239"/>
        <v>0</v>
      </c>
      <c r="I446" s="273">
        <f t="shared" si="239"/>
        <v>0</v>
      </c>
      <c r="J446" s="273">
        <f t="shared" si="239"/>
        <v>0</v>
      </c>
      <c r="K446" s="273">
        <f t="shared" si="239"/>
        <v>0</v>
      </c>
      <c r="L446" s="273">
        <f t="shared" si="239"/>
        <v>0</v>
      </c>
      <c r="M446" s="273">
        <f t="shared" si="239"/>
        <v>0</v>
      </c>
      <c r="N446" s="273">
        <f t="shared" si="239"/>
        <v>0</v>
      </c>
      <c r="O446" s="273">
        <f t="shared" si="239"/>
        <v>0</v>
      </c>
      <c r="P446" s="273">
        <f t="shared" si="239"/>
        <v>0</v>
      </c>
      <c r="Q446" s="273">
        <f t="shared" si="239"/>
        <v>0</v>
      </c>
      <c r="R446" s="273">
        <f t="shared" si="239"/>
        <v>0</v>
      </c>
      <c r="S446" s="273">
        <f t="shared" si="239"/>
        <v>0</v>
      </c>
      <c r="T446" s="273">
        <f t="shared" si="239"/>
        <v>0</v>
      </c>
      <c r="U446" s="273">
        <f t="shared" si="239"/>
        <v>0</v>
      </c>
      <c r="V446" s="273">
        <f t="shared" si="239"/>
        <v>0</v>
      </c>
      <c r="W446" s="273">
        <f t="shared" si="239"/>
        <v>0</v>
      </c>
      <c r="X446" s="273">
        <f t="shared" si="239"/>
        <v>0</v>
      </c>
      <c r="Y446" s="273">
        <f t="shared" si="239"/>
        <v>0</v>
      </c>
      <c r="Z446" s="273">
        <f t="shared" si="239"/>
        <v>0</v>
      </c>
      <c r="AA446" s="273">
        <f t="shared" si="239"/>
        <v>0</v>
      </c>
      <c r="AB446" s="273">
        <f t="shared" si="239"/>
        <v>0</v>
      </c>
      <c r="AC446" s="273">
        <f t="shared" si="239"/>
        <v>0</v>
      </c>
      <c r="AD446" s="273">
        <f t="shared" si="239"/>
        <v>0</v>
      </c>
      <c r="AE446" s="273">
        <f t="shared" si="239"/>
        <v>0</v>
      </c>
      <c r="AF446" s="273">
        <f t="shared" si="239"/>
        <v>0</v>
      </c>
      <c r="AG446" s="273">
        <f t="shared" si="239"/>
        <v>0</v>
      </c>
      <c r="AH446" s="273">
        <f t="shared" si="239"/>
        <v>0</v>
      </c>
      <c r="AI446" s="273">
        <f t="shared" si="239"/>
        <v>0</v>
      </c>
      <c r="AJ446" s="273">
        <f t="shared" si="239"/>
        <v>0</v>
      </c>
      <c r="AK446" s="273">
        <f t="shared" si="239"/>
        <v>0</v>
      </c>
      <c r="AL446" s="273">
        <f t="shared" si="239"/>
        <v>0</v>
      </c>
      <c r="AM446" s="273">
        <f t="shared" si="239"/>
        <v>0</v>
      </c>
      <c r="AN446" s="273">
        <f t="shared" si="239"/>
        <v>0</v>
      </c>
      <c r="AO446" s="273">
        <f t="shared" si="239"/>
        <v>0</v>
      </c>
      <c r="AP446" s="273">
        <f t="shared" si="239"/>
        <v>0</v>
      </c>
    </row>
    <row r="447" spans="1:42" s="21" customFormat="1" x14ac:dyDescent="0.2">
      <c r="A447" s="46" t="s">
        <v>18</v>
      </c>
      <c r="B447" s="24"/>
      <c r="C447" s="273">
        <f>SUM(C437:C446)</f>
        <v>0</v>
      </c>
      <c r="D447" s="273">
        <f t="shared" ref="D447:AP447" si="240">SUM(D437:D446)</f>
        <v>0</v>
      </c>
      <c r="E447" s="273">
        <f t="shared" si="240"/>
        <v>0</v>
      </c>
      <c r="F447" s="273">
        <f t="shared" si="240"/>
        <v>0</v>
      </c>
      <c r="G447" s="273">
        <f t="shared" si="240"/>
        <v>0</v>
      </c>
      <c r="H447" s="273">
        <f t="shared" si="240"/>
        <v>0</v>
      </c>
      <c r="I447" s="273">
        <f t="shared" si="240"/>
        <v>0</v>
      </c>
      <c r="J447" s="273">
        <f t="shared" si="240"/>
        <v>0</v>
      </c>
      <c r="K447" s="273">
        <f t="shared" si="240"/>
        <v>0</v>
      </c>
      <c r="L447" s="273">
        <f t="shared" si="240"/>
        <v>0</v>
      </c>
      <c r="M447" s="273">
        <f t="shared" si="240"/>
        <v>0</v>
      </c>
      <c r="N447" s="273">
        <f t="shared" si="240"/>
        <v>0</v>
      </c>
      <c r="O447" s="273">
        <f t="shared" si="240"/>
        <v>0</v>
      </c>
      <c r="P447" s="273">
        <f t="shared" si="240"/>
        <v>0</v>
      </c>
      <c r="Q447" s="273">
        <f t="shared" si="240"/>
        <v>0</v>
      </c>
      <c r="R447" s="273">
        <f t="shared" si="240"/>
        <v>0</v>
      </c>
      <c r="S447" s="273">
        <f t="shared" si="240"/>
        <v>0</v>
      </c>
      <c r="T447" s="273">
        <f t="shared" si="240"/>
        <v>0</v>
      </c>
      <c r="U447" s="273">
        <f t="shared" si="240"/>
        <v>0</v>
      </c>
      <c r="V447" s="273">
        <f t="shared" si="240"/>
        <v>0</v>
      </c>
      <c r="W447" s="273">
        <f t="shared" si="240"/>
        <v>0</v>
      </c>
      <c r="X447" s="273">
        <f t="shared" si="240"/>
        <v>0</v>
      </c>
      <c r="Y447" s="273">
        <f t="shared" si="240"/>
        <v>0</v>
      </c>
      <c r="Z447" s="273">
        <f t="shared" si="240"/>
        <v>0</v>
      </c>
      <c r="AA447" s="273">
        <f t="shared" si="240"/>
        <v>0</v>
      </c>
      <c r="AB447" s="273">
        <f t="shared" si="240"/>
        <v>0</v>
      </c>
      <c r="AC447" s="273">
        <f t="shared" si="240"/>
        <v>0</v>
      </c>
      <c r="AD447" s="273">
        <f t="shared" si="240"/>
        <v>0</v>
      </c>
      <c r="AE447" s="273">
        <f t="shared" si="240"/>
        <v>0</v>
      </c>
      <c r="AF447" s="273">
        <f t="shared" si="240"/>
        <v>0</v>
      </c>
      <c r="AG447" s="273">
        <f t="shared" si="240"/>
        <v>0</v>
      </c>
      <c r="AH447" s="273">
        <f t="shared" si="240"/>
        <v>0</v>
      </c>
      <c r="AI447" s="273">
        <f t="shared" si="240"/>
        <v>0</v>
      </c>
      <c r="AJ447" s="273">
        <f t="shared" si="240"/>
        <v>0</v>
      </c>
      <c r="AK447" s="273">
        <f t="shared" si="240"/>
        <v>0</v>
      </c>
      <c r="AL447" s="273">
        <f t="shared" si="240"/>
        <v>0</v>
      </c>
      <c r="AM447" s="273">
        <f t="shared" si="240"/>
        <v>0</v>
      </c>
      <c r="AN447" s="273">
        <f t="shared" si="240"/>
        <v>0</v>
      </c>
      <c r="AO447" s="273">
        <f t="shared" si="240"/>
        <v>0</v>
      </c>
      <c r="AP447" s="273">
        <f t="shared" si="240"/>
        <v>0</v>
      </c>
    </row>
    <row r="448" spans="1:42" s="21" customFormat="1" x14ac:dyDescent="0.2">
      <c r="A448" s="46"/>
      <c r="B448" s="24"/>
      <c r="C448" s="273"/>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6" t="s">
        <v>145</v>
      </c>
      <c r="C449" s="273"/>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x14ac:dyDescent="0.2">
      <c r="A450" s="38" t="s">
        <v>108</v>
      </c>
      <c r="C450" s="273"/>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x14ac:dyDescent="0.2">
      <c r="A451" s="7">
        <v>1</v>
      </c>
      <c r="C451" s="272">
        <f t="shared" ref="C451:AP451" si="241">C317</f>
        <v>0</v>
      </c>
      <c r="D451" s="272">
        <f t="shared" si="241"/>
        <v>0</v>
      </c>
      <c r="E451" s="272">
        <f t="shared" si="241"/>
        <v>0</v>
      </c>
      <c r="F451" s="272">
        <f t="shared" si="241"/>
        <v>0</v>
      </c>
      <c r="G451" s="272">
        <f t="shared" si="241"/>
        <v>0</v>
      </c>
      <c r="H451" s="272">
        <f t="shared" si="241"/>
        <v>0</v>
      </c>
      <c r="I451" s="272">
        <f t="shared" si="241"/>
        <v>0</v>
      </c>
      <c r="J451" s="272">
        <f t="shared" si="241"/>
        <v>0</v>
      </c>
      <c r="K451" s="272">
        <f t="shared" si="241"/>
        <v>0</v>
      </c>
      <c r="L451" s="272">
        <f t="shared" si="241"/>
        <v>0</v>
      </c>
      <c r="M451" s="272">
        <f t="shared" si="241"/>
        <v>0</v>
      </c>
      <c r="N451" s="272">
        <f t="shared" si="241"/>
        <v>0</v>
      </c>
      <c r="O451" s="272">
        <f t="shared" si="241"/>
        <v>0</v>
      </c>
      <c r="P451" s="272">
        <f t="shared" si="241"/>
        <v>0</v>
      </c>
      <c r="Q451" s="272">
        <f t="shared" si="241"/>
        <v>0</v>
      </c>
      <c r="R451" s="272">
        <f t="shared" si="241"/>
        <v>0</v>
      </c>
      <c r="S451" s="272">
        <f t="shared" si="241"/>
        <v>0</v>
      </c>
      <c r="T451" s="272">
        <f t="shared" si="241"/>
        <v>0</v>
      </c>
      <c r="U451" s="272">
        <f t="shared" si="241"/>
        <v>0</v>
      </c>
      <c r="V451" s="272">
        <f t="shared" si="241"/>
        <v>0</v>
      </c>
      <c r="W451" s="272">
        <f t="shared" si="241"/>
        <v>0</v>
      </c>
      <c r="X451" s="272">
        <f t="shared" si="241"/>
        <v>0</v>
      </c>
      <c r="Y451" s="272">
        <f t="shared" si="241"/>
        <v>0</v>
      </c>
      <c r="Z451" s="272">
        <f t="shared" si="241"/>
        <v>0</v>
      </c>
      <c r="AA451" s="272">
        <f t="shared" si="241"/>
        <v>0</v>
      </c>
      <c r="AB451" s="272">
        <f t="shared" si="241"/>
        <v>0</v>
      </c>
      <c r="AC451" s="272">
        <f t="shared" si="241"/>
        <v>0</v>
      </c>
      <c r="AD451" s="272">
        <f t="shared" si="241"/>
        <v>0</v>
      </c>
      <c r="AE451" s="272">
        <f t="shared" si="241"/>
        <v>0</v>
      </c>
      <c r="AF451" s="272">
        <f t="shared" si="241"/>
        <v>0</v>
      </c>
      <c r="AG451" s="272">
        <f t="shared" si="241"/>
        <v>0</v>
      </c>
      <c r="AH451" s="272">
        <f t="shared" si="241"/>
        <v>0</v>
      </c>
      <c r="AI451" s="272">
        <f t="shared" si="241"/>
        <v>0</v>
      </c>
      <c r="AJ451" s="272">
        <f t="shared" si="241"/>
        <v>0</v>
      </c>
      <c r="AK451" s="272">
        <f t="shared" si="241"/>
        <v>0</v>
      </c>
      <c r="AL451" s="272">
        <f t="shared" si="241"/>
        <v>0</v>
      </c>
      <c r="AM451" s="272">
        <f t="shared" si="241"/>
        <v>0</v>
      </c>
      <c r="AN451" s="272">
        <f t="shared" si="241"/>
        <v>0</v>
      </c>
      <c r="AO451" s="272">
        <f t="shared" si="241"/>
        <v>0</v>
      </c>
      <c r="AP451" s="272">
        <f t="shared" si="241"/>
        <v>0</v>
      </c>
    </row>
    <row r="452" spans="1:42" x14ac:dyDescent="0.2">
      <c r="A452" s="7">
        <f>A451+1</f>
        <v>2</v>
      </c>
      <c r="C452" s="272">
        <f t="shared" ref="C452:AP452" si="242">C318</f>
        <v>0</v>
      </c>
      <c r="D452" s="272">
        <f t="shared" si="242"/>
        <v>0</v>
      </c>
      <c r="E452" s="272">
        <f t="shared" si="242"/>
        <v>0</v>
      </c>
      <c r="F452" s="272">
        <f t="shared" si="242"/>
        <v>0</v>
      </c>
      <c r="G452" s="272">
        <f t="shared" si="242"/>
        <v>0</v>
      </c>
      <c r="H452" s="272">
        <f t="shared" si="242"/>
        <v>0</v>
      </c>
      <c r="I452" s="272">
        <f t="shared" si="242"/>
        <v>0</v>
      </c>
      <c r="J452" s="272">
        <f t="shared" si="242"/>
        <v>0</v>
      </c>
      <c r="K452" s="272">
        <f t="shared" si="242"/>
        <v>0</v>
      </c>
      <c r="L452" s="272">
        <f t="shared" si="242"/>
        <v>0</v>
      </c>
      <c r="M452" s="272">
        <f t="shared" si="242"/>
        <v>0</v>
      </c>
      <c r="N452" s="272">
        <f t="shared" si="242"/>
        <v>0</v>
      </c>
      <c r="O452" s="272">
        <f t="shared" si="242"/>
        <v>0</v>
      </c>
      <c r="P452" s="272">
        <f t="shared" si="242"/>
        <v>0</v>
      </c>
      <c r="Q452" s="272">
        <f t="shared" si="242"/>
        <v>0</v>
      </c>
      <c r="R452" s="272">
        <f t="shared" si="242"/>
        <v>0</v>
      </c>
      <c r="S452" s="272">
        <f t="shared" si="242"/>
        <v>0</v>
      </c>
      <c r="T452" s="272">
        <f t="shared" si="242"/>
        <v>0</v>
      </c>
      <c r="U452" s="272">
        <f t="shared" si="242"/>
        <v>0</v>
      </c>
      <c r="V452" s="272">
        <f t="shared" si="242"/>
        <v>0</v>
      </c>
      <c r="W452" s="272">
        <f t="shared" si="242"/>
        <v>0</v>
      </c>
      <c r="X452" s="272">
        <f t="shared" si="242"/>
        <v>0</v>
      </c>
      <c r="Y452" s="272">
        <f t="shared" si="242"/>
        <v>0</v>
      </c>
      <c r="Z452" s="272">
        <f t="shared" si="242"/>
        <v>0</v>
      </c>
      <c r="AA452" s="272">
        <f t="shared" si="242"/>
        <v>0</v>
      </c>
      <c r="AB452" s="272">
        <f t="shared" si="242"/>
        <v>0</v>
      </c>
      <c r="AC452" s="272">
        <f t="shared" si="242"/>
        <v>0</v>
      </c>
      <c r="AD452" s="272">
        <f t="shared" si="242"/>
        <v>0</v>
      </c>
      <c r="AE452" s="272">
        <f t="shared" si="242"/>
        <v>0</v>
      </c>
      <c r="AF452" s="272">
        <f t="shared" si="242"/>
        <v>0</v>
      </c>
      <c r="AG452" s="272">
        <f t="shared" si="242"/>
        <v>0</v>
      </c>
      <c r="AH452" s="272">
        <f t="shared" si="242"/>
        <v>0</v>
      </c>
      <c r="AI452" s="272">
        <f t="shared" si="242"/>
        <v>0</v>
      </c>
      <c r="AJ452" s="272">
        <f t="shared" si="242"/>
        <v>0</v>
      </c>
      <c r="AK452" s="272">
        <f t="shared" si="242"/>
        <v>0</v>
      </c>
      <c r="AL452" s="272">
        <f t="shared" si="242"/>
        <v>0</v>
      </c>
      <c r="AM452" s="272">
        <f t="shared" si="242"/>
        <v>0</v>
      </c>
      <c r="AN452" s="272">
        <f t="shared" si="242"/>
        <v>0</v>
      </c>
      <c r="AO452" s="272">
        <f t="shared" si="242"/>
        <v>0</v>
      </c>
      <c r="AP452" s="272">
        <f t="shared" si="242"/>
        <v>0</v>
      </c>
    </row>
    <row r="453" spans="1:42" x14ac:dyDescent="0.2">
      <c r="A453" s="7">
        <f t="shared" ref="A453:A458" si="243">A452+1</f>
        <v>3</v>
      </c>
      <c r="C453" s="272">
        <f t="shared" ref="C453:AP453" si="244">C319</f>
        <v>0</v>
      </c>
      <c r="D453" s="272">
        <f t="shared" si="244"/>
        <v>0</v>
      </c>
      <c r="E453" s="272">
        <f t="shared" si="244"/>
        <v>0</v>
      </c>
      <c r="F453" s="272">
        <f t="shared" si="244"/>
        <v>0</v>
      </c>
      <c r="G453" s="272">
        <f t="shared" si="244"/>
        <v>0</v>
      </c>
      <c r="H453" s="272">
        <f t="shared" si="244"/>
        <v>0</v>
      </c>
      <c r="I453" s="272">
        <f t="shared" si="244"/>
        <v>0</v>
      </c>
      <c r="J453" s="272">
        <f t="shared" si="244"/>
        <v>0</v>
      </c>
      <c r="K453" s="272">
        <f t="shared" si="244"/>
        <v>0</v>
      </c>
      <c r="L453" s="272">
        <f t="shared" si="244"/>
        <v>0</v>
      </c>
      <c r="M453" s="272">
        <f t="shared" si="244"/>
        <v>0</v>
      </c>
      <c r="N453" s="272">
        <f t="shared" si="244"/>
        <v>0</v>
      </c>
      <c r="O453" s="272">
        <f t="shared" si="244"/>
        <v>0</v>
      </c>
      <c r="P453" s="272">
        <f t="shared" si="244"/>
        <v>0</v>
      </c>
      <c r="Q453" s="272">
        <f t="shared" si="244"/>
        <v>0</v>
      </c>
      <c r="R453" s="272">
        <f t="shared" si="244"/>
        <v>0</v>
      </c>
      <c r="S453" s="272">
        <f t="shared" si="244"/>
        <v>0</v>
      </c>
      <c r="T453" s="272">
        <f t="shared" si="244"/>
        <v>0</v>
      </c>
      <c r="U453" s="272">
        <f t="shared" si="244"/>
        <v>0</v>
      </c>
      <c r="V453" s="272">
        <f t="shared" si="244"/>
        <v>0</v>
      </c>
      <c r="W453" s="272">
        <f t="shared" si="244"/>
        <v>0</v>
      </c>
      <c r="X453" s="272">
        <f t="shared" si="244"/>
        <v>0</v>
      </c>
      <c r="Y453" s="272">
        <f t="shared" si="244"/>
        <v>0</v>
      </c>
      <c r="Z453" s="272">
        <f t="shared" si="244"/>
        <v>0</v>
      </c>
      <c r="AA453" s="272">
        <f t="shared" si="244"/>
        <v>0</v>
      </c>
      <c r="AB453" s="272">
        <f t="shared" si="244"/>
        <v>0</v>
      </c>
      <c r="AC453" s="272">
        <f t="shared" si="244"/>
        <v>0</v>
      </c>
      <c r="AD453" s="272">
        <f t="shared" si="244"/>
        <v>0</v>
      </c>
      <c r="AE453" s="272">
        <f t="shared" si="244"/>
        <v>0</v>
      </c>
      <c r="AF453" s="272">
        <f t="shared" si="244"/>
        <v>0</v>
      </c>
      <c r="AG453" s="272">
        <f t="shared" si="244"/>
        <v>0</v>
      </c>
      <c r="AH453" s="272">
        <f t="shared" si="244"/>
        <v>0</v>
      </c>
      <c r="AI453" s="272">
        <f t="shared" si="244"/>
        <v>0</v>
      </c>
      <c r="AJ453" s="272">
        <f t="shared" si="244"/>
        <v>0</v>
      </c>
      <c r="AK453" s="272">
        <f t="shared" si="244"/>
        <v>0</v>
      </c>
      <c r="AL453" s="272">
        <f t="shared" si="244"/>
        <v>0</v>
      </c>
      <c r="AM453" s="272">
        <f t="shared" si="244"/>
        <v>0</v>
      </c>
      <c r="AN453" s="272">
        <f t="shared" si="244"/>
        <v>0</v>
      </c>
      <c r="AO453" s="272">
        <f t="shared" si="244"/>
        <v>0</v>
      </c>
      <c r="AP453" s="272">
        <f t="shared" si="244"/>
        <v>0</v>
      </c>
    </row>
    <row r="454" spans="1:42" x14ac:dyDescent="0.2">
      <c r="A454" s="7">
        <f t="shared" si="243"/>
        <v>4</v>
      </c>
      <c r="C454" s="272">
        <f t="shared" ref="C454:AP454" si="245">C320</f>
        <v>0</v>
      </c>
      <c r="D454" s="272">
        <f t="shared" si="245"/>
        <v>0</v>
      </c>
      <c r="E454" s="272">
        <f t="shared" si="245"/>
        <v>0</v>
      </c>
      <c r="F454" s="272">
        <f t="shared" si="245"/>
        <v>0</v>
      </c>
      <c r="G454" s="272">
        <f t="shared" si="245"/>
        <v>0</v>
      </c>
      <c r="H454" s="272">
        <f t="shared" si="245"/>
        <v>0</v>
      </c>
      <c r="I454" s="272">
        <f t="shared" si="245"/>
        <v>0</v>
      </c>
      <c r="J454" s="272">
        <f t="shared" si="245"/>
        <v>0</v>
      </c>
      <c r="K454" s="272">
        <f t="shared" si="245"/>
        <v>0</v>
      </c>
      <c r="L454" s="272">
        <f t="shared" si="245"/>
        <v>0</v>
      </c>
      <c r="M454" s="272">
        <f t="shared" si="245"/>
        <v>0</v>
      </c>
      <c r="N454" s="272">
        <f t="shared" si="245"/>
        <v>0</v>
      </c>
      <c r="O454" s="272">
        <f t="shared" si="245"/>
        <v>0</v>
      </c>
      <c r="P454" s="272">
        <f t="shared" si="245"/>
        <v>0</v>
      </c>
      <c r="Q454" s="272">
        <f t="shared" si="245"/>
        <v>0</v>
      </c>
      <c r="R454" s="272">
        <f t="shared" si="245"/>
        <v>0</v>
      </c>
      <c r="S454" s="272">
        <f t="shared" si="245"/>
        <v>0</v>
      </c>
      <c r="T454" s="272">
        <f t="shared" si="245"/>
        <v>0</v>
      </c>
      <c r="U454" s="272">
        <f t="shared" si="245"/>
        <v>0</v>
      </c>
      <c r="V454" s="272">
        <f t="shared" si="245"/>
        <v>0</v>
      </c>
      <c r="W454" s="272">
        <f t="shared" si="245"/>
        <v>0</v>
      </c>
      <c r="X454" s="272">
        <f t="shared" si="245"/>
        <v>0</v>
      </c>
      <c r="Y454" s="272">
        <f t="shared" si="245"/>
        <v>0</v>
      </c>
      <c r="Z454" s="272">
        <f t="shared" si="245"/>
        <v>0</v>
      </c>
      <c r="AA454" s="272">
        <f t="shared" si="245"/>
        <v>0</v>
      </c>
      <c r="AB454" s="272">
        <f t="shared" si="245"/>
        <v>0</v>
      </c>
      <c r="AC454" s="272">
        <f t="shared" si="245"/>
        <v>0</v>
      </c>
      <c r="AD454" s="272">
        <f t="shared" si="245"/>
        <v>0</v>
      </c>
      <c r="AE454" s="272">
        <f t="shared" si="245"/>
        <v>0</v>
      </c>
      <c r="AF454" s="272">
        <f t="shared" si="245"/>
        <v>0</v>
      </c>
      <c r="AG454" s="272">
        <f t="shared" si="245"/>
        <v>0</v>
      </c>
      <c r="AH454" s="272">
        <f t="shared" si="245"/>
        <v>0</v>
      </c>
      <c r="AI454" s="272">
        <f t="shared" si="245"/>
        <v>0</v>
      </c>
      <c r="AJ454" s="272">
        <f t="shared" si="245"/>
        <v>0</v>
      </c>
      <c r="AK454" s="272">
        <f t="shared" si="245"/>
        <v>0</v>
      </c>
      <c r="AL454" s="272">
        <f t="shared" si="245"/>
        <v>0</v>
      </c>
      <c r="AM454" s="272">
        <f t="shared" si="245"/>
        <v>0</v>
      </c>
      <c r="AN454" s="272">
        <f t="shared" si="245"/>
        <v>0</v>
      </c>
      <c r="AO454" s="272">
        <f t="shared" si="245"/>
        <v>0</v>
      </c>
      <c r="AP454" s="272">
        <f t="shared" si="245"/>
        <v>0</v>
      </c>
    </row>
    <row r="455" spans="1:42" x14ac:dyDescent="0.2">
      <c r="A455" s="7">
        <f t="shared" si="243"/>
        <v>5</v>
      </c>
      <c r="C455" s="272">
        <f t="shared" ref="C455:AP455" si="246">C321</f>
        <v>0</v>
      </c>
      <c r="D455" s="272">
        <f t="shared" si="246"/>
        <v>0</v>
      </c>
      <c r="E455" s="272">
        <f t="shared" si="246"/>
        <v>0</v>
      </c>
      <c r="F455" s="272">
        <f t="shared" si="246"/>
        <v>0</v>
      </c>
      <c r="G455" s="272">
        <f t="shared" si="246"/>
        <v>0</v>
      </c>
      <c r="H455" s="272">
        <f t="shared" si="246"/>
        <v>0</v>
      </c>
      <c r="I455" s="272">
        <f t="shared" si="246"/>
        <v>0</v>
      </c>
      <c r="J455" s="272">
        <f t="shared" si="246"/>
        <v>0</v>
      </c>
      <c r="K455" s="272">
        <f t="shared" si="246"/>
        <v>0</v>
      </c>
      <c r="L455" s="272">
        <f t="shared" si="246"/>
        <v>0</v>
      </c>
      <c r="M455" s="272">
        <f t="shared" si="246"/>
        <v>0</v>
      </c>
      <c r="N455" s="272">
        <f t="shared" si="246"/>
        <v>0</v>
      </c>
      <c r="O455" s="272">
        <f t="shared" si="246"/>
        <v>0</v>
      </c>
      <c r="P455" s="272">
        <f t="shared" si="246"/>
        <v>0</v>
      </c>
      <c r="Q455" s="272">
        <f t="shared" si="246"/>
        <v>0</v>
      </c>
      <c r="R455" s="272">
        <f t="shared" si="246"/>
        <v>0</v>
      </c>
      <c r="S455" s="272">
        <f t="shared" si="246"/>
        <v>0</v>
      </c>
      <c r="T455" s="272">
        <f t="shared" si="246"/>
        <v>0</v>
      </c>
      <c r="U455" s="272">
        <f t="shared" si="246"/>
        <v>0</v>
      </c>
      <c r="V455" s="272">
        <f t="shared" si="246"/>
        <v>0</v>
      </c>
      <c r="W455" s="272">
        <f t="shared" si="246"/>
        <v>0</v>
      </c>
      <c r="X455" s="272">
        <f t="shared" si="246"/>
        <v>0</v>
      </c>
      <c r="Y455" s="272">
        <f t="shared" si="246"/>
        <v>0</v>
      </c>
      <c r="Z455" s="272">
        <f t="shared" si="246"/>
        <v>0</v>
      </c>
      <c r="AA455" s="272">
        <f t="shared" si="246"/>
        <v>0</v>
      </c>
      <c r="AB455" s="272">
        <f t="shared" si="246"/>
        <v>0</v>
      </c>
      <c r="AC455" s="272">
        <f t="shared" si="246"/>
        <v>0</v>
      </c>
      <c r="AD455" s="272">
        <f t="shared" si="246"/>
        <v>0</v>
      </c>
      <c r="AE455" s="272">
        <f t="shared" si="246"/>
        <v>0</v>
      </c>
      <c r="AF455" s="272">
        <f t="shared" si="246"/>
        <v>0</v>
      </c>
      <c r="AG455" s="272">
        <f t="shared" si="246"/>
        <v>0</v>
      </c>
      <c r="AH455" s="272">
        <f t="shared" si="246"/>
        <v>0</v>
      </c>
      <c r="AI455" s="272">
        <f t="shared" si="246"/>
        <v>0</v>
      </c>
      <c r="AJ455" s="272">
        <f t="shared" si="246"/>
        <v>0</v>
      </c>
      <c r="AK455" s="272">
        <f t="shared" si="246"/>
        <v>0</v>
      </c>
      <c r="AL455" s="272">
        <f t="shared" si="246"/>
        <v>0</v>
      </c>
      <c r="AM455" s="272">
        <f t="shared" si="246"/>
        <v>0</v>
      </c>
      <c r="AN455" s="272">
        <f t="shared" si="246"/>
        <v>0</v>
      </c>
      <c r="AO455" s="272">
        <f t="shared" si="246"/>
        <v>0</v>
      </c>
      <c r="AP455" s="272">
        <f t="shared" si="246"/>
        <v>0</v>
      </c>
    </row>
    <row r="456" spans="1:42" x14ac:dyDescent="0.2">
      <c r="A456" s="7">
        <f t="shared" si="243"/>
        <v>6</v>
      </c>
      <c r="C456" s="272">
        <f t="shared" ref="C456:AP456" si="247">C322</f>
        <v>0</v>
      </c>
      <c r="D456" s="272">
        <f t="shared" si="247"/>
        <v>0</v>
      </c>
      <c r="E456" s="272">
        <f t="shared" si="247"/>
        <v>0</v>
      </c>
      <c r="F456" s="272">
        <f t="shared" si="247"/>
        <v>0</v>
      </c>
      <c r="G456" s="272">
        <f t="shared" si="247"/>
        <v>0</v>
      </c>
      <c r="H456" s="272">
        <f t="shared" si="247"/>
        <v>0</v>
      </c>
      <c r="I456" s="272">
        <f t="shared" si="247"/>
        <v>0</v>
      </c>
      <c r="J456" s="272">
        <f t="shared" si="247"/>
        <v>0</v>
      </c>
      <c r="K456" s="272">
        <f t="shared" si="247"/>
        <v>0</v>
      </c>
      <c r="L456" s="272">
        <f t="shared" si="247"/>
        <v>0</v>
      </c>
      <c r="M456" s="272">
        <f t="shared" si="247"/>
        <v>0</v>
      </c>
      <c r="N456" s="272">
        <f t="shared" si="247"/>
        <v>0</v>
      </c>
      <c r="O456" s="272">
        <f t="shared" si="247"/>
        <v>0</v>
      </c>
      <c r="P456" s="272">
        <f t="shared" si="247"/>
        <v>0</v>
      </c>
      <c r="Q456" s="272">
        <f t="shared" si="247"/>
        <v>0</v>
      </c>
      <c r="R456" s="272">
        <f t="shared" si="247"/>
        <v>0</v>
      </c>
      <c r="S456" s="272">
        <f t="shared" si="247"/>
        <v>0</v>
      </c>
      <c r="T456" s="272">
        <f t="shared" si="247"/>
        <v>0</v>
      </c>
      <c r="U456" s="272">
        <f t="shared" si="247"/>
        <v>0</v>
      </c>
      <c r="V456" s="272">
        <f t="shared" si="247"/>
        <v>0</v>
      </c>
      <c r="W456" s="272">
        <f t="shared" si="247"/>
        <v>0</v>
      </c>
      <c r="X456" s="272">
        <f t="shared" si="247"/>
        <v>0</v>
      </c>
      <c r="Y456" s="272">
        <f t="shared" si="247"/>
        <v>0</v>
      </c>
      <c r="Z456" s="272">
        <f t="shared" si="247"/>
        <v>0</v>
      </c>
      <c r="AA456" s="272">
        <f t="shared" si="247"/>
        <v>0</v>
      </c>
      <c r="AB456" s="272">
        <f t="shared" si="247"/>
        <v>0</v>
      </c>
      <c r="AC456" s="272">
        <f t="shared" si="247"/>
        <v>0</v>
      </c>
      <c r="AD456" s="272">
        <f t="shared" si="247"/>
        <v>0</v>
      </c>
      <c r="AE456" s="272">
        <f t="shared" si="247"/>
        <v>0</v>
      </c>
      <c r="AF456" s="272">
        <f t="shared" si="247"/>
        <v>0</v>
      </c>
      <c r="AG456" s="272">
        <f t="shared" si="247"/>
        <v>0</v>
      </c>
      <c r="AH456" s="272">
        <f t="shared" si="247"/>
        <v>0</v>
      </c>
      <c r="AI456" s="272">
        <f t="shared" si="247"/>
        <v>0</v>
      </c>
      <c r="AJ456" s="272">
        <f t="shared" si="247"/>
        <v>0</v>
      </c>
      <c r="AK456" s="272">
        <f t="shared" si="247"/>
        <v>0</v>
      </c>
      <c r="AL456" s="272">
        <f t="shared" si="247"/>
        <v>0</v>
      </c>
      <c r="AM456" s="272">
        <f t="shared" si="247"/>
        <v>0</v>
      </c>
      <c r="AN456" s="272">
        <f t="shared" si="247"/>
        <v>0</v>
      </c>
      <c r="AO456" s="272">
        <f t="shared" si="247"/>
        <v>0</v>
      </c>
      <c r="AP456" s="272">
        <f t="shared" si="247"/>
        <v>0</v>
      </c>
    </row>
    <row r="457" spans="1:42" x14ac:dyDescent="0.2">
      <c r="A457" s="7">
        <f t="shared" si="243"/>
        <v>7</v>
      </c>
      <c r="C457" s="272">
        <f t="shared" ref="C457:AP457" si="248">C323</f>
        <v>0</v>
      </c>
      <c r="D457" s="272">
        <f t="shared" si="248"/>
        <v>0</v>
      </c>
      <c r="E457" s="272">
        <f t="shared" si="248"/>
        <v>0</v>
      </c>
      <c r="F457" s="272">
        <f t="shared" si="248"/>
        <v>0</v>
      </c>
      <c r="G457" s="272">
        <f t="shared" si="248"/>
        <v>0</v>
      </c>
      <c r="H457" s="272">
        <f t="shared" si="248"/>
        <v>0</v>
      </c>
      <c r="I457" s="272">
        <f t="shared" si="248"/>
        <v>0</v>
      </c>
      <c r="J457" s="272">
        <f t="shared" si="248"/>
        <v>0</v>
      </c>
      <c r="K457" s="272">
        <f t="shared" si="248"/>
        <v>0</v>
      </c>
      <c r="L457" s="272">
        <f t="shared" si="248"/>
        <v>0</v>
      </c>
      <c r="M457" s="272">
        <f t="shared" si="248"/>
        <v>0</v>
      </c>
      <c r="N457" s="272">
        <f t="shared" si="248"/>
        <v>0</v>
      </c>
      <c r="O457" s="272">
        <f t="shared" si="248"/>
        <v>0</v>
      </c>
      <c r="P457" s="272">
        <f t="shared" si="248"/>
        <v>0</v>
      </c>
      <c r="Q457" s="272">
        <f t="shared" si="248"/>
        <v>0</v>
      </c>
      <c r="R457" s="272">
        <f t="shared" si="248"/>
        <v>0</v>
      </c>
      <c r="S457" s="272">
        <f t="shared" si="248"/>
        <v>0</v>
      </c>
      <c r="T457" s="272">
        <f t="shared" si="248"/>
        <v>0</v>
      </c>
      <c r="U457" s="272">
        <f t="shared" si="248"/>
        <v>0</v>
      </c>
      <c r="V457" s="272">
        <f t="shared" si="248"/>
        <v>0</v>
      </c>
      <c r="W457" s="272">
        <f t="shared" si="248"/>
        <v>0</v>
      </c>
      <c r="X457" s="272">
        <f t="shared" si="248"/>
        <v>0</v>
      </c>
      <c r="Y457" s="272">
        <f t="shared" si="248"/>
        <v>0</v>
      </c>
      <c r="Z457" s="272">
        <f t="shared" si="248"/>
        <v>0</v>
      </c>
      <c r="AA457" s="272">
        <f t="shared" si="248"/>
        <v>0</v>
      </c>
      <c r="AB457" s="272">
        <f t="shared" si="248"/>
        <v>0</v>
      </c>
      <c r="AC457" s="272">
        <f t="shared" si="248"/>
        <v>0</v>
      </c>
      <c r="AD457" s="272">
        <f t="shared" si="248"/>
        <v>0</v>
      </c>
      <c r="AE457" s="272">
        <f t="shared" si="248"/>
        <v>0</v>
      </c>
      <c r="AF457" s="272">
        <f t="shared" si="248"/>
        <v>0</v>
      </c>
      <c r="AG457" s="272">
        <f t="shared" si="248"/>
        <v>0</v>
      </c>
      <c r="AH457" s="272">
        <f t="shared" si="248"/>
        <v>0</v>
      </c>
      <c r="AI457" s="272">
        <f t="shared" si="248"/>
        <v>0</v>
      </c>
      <c r="AJ457" s="272">
        <f t="shared" si="248"/>
        <v>0</v>
      </c>
      <c r="AK457" s="272">
        <f t="shared" si="248"/>
        <v>0</v>
      </c>
      <c r="AL457" s="272">
        <f t="shared" si="248"/>
        <v>0</v>
      </c>
      <c r="AM457" s="272">
        <f t="shared" si="248"/>
        <v>0</v>
      </c>
      <c r="AN457" s="272">
        <f t="shared" si="248"/>
        <v>0</v>
      </c>
      <c r="AO457" s="272">
        <f t="shared" si="248"/>
        <v>0</v>
      </c>
      <c r="AP457" s="272">
        <f t="shared" si="248"/>
        <v>0</v>
      </c>
    </row>
    <row r="458" spans="1:42" x14ac:dyDescent="0.2">
      <c r="A458" s="7">
        <f t="shared" si="243"/>
        <v>8</v>
      </c>
      <c r="C458" s="272">
        <f t="shared" ref="C458:AP458" si="249">C324</f>
        <v>0</v>
      </c>
      <c r="D458" s="272">
        <f t="shared" si="249"/>
        <v>0</v>
      </c>
      <c r="E458" s="272">
        <f t="shared" si="249"/>
        <v>0</v>
      </c>
      <c r="F458" s="272">
        <f t="shared" si="249"/>
        <v>0</v>
      </c>
      <c r="G458" s="272">
        <f t="shared" si="249"/>
        <v>0</v>
      </c>
      <c r="H458" s="272">
        <f t="shared" si="249"/>
        <v>0</v>
      </c>
      <c r="I458" s="272">
        <f t="shared" si="249"/>
        <v>0</v>
      </c>
      <c r="J458" s="272">
        <f t="shared" si="249"/>
        <v>0</v>
      </c>
      <c r="K458" s="272">
        <f t="shared" si="249"/>
        <v>0</v>
      </c>
      <c r="L458" s="272">
        <f t="shared" si="249"/>
        <v>0</v>
      </c>
      <c r="M458" s="272">
        <f t="shared" si="249"/>
        <v>0</v>
      </c>
      <c r="N458" s="272">
        <f t="shared" si="249"/>
        <v>0</v>
      </c>
      <c r="O458" s="272">
        <f t="shared" si="249"/>
        <v>0</v>
      </c>
      <c r="P458" s="272">
        <f t="shared" si="249"/>
        <v>0</v>
      </c>
      <c r="Q458" s="272">
        <f t="shared" si="249"/>
        <v>0</v>
      </c>
      <c r="R458" s="272">
        <f t="shared" si="249"/>
        <v>0</v>
      </c>
      <c r="S458" s="272">
        <f t="shared" si="249"/>
        <v>0</v>
      </c>
      <c r="T458" s="272">
        <f t="shared" si="249"/>
        <v>0</v>
      </c>
      <c r="U458" s="272">
        <f t="shared" si="249"/>
        <v>0</v>
      </c>
      <c r="V458" s="272">
        <f t="shared" si="249"/>
        <v>0</v>
      </c>
      <c r="W458" s="272">
        <f t="shared" si="249"/>
        <v>0</v>
      </c>
      <c r="X458" s="272">
        <f t="shared" si="249"/>
        <v>0</v>
      </c>
      <c r="Y458" s="272">
        <f t="shared" si="249"/>
        <v>0</v>
      </c>
      <c r="Z458" s="272">
        <f t="shared" si="249"/>
        <v>0</v>
      </c>
      <c r="AA458" s="272">
        <f t="shared" si="249"/>
        <v>0</v>
      </c>
      <c r="AB458" s="272">
        <f t="shared" si="249"/>
        <v>0</v>
      </c>
      <c r="AC458" s="272">
        <f t="shared" si="249"/>
        <v>0</v>
      </c>
      <c r="AD458" s="272">
        <f t="shared" si="249"/>
        <v>0</v>
      </c>
      <c r="AE458" s="272">
        <f t="shared" si="249"/>
        <v>0</v>
      </c>
      <c r="AF458" s="272">
        <f t="shared" si="249"/>
        <v>0</v>
      </c>
      <c r="AG458" s="272">
        <f t="shared" si="249"/>
        <v>0</v>
      </c>
      <c r="AH458" s="272">
        <f t="shared" si="249"/>
        <v>0</v>
      </c>
      <c r="AI458" s="272">
        <f t="shared" si="249"/>
        <v>0</v>
      </c>
      <c r="AJ458" s="272">
        <f t="shared" si="249"/>
        <v>0</v>
      </c>
      <c r="AK458" s="272">
        <f t="shared" si="249"/>
        <v>0</v>
      </c>
      <c r="AL458" s="272">
        <f t="shared" si="249"/>
        <v>0</v>
      </c>
      <c r="AM458" s="272">
        <f t="shared" si="249"/>
        <v>0</v>
      </c>
      <c r="AN458" s="272">
        <f t="shared" si="249"/>
        <v>0</v>
      </c>
      <c r="AO458" s="272">
        <f t="shared" si="249"/>
        <v>0</v>
      </c>
      <c r="AP458" s="272">
        <f t="shared" si="249"/>
        <v>0</v>
      </c>
    </row>
    <row r="459" spans="1:42" x14ac:dyDescent="0.2">
      <c r="A459" s="7">
        <f>A458+1</f>
        <v>9</v>
      </c>
      <c r="C459" s="272">
        <f t="shared" ref="C459:AP459" si="250">C325</f>
        <v>0</v>
      </c>
      <c r="D459" s="272">
        <f t="shared" si="250"/>
        <v>0</v>
      </c>
      <c r="E459" s="272">
        <f t="shared" si="250"/>
        <v>0</v>
      </c>
      <c r="F459" s="272">
        <f t="shared" si="250"/>
        <v>0</v>
      </c>
      <c r="G459" s="272">
        <f t="shared" si="250"/>
        <v>0</v>
      </c>
      <c r="H459" s="272">
        <f t="shared" si="250"/>
        <v>0</v>
      </c>
      <c r="I459" s="272">
        <f t="shared" si="250"/>
        <v>0</v>
      </c>
      <c r="J459" s="272">
        <f t="shared" si="250"/>
        <v>0</v>
      </c>
      <c r="K459" s="272">
        <f t="shared" si="250"/>
        <v>0</v>
      </c>
      <c r="L459" s="272">
        <f t="shared" si="250"/>
        <v>0</v>
      </c>
      <c r="M459" s="272">
        <f t="shared" si="250"/>
        <v>0</v>
      </c>
      <c r="N459" s="272">
        <f t="shared" si="250"/>
        <v>0</v>
      </c>
      <c r="O459" s="272">
        <f t="shared" si="250"/>
        <v>0</v>
      </c>
      <c r="P459" s="272">
        <f t="shared" si="250"/>
        <v>0</v>
      </c>
      <c r="Q459" s="272">
        <f t="shared" si="250"/>
        <v>0</v>
      </c>
      <c r="R459" s="272">
        <f t="shared" si="250"/>
        <v>0</v>
      </c>
      <c r="S459" s="272">
        <f t="shared" si="250"/>
        <v>0</v>
      </c>
      <c r="T459" s="272">
        <f t="shared" si="250"/>
        <v>0</v>
      </c>
      <c r="U459" s="272">
        <f t="shared" si="250"/>
        <v>0</v>
      </c>
      <c r="V459" s="272">
        <f t="shared" si="250"/>
        <v>0</v>
      </c>
      <c r="W459" s="272">
        <f t="shared" si="250"/>
        <v>0</v>
      </c>
      <c r="X459" s="272">
        <f t="shared" si="250"/>
        <v>0</v>
      </c>
      <c r="Y459" s="272">
        <f t="shared" si="250"/>
        <v>0</v>
      </c>
      <c r="Z459" s="272">
        <f t="shared" si="250"/>
        <v>0</v>
      </c>
      <c r="AA459" s="272">
        <f t="shared" si="250"/>
        <v>0</v>
      </c>
      <c r="AB459" s="272">
        <f t="shared" si="250"/>
        <v>0</v>
      </c>
      <c r="AC459" s="272">
        <f t="shared" si="250"/>
        <v>0</v>
      </c>
      <c r="AD459" s="272">
        <f t="shared" si="250"/>
        <v>0</v>
      </c>
      <c r="AE459" s="272">
        <f t="shared" si="250"/>
        <v>0</v>
      </c>
      <c r="AF459" s="272">
        <f t="shared" si="250"/>
        <v>0</v>
      </c>
      <c r="AG459" s="272">
        <f t="shared" si="250"/>
        <v>0</v>
      </c>
      <c r="AH459" s="272">
        <f t="shared" si="250"/>
        <v>0</v>
      </c>
      <c r="AI459" s="272">
        <f t="shared" si="250"/>
        <v>0</v>
      </c>
      <c r="AJ459" s="272">
        <f t="shared" si="250"/>
        <v>0</v>
      </c>
      <c r="AK459" s="272">
        <f t="shared" si="250"/>
        <v>0</v>
      </c>
      <c r="AL459" s="272">
        <f t="shared" si="250"/>
        <v>0</v>
      </c>
      <c r="AM459" s="272">
        <f t="shared" si="250"/>
        <v>0</v>
      </c>
      <c r="AN459" s="272">
        <f t="shared" si="250"/>
        <v>0</v>
      </c>
      <c r="AO459" s="272">
        <f t="shared" si="250"/>
        <v>0</v>
      </c>
      <c r="AP459" s="272">
        <f t="shared" si="250"/>
        <v>0</v>
      </c>
    </row>
    <row r="460" spans="1:42" x14ac:dyDescent="0.2">
      <c r="A460" s="7">
        <f t="shared" ref="A460" si="251">A459+1</f>
        <v>10</v>
      </c>
      <c r="C460" s="272">
        <f t="shared" ref="C460:AP460" si="252">C326</f>
        <v>0</v>
      </c>
      <c r="D460" s="272">
        <f t="shared" si="252"/>
        <v>0</v>
      </c>
      <c r="E460" s="272">
        <f t="shared" si="252"/>
        <v>0</v>
      </c>
      <c r="F460" s="272">
        <f t="shared" si="252"/>
        <v>0</v>
      </c>
      <c r="G460" s="272">
        <f t="shared" si="252"/>
        <v>0</v>
      </c>
      <c r="H460" s="272">
        <f t="shared" si="252"/>
        <v>0</v>
      </c>
      <c r="I460" s="272">
        <f t="shared" si="252"/>
        <v>0</v>
      </c>
      <c r="J460" s="272">
        <f t="shared" si="252"/>
        <v>0</v>
      </c>
      <c r="K460" s="272">
        <f t="shared" si="252"/>
        <v>0</v>
      </c>
      <c r="L460" s="272">
        <f t="shared" si="252"/>
        <v>0</v>
      </c>
      <c r="M460" s="272">
        <f t="shared" si="252"/>
        <v>0</v>
      </c>
      <c r="N460" s="272">
        <f t="shared" si="252"/>
        <v>0</v>
      </c>
      <c r="O460" s="272">
        <f t="shared" si="252"/>
        <v>0</v>
      </c>
      <c r="P460" s="272">
        <f t="shared" si="252"/>
        <v>0</v>
      </c>
      <c r="Q460" s="272">
        <f t="shared" si="252"/>
        <v>0</v>
      </c>
      <c r="R460" s="272">
        <f t="shared" si="252"/>
        <v>0</v>
      </c>
      <c r="S460" s="272">
        <f t="shared" si="252"/>
        <v>0</v>
      </c>
      <c r="T460" s="272">
        <f t="shared" si="252"/>
        <v>0</v>
      </c>
      <c r="U460" s="272">
        <f t="shared" si="252"/>
        <v>0</v>
      </c>
      <c r="V460" s="272">
        <f t="shared" si="252"/>
        <v>0</v>
      </c>
      <c r="W460" s="272">
        <f t="shared" si="252"/>
        <v>0</v>
      </c>
      <c r="X460" s="272">
        <f t="shared" si="252"/>
        <v>0</v>
      </c>
      <c r="Y460" s="272">
        <f t="shared" si="252"/>
        <v>0</v>
      </c>
      <c r="Z460" s="272">
        <f t="shared" si="252"/>
        <v>0</v>
      </c>
      <c r="AA460" s="272">
        <f t="shared" si="252"/>
        <v>0</v>
      </c>
      <c r="AB460" s="272">
        <f t="shared" si="252"/>
        <v>0</v>
      </c>
      <c r="AC460" s="272">
        <f t="shared" si="252"/>
        <v>0</v>
      </c>
      <c r="AD460" s="272">
        <f t="shared" si="252"/>
        <v>0</v>
      </c>
      <c r="AE460" s="272">
        <f t="shared" si="252"/>
        <v>0</v>
      </c>
      <c r="AF460" s="272">
        <f t="shared" si="252"/>
        <v>0</v>
      </c>
      <c r="AG460" s="272">
        <f t="shared" si="252"/>
        <v>0</v>
      </c>
      <c r="AH460" s="272">
        <f t="shared" si="252"/>
        <v>0</v>
      </c>
      <c r="AI460" s="272">
        <f t="shared" si="252"/>
        <v>0</v>
      </c>
      <c r="AJ460" s="272">
        <f t="shared" si="252"/>
        <v>0</v>
      </c>
      <c r="AK460" s="272">
        <f t="shared" si="252"/>
        <v>0</v>
      </c>
      <c r="AL460" s="272">
        <f t="shared" si="252"/>
        <v>0</v>
      </c>
      <c r="AM460" s="272">
        <f t="shared" si="252"/>
        <v>0</v>
      </c>
      <c r="AN460" s="272">
        <f t="shared" si="252"/>
        <v>0</v>
      </c>
      <c r="AO460" s="272">
        <f t="shared" si="252"/>
        <v>0</v>
      </c>
      <c r="AP460" s="272">
        <f t="shared" si="252"/>
        <v>0</v>
      </c>
    </row>
    <row r="461" spans="1:42" x14ac:dyDescent="0.2">
      <c r="A461" s="3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x14ac:dyDescent="0.2">
      <c r="A462" s="38" t="s">
        <v>112</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x14ac:dyDescent="0.2">
      <c r="A463" s="7">
        <v>1</v>
      </c>
      <c r="B463" s="292">
        <f t="shared" ref="B463:B472" si="253">SUM(C463:AP463)</f>
        <v>0</v>
      </c>
      <c r="C463" s="294">
        <f>LOOKUP(C451,$B$394:$AP$394,$B$395:$AP$395)*$B630/100</f>
        <v>0</v>
      </c>
      <c r="D463" s="294">
        <f t="shared" ref="D463:AP463" si="254">LOOKUP(D451,$B$394:$AP$394,$B$395:$AP$395)*$B630/100</f>
        <v>0</v>
      </c>
      <c r="E463" s="294">
        <f t="shared" si="254"/>
        <v>0</v>
      </c>
      <c r="F463" s="294">
        <f t="shared" si="254"/>
        <v>0</v>
      </c>
      <c r="G463" s="294">
        <f t="shared" si="254"/>
        <v>0</v>
      </c>
      <c r="H463" s="294">
        <f t="shared" si="254"/>
        <v>0</v>
      </c>
      <c r="I463" s="294">
        <f t="shared" si="254"/>
        <v>0</v>
      </c>
      <c r="J463" s="294">
        <f t="shared" si="254"/>
        <v>0</v>
      </c>
      <c r="K463" s="294">
        <f t="shared" si="254"/>
        <v>0</v>
      </c>
      <c r="L463" s="294">
        <f t="shared" si="254"/>
        <v>0</v>
      </c>
      <c r="M463" s="294">
        <f t="shared" si="254"/>
        <v>0</v>
      </c>
      <c r="N463" s="294">
        <f t="shared" si="254"/>
        <v>0</v>
      </c>
      <c r="O463" s="294">
        <f t="shared" si="254"/>
        <v>0</v>
      </c>
      <c r="P463" s="294">
        <f t="shared" si="254"/>
        <v>0</v>
      </c>
      <c r="Q463" s="294">
        <f t="shared" si="254"/>
        <v>0</v>
      </c>
      <c r="R463" s="294">
        <f t="shared" si="254"/>
        <v>0</v>
      </c>
      <c r="S463" s="294">
        <f t="shared" si="254"/>
        <v>0</v>
      </c>
      <c r="T463" s="294">
        <f t="shared" si="254"/>
        <v>0</v>
      </c>
      <c r="U463" s="294">
        <f t="shared" si="254"/>
        <v>0</v>
      </c>
      <c r="V463" s="294">
        <f t="shared" si="254"/>
        <v>0</v>
      </c>
      <c r="W463" s="294">
        <f t="shared" si="254"/>
        <v>0</v>
      </c>
      <c r="X463" s="294">
        <f t="shared" si="254"/>
        <v>0</v>
      </c>
      <c r="Y463" s="294">
        <f t="shared" si="254"/>
        <v>0</v>
      </c>
      <c r="Z463" s="294">
        <f t="shared" si="254"/>
        <v>0</v>
      </c>
      <c r="AA463" s="294">
        <f t="shared" si="254"/>
        <v>0</v>
      </c>
      <c r="AB463" s="294">
        <f t="shared" si="254"/>
        <v>0</v>
      </c>
      <c r="AC463" s="294">
        <f t="shared" si="254"/>
        <v>0</v>
      </c>
      <c r="AD463" s="294">
        <f t="shared" si="254"/>
        <v>0</v>
      </c>
      <c r="AE463" s="294">
        <f t="shared" si="254"/>
        <v>0</v>
      </c>
      <c r="AF463" s="294">
        <f t="shared" si="254"/>
        <v>0</v>
      </c>
      <c r="AG463" s="294">
        <f t="shared" si="254"/>
        <v>0</v>
      </c>
      <c r="AH463" s="294">
        <f t="shared" si="254"/>
        <v>0</v>
      </c>
      <c r="AI463" s="294">
        <f t="shared" si="254"/>
        <v>0</v>
      </c>
      <c r="AJ463" s="294">
        <f t="shared" si="254"/>
        <v>0</v>
      </c>
      <c r="AK463" s="294">
        <f t="shared" si="254"/>
        <v>0</v>
      </c>
      <c r="AL463" s="294">
        <f t="shared" si="254"/>
        <v>0</v>
      </c>
      <c r="AM463" s="294">
        <f t="shared" si="254"/>
        <v>0</v>
      </c>
      <c r="AN463" s="294">
        <f t="shared" si="254"/>
        <v>0</v>
      </c>
      <c r="AO463" s="294">
        <f t="shared" si="254"/>
        <v>0</v>
      </c>
      <c r="AP463" s="294">
        <f t="shared" si="254"/>
        <v>0</v>
      </c>
    </row>
    <row r="464" spans="1:42" x14ac:dyDescent="0.2">
      <c r="A464" s="7">
        <f>A463+1</f>
        <v>2</v>
      </c>
      <c r="B464" s="292">
        <f t="shared" si="253"/>
        <v>0</v>
      </c>
      <c r="C464" s="294">
        <f t="shared" ref="C464:AP464" si="255">LOOKUP(C452,$B$394:$AP$394,$B$395:$AP$395)*$B631/100</f>
        <v>0</v>
      </c>
      <c r="D464" s="294">
        <f t="shared" si="255"/>
        <v>0</v>
      </c>
      <c r="E464" s="294">
        <f t="shared" si="255"/>
        <v>0</v>
      </c>
      <c r="F464" s="294">
        <f t="shared" si="255"/>
        <v>0</v>
      </c>
      <c r="G464" s="294">
        <f t="shared" si="255"/>
        <v>0</v>
      </c>
      <c r="H464" s="294">
        <f t="shared" si="255"/>
        <v>0</v>
      </c>
      <c r="I464" s="294">
        <f t="shared" si="255"/>
        <v>0</v>
      </c>
      <c r="J464" s="294">
        <f t="shared" si="255"/>
        <v>0</v>
      </c>
      <c r="K464" s="294">
        <f t="shared" si="255"/>
        <v>0</v>
      </c>
      <c r="L464" s="294">
        <f t="shared" si="255"/>
        <v>0</v>
      </c>
      <c r="M464" s="294">
        <f t="shared" si="255"/>
        <v>0</v>
      </c>
      <c r="N464" s="294">
        <f t="shared" si="255"/>
        <v>0</v>
      </c>
      <c r="O464" s="294">
        <f t="shared" si="255"/>
        <v>0</v>
      </c>
      <c r="P464" s="294">
        <f t="shared" si="255"/>
        <v>0</v>
      </c>
      <c r="Q464" s="294">
        <f t="shared" si="255"/>
        <v>0</v>
      </c>
      <c r="R464" s="294">
        <f t="shared" si="255"/>
        <v>0</v>
      </c>
      <c r="S464" s="294">
        <f t="shared" si="255"/>
        <v>0</v>
      </c>
      <c r="T464" s="294">
        <f t="shared" si="255"/>
        <v>0</v>
      </c>
      <c r="U464" s="294">
        <f t="shared" si="255"/>
        <v>0</v>
      </c>
      <c r="V464" s="294">
        <f t="shared" si="255"/>
        <v>0</v>
      </c>
      <c r="W464" s="294">
        <f t="shared" si="255"/>
        <v>0</v>
      </c>
      <c r="X464" s="294">
        <f t="shared" si="255"/>
        <v>0</v>
      </c>
      <c r="Y464" s="294">
        <f t="shared" si="255"/>
        <v>0</v>
      </c>
      <c r="Z464" s="294">
        <f t="shared" si="255"/>
        <v>0</v>
      </c>
      <c r="AA464" s="294">
        <f t="shared" si="255"/>
        <v>0</v>
      </c>
      <c r="AB464" s="294">
        <f t="shared" si="255"/>
        <v>0</v>
      </c>
      <c r="AC464" s="294">
        <f t="shared" si="255"/>
        <v>0</v>
      </c>
      <c r="AD464" s="294">
        <f t="shared" si="255"/>
        <v>0</v>
      </c>
      <c r="AE464" s="294">
        <f t="shared" si="255"/>
        <v>0</v>
      </c>
      <c r="AF464" s="294">
        <f t="shared" si="255"/>
        <v>0</v>
      </c>
      <c r="AG464" s="294">
        <f t="shared" si="255"/>
        <v>0</v>
      </c>
      <c r="AH464" s="294">
        <f t="shared" si="255"/>
        <v>0</v>
      </c>
      <c r="AI464" s="294">
        <f t="shared" si="255"/>
        <v>0</v>
      </c>
      <c r="AJ464" s="294">
        <f t="shared" si="255"/>
        <v>0</v>
      </c>
      <c r="AK464" s="294">
        <f t="shared" si="255"/>
        <v>0</v>
      </c>
      <c r="AL464" s="294">
        <f t="shared" si="255"/>
        <v>0</v>
      </c>
      <c r="AM464" s="294">
        <f t="shared" si="255"/>
        <v>0</v>
      </c>
      <c r="AN464" s="294">
        <f t="shared" si="255"/>
        <v>0</v>
      </c>
      <c r="AO464" s="294">
        <f t="shared" si="255"/>
        <v>0</v>
      </c>
      <c r="AP464" s="294">
        <f t="shared" si="255"/>
        <v>0</v>
      </c>
    </row>
    <row r="465" spans="1:42" x14ac:dyDescent="0.2">
      <c r="A465" s="7">
        <f t="shared" ref="A465:A470" si="256">A464+1</f>
        <v>3</v>
      </c>
      <c r="B465" s="292">
        <f t="shared" si="253"/>
        <v>0</v>
      </c>
      <c r="C465" s="294">
        <f t="shared" ref="C465:AP465" si="257">LOOKUP(C453,$B$394:$AP$394,$B$395:$AP$395)*$B632/100</f>
        <v>0</v>
      </c>
      <c r="D465" s="294">
        <f t="shared" si="257"/>
        <v>0</v>
      </c>
      <c r="E465" s="294">
        <f t="shared" si="257"/>
        <v>0</v>
      </c>
      <c r="F465" s="294">
        <f t="shared" si="257"/>
        <v>0</v>
      </c>
      <c r="G465" s="294">
        <f t="shared" si="257"/>
        <v>0</v>
      </c>
      <c r="H465" s="294">
        <f t="shared" si="257"/>
        <v>0</v>
      </c>
      <c r="I465" s="294">
        <f t="shared" si="257"/>
        <v>0</v>
      </c>
      <c r="J465" s="294">
        <f t="shared" si="257"/>
        <v>0</v>
      </c>
      <c r="K465" s="294">
        <f t="shared" si="257"/>
        <v>0</v>
      </c>
      <c r="L465" s="294">
        <f t="shared" si="257"/>
        <v>0</v>
      </c>
      <c r="M465" s="294">
        <f t="shared" si="257"/>
        <v>0</v>
      </c>
      <c r="N465" s="294">
        <f t="shared" si="257"/>
        <v>0</v>
      </c>
      <c r="O465" s="294">
        <f t="shared" si="257"/>
        <v>0</v>
      </c>
      <c r="P465" s="294">
        <f t="shared" si="257"/>
        <v>0</v>
      </c>
      <c r="Q465" s="294">
        <f t="shared" si="257"/>
        <v>0</v>
      </c>
      <c r="R465" s="294">
        <f t="shared" si="257"/>
        <v>0</v>
      </c>
      <c r="S465" s="294">
        <f t="shared" si="257"/>
        <v>0</v>
      </c>
      <c r="T465" s="294">
        <f t="shared" si="257"/>
        <v>0</v>
      </c>
      <c r="U465" s="294">
        <f t="shared" si="257"/>
        <v>0</v>
      </c>
      <c r="V465" s="294">
        <f t="shared" si="257"/>
        <v>0</v>
      </c>
      <c r="W465" s="294">
        <f t="shared" si="257"/>
        <v>0</v>
      </c>
      <c r="X465" s="294">
        <f t="shared" si="257"/>
        <v>0</v>
      </c>
      <c r="Y465" s="294">
        <f t="shared" si="257"/>
        <v>0</v>
      </c>
      <c r="Z465" s="294">
        <f t="shared" si="257"/>
        <v>0</v>
      </c>
      <c r="AA465" s="294">
        <f t="shared" si="257"/>
        <v>0</v>
      </c>
      <c r="AB465" s="294">
        <f t="shared" si="257"/>
        <v>0</v>
      </c>
      <c r="AC465" s="294">
        <f t="shared" si="257"/>
        <v>0</v>
      </c>
      <c r="AD465" s="294">
        <f t="shared" si="257"/>
        <v>0</v>
      </c>
      <c r="AE465" s="294">
        <f t="shared" si="257"/>
        <v>0</v>
      </c>
      <c r="AF465" s="294">
        <f t="shared" si="257"/>
        <v>0</v>
      </c>
      <c r="AG465" s="294">
        <f t="shared" si="257"/>
        <v>0</v>
      </c>
      <c r="AH465" s="294">
        <f t="shared" si="257"/>
        <v>0</v>
      </c>
      <c r="AI465" s="294">
        <f t="shared" si="257"/>
        <v>0</v>
      </c>
      <c r="AJ465" s="294">
        <f t="shared" si="257"/>
        <v>0</v>
      </c>
      <c r="AK465" s="294">
        <f t="shared" si="257"/>
        <v>0</v>
      </c>
      <c r="AL465" s="294">
        <f t="shared" si="257"/>
        <v>0</v>
      </c>
      <c r="AM465" s="294">
        <f t="shared" si="257"/>
        <v>0</v>
      </c>
      <c r="AN465" s="294">
        <f t="shared" si="257"/>
        <v>0</v>
      </c>
      <c r="AO465" s="294">
        <f t="shared" si="257"/>
        <v>0</v>
      </c>
      <c r="AP465" s="294">
        <f t="shared" si="257"/>
        <v>0</v>
      </c>
    </row>
    <row r="466" spans="1:42" x14ac:dyDescent="0.2">
      <c r="A466" s="7">
        <f t="shared" si="256"/>
        <v>4</v>
      </c>
      <c r="B466" s="292">
        <f t="shared" si="253"/>
        <v>0</v>
      </c>
      <c r="C466" s="294">
        <f t="shared" ref="C466:AP466" si="258">LOOKUP(C454,$B$394:$AP$394,$B$395:$AP$395)*$B633/100</f>
        <v>0</v>
      </c>
      <c r="D466" s="294">
        <f t="shared" si="258"/>
        <v>0</v>
      </c>
      <c r="E466" s="294">
        <f t="shared" si="258"/>
        <v>0</v>
      </c>
      <c r="F466" s="294">
        <f t="shared" si="258"/>
        <v>0</v>
      </c>
      <c r="G466" s="294">
        <f t="shared" si="258"/>
        <v>0</v>
      </c>
      <c r="H466" s="294">
        <f t="shared" si="258"/>
        <v>0</v>
      </c>
      <c r="I466" s="294">
        <f t="shared" si="258"/>
        <v>0</v>
      </c>
      <c r="J466" s="294">
        <f t="shared" si="258"/>
        <v>0</v>
      </c>
      <c r="K466" s="294">
        <f t="shared" si="258"/>
        <v>0</v>
      </c>
      <c r="L466" s="294">
        <f t="shared" si="258"/>
        <v>0</v>
      </c>
      <c r="M466" s="294">
        <f t="shared" si="258"/>
        <v>0</v>
      </c>
      <c r="N466" s="294">
        <f t="shared" si="258"/>
        <v>0</v>
      </c>
      <c r="O466" s="294">
        <f t="shared" si="258"/>
        <v>0</v>
      </c>
      <c r="P466" s="294">
        <f t="shared" si="258"/>
        <v>0</v>
      </c>
      <c r="Q466" s="294">
        <f t="shared" si="258"/>
        <v>0</v>
      </c>
      <c r="R466" s="294">
        <f t="shared" si="258"/>
        <v>0</v>
      </c>
      <c r="S466" s="294">
        <f t="shared" si="258"/>
        <v>0</v>
      </c>
      <c r="T466" s="294">
        <f t="shared" si="258"/>
        <v>0</v>
      </c>
      <c r="U466" s="294">
        <f t="shared" si="258"/>
        <v>0</v>
      </c>
      <c r="V466" s="294">
        <f t="shared" si="258"/>
        <v>0</v>
      </c>
      <c r="W466" s="294">
        <f t="shared" si="258"/>
        <v>0</v>
      </c>
      <c r="X466" s="294">
        <f t="shared" si="258"/>
        <v>0</v>
      </c>
      <c r="Y466" s="294">
        <f t="shared" si="258"/>
        <v>0</v>
      </c>
      <c r="Z466" s="294">
        <f t="shared" si="258"/>
        <v>0</v>
      </c>
      <c r="AA466" s="294">
        <f t="shared" si="258"/>
        <v>0</v>
      </c>
      <c r="AB466" s="294">
        <f t="shared" si="258"/>
        <v>0</v>
      </c>
      <c r="AC466" s="294">
        <f t="shared" si="258"/>
        <v>0</v>
      </c>
      <c r="AD466" s="294">
        <f t="shared" si="258"/>
        <v>0</v>
      </c>
      <c r="AE466" s="294">
        <f t="shared" si="258"/>
        <v>0</v>
      </c>
      <c r="AF466" s="294">
        <f t="shared" si="258"/>
        <v>0</v>
      </c>
      <c r="AG466" s="294">
        <f t="shared" si="258"/>
        <v>0</v>
      </c>
      <c r="AH466" s="294">
        <f t="shared" si="258"/>
        <v>0</v>
      </c>
      <c r="AI466" s="294">
        <f t="shared" si="258"/>
        <v>0</v>
      </c>
      <c r="AJ466" s="294">
        <f t="shared" si="258"/>
        <v>0</v>
      </c>
      <c r="AK466" s="294">
        <f t="shared" si="258"/>
        <v>0</v>
      </c>
      <c r="AL466" s="294">
        <f t="shared" si="258"/>
        <v>0</v>
      </c>
      <c r="AM466" s="294">
        <f t="shared" si="258"/>
        <v>0</v>
      </c>
      <c r="AN466" s="294">
        <f t="shared" si="258"/>
        <v>0</v>
      </c>
      <c r="AO466" s="294">
        <f t="shared" si="258"/>
        <v>0</v>
      </c>
      <c r="AP466" s="294">
        <f t="shared" si="258"/>
        <v>0</v>
      </c>
    </row>
    <row r="467" spans="1:42" x14ac:dyDescent="0.2">
      <c r="A467" s="7">
        <f t="shared" si="256"/>
        <v>5</v>
      </c>
      <c r="B467" s="292">
        <f t="shared" si="253"/>
        <v>0</v>
      </c>
      <c r="C467" s="294">
        <f t="shared" ref="C467:AP467" si="259">LOOKUP(C455,$B$394:$AP$394,$B$395:$AP$395)*$B634/100</f>
        <v>0</v>
      </c>
      <c r="D467" s="294">
        <f t="shared" si="259"/>
        <v>0</v>
      </c>
      <c r="E467" s="294">
        <f t="shared" si="259"/>
        <v>0</v>
      </c>
      <c r="F467" s="294">
        <f t="shared" si="259"/>
        <v>0</v>
      </c>
      <c r="G467" s="294">
        <f t="shared" si="259"/>
        <v>0</v>
      </c>
      <c r="H467" s="294">
        <f t="shared" si="259"/>
        <v>0</v>
      </c>
      <c r="I467" s="294">
        <f t="shared" si="259"/>
        <v>0</v>
      </c>
      <c r="J467" s="294">
        <f t="shared" si="259"/>
        <v>0</v>
      </c>
      <c r="K467" s="294">
        <f t="shared" si="259"/>
        <v>0</v>
      </c>
      <c r="L467" s="294">
        <f t="shared" si="259"/>
        <v>0</v>
      </c>
      <c r="M467" s="294">
        <f t="shared" si="259"/>
        <v>0</v>
      </c>
      <c r="N467" s="294">
        <f t="shared" si="259"/>
        <v>0</v>
      </c>
      <c r="O467" s="294">
        <f t="shared" si="259"/>
        <v>0</v>
      </c>
      <c r="P467" s="294">
        <f t="shared" si="259"/>
        <v>0</v>
      </c>
      <c r="Q467" s="294">
        <f t="shared" si="259"/>
        <v>0</v>
      </c>
      <c r="R467" s="294">
        <f t="shared" si="259"/>
        <v>0</v>
      </c>
      <c r="S467" s="294">
        <f t="shared" si="259"/>
        <v>0</v>
      </c>
      <c r="T467" s="294">
        <f t="shared" si="259"/>
        <v>0</v>
      </c>
      <c r="U467" s="294">
        <f t="shared" si="259"/>
        <v>0</v>
      </c>
      <c r="V467" s="294">
        <f t="shared" si="259"/>
        <v>0</v>
      </c>
      <c r="W467" s="294">
        <f t="shared" si="259"/>
        <v>0</v>
      </c>
      <c r="X467" s="294">
        <f t="shared" si="259"/>
        <v>0</v>
      </c>
      <c r="Y467" s="294">
        <f t="shared" si="259"/>
        <v>0</v>
      </c>
      <c r="Z467" s="294">
        <f t="shared" si="259"/>
        <v>0</v>
      </c>
      <c r="AA467" s="294">
        <f t="shared" si="259"/>
        <v>0</v>
      </c>
      <c r="AB467" s="294">
        <f t="shared" si="259"/>
        <v>0</v>
      </c>
      <c r="AC467" s="294">
        <f t="shared" si="259"/>
        <v>0</v>
      </c>
      <c r="AD467" s="294">
        <f t="shared" si="259"/>
        <v>0</v>
      </c>
      <c r="AE467" s="294">
        <f t="shared" si="259"/>
        <v>0</v>
      </c>
      <c r="AF467" s="294">
        <f t="shared" si="259"/>
        <v>0</v>
      </c>
      <c r="AG467" s="294">
        <f t="shared" si="259"/>
        <v>0</v>
      </c>
      <c r="AH467" s="294">
        <f t="shared" si="259"/>
        <v>0</v>
      </c>
      <c r="AI467" s="294">
        <f t="shared" si="259"/>
        <v>0</v>
      </c>
      <c r="AJ467" s="294">
        <f t="shared" si="259"/>
        <v>0</v>
      </c>
      <c r="AK467" s="294">
        <f t="shared" si="259"/>
        <v>0</v>
      </c>
      <c r="AL467" s="294">
        <f t="shared" si="259"/>
        <v>0</v>
      </c>
      <c r="AM467" s="294">
        <f t="shared" si="259"/>
        <v>0</v>
      </c>
      <c r="AN467" s="294">
        <f t="shared" si="259"/>
        <v>0</v>
      </c>
      <c r="AO467" s="294">
        <f t="shared" si="259"/>
        <v>0</v>
      </c>
      <c r="AP467" s="294">
        <f t="shared" si="259"/>
        <v>0</v>
      </c>
    </row>
    <row r="468" spans="1:42" x14ac:dyDescent="0.2">
      <c r="A468" s="7">
        <f t="shared" si="256"/>
        <v>6</v>
      </c>
      <c r="B468" s="292">
        <f t="shared" si="253"/>
        <v>0</v>
      </c>
      <c r="C468" s="294">
        <f t="shared" ref="C468:AP468" si="260">LOOKUP(C456,$B$394:$AP$394,$B$395:$AP$395)*$B635/100</f>
        <v>0</v>
      </c>
      <c r="D468" s="294">
        <f t="shared" si="260"/>
        <v>0</v>
      </c>
      <c r="E468" s="294">
        <f t="shared" si="260"/>
        <v>0</v>
      </c>
      <c r="F468" s="294">
        <f t="shared" si="260"/>
        <v>0</v>
      </c>
      <c r="G468" s="294">
        <f t="shared" si="260"/>
        <v>0</v>
      </c>
      <c r="H468" s="294">
        <f t="shared" si="260"/>
        <v>0</v>
      </c>
      <c r="I468" s="294">
        <f t="shared" si="260"/>
        <v>0</v>
      </c>
      <c r="J468" s="294">
        <f t="shared" si="260"/>
        <v>0</v>
      </c>
      <c r="K468" s="294">
        <f t="shared" si="260"/>
        <v>0</v>
      </c>
      <c r="L468" s="294">
        <f t="shared" si="260"/>
        <v>0</v>
      </c>
      <c r="M468" s="294">
        <f t="shared" si="260"/>
        <v>0</v>
      </c>
      <c r="N468" s="294">
        <f t="shared" si="260"/>
        <v>0</v>
      </c>
      <c r="O468" s="294">
        <f t="shared" si="260"/>
        <v>0</v>
      </c>
      <c r="P468" s="294">
        <f t="shared" si="260"/>
        <v>0</v>
      </c>
      <c r="Q468" s="294">
        <f t="shared" si="260"/>
        <v>0</v>
      </c>
      <c r="R468" s="294">
        <f t="shared" si="260"/>
        <v>0</v>
      </c>
      <c r="S468" s="294">
        <f t="shared" si="260"/>
        <v>0</v>
      </c>
      <c r="T468" s="294">
        <f t="shared" si="260"/>
        <v>0</v>
      </c>
      <c r="U468" s="294">
        <f t="shared" si="260"/>
        <v>0</v>
      </c>
      <c r="V468" s="294">
        <f t="shared" si="260"/>
        <v>0</v>
      </c>
      <c r="W468" s="294">
        <f t="shared" si="260"/>
        <v>0</v>
      </c>
      <c r="X468" s="294">
        <f t="shared" si="260"/>
        <v>0</v>
      </c>
      <c r="Y468" s="294">
        <f t="shared" si="260"/>
        <v>0</v>
      </c>
      <c r="Z468" s="294">
        <f t="shared" si="260"/>
        <v>0</v>
      </c>
      <c r="AA468" s="294">
        <f t="shared" si="260"/>
        <v>0</v>
      </c>
      <c r="AB468" s="294">
        <f t="shared" si="260"/>
        <v>0</v>
      </c>
      <c r="AC468" s="294">
        <f t="shared" si="260"/>
        <v>0</v>
      </c>
      <c r="AD468" s="294">
        <f t="shared" si="260"/>
        <v>0</v>
      </c>
      <c r="AE468" s="294">
        <f t="shared" si="260"/>
        <v>0</v>
      </c>
      <c r="AF468" s="294">
        <f t="shared" si="260"/>
        <v>0</v>
      </c>
      <c r="AG468" s="294">
        <f t="shared" si="260"/>
        <v>0</v>
      </c>
      <c r="AH468" s="294">
        <f t="shared" si="260"/>
        <v>0</v>
      </c>
      <c r="AI468" s="294">
        <f t="shared" si="260"/>
        <v>0</v>
      </c>
      <c r="AJ468" s="294">
        <f t="shared" si="260"/>
        <v>0</v>
      </c>
      <c r="AK468" s="294">
        <f t="shared" si="260"/>
        <v>0</v>
      </c>
      <c r="AL468" s="294">
        <f t="shared" si="260"/>
        <v>0</v>
      </c>
      <c r="AM468" s="294">
        <f t="shared" si="260"/>
        <v>0</v>
      </c>
      <c r="AN468" s="294">
        <f t="shared" si="260"/>
        <v>0</v>
      </c>
      <c r="AO468" s="294">
        <f t="shared" si="260"/>
        <v>0</v>
      </c>
      <c r="AP468" s="294">
        <f t="shared" si="260"/>
        <v>0</v>
      </c>
    </row>
    <row r="469" spans="1:42" x14ac:dyDescent="0.2">
      <c r="A469" s="7">
        <f t="shared" si="256"/>
        <v>7</v>
      </c>
      <c r="B469" s="292">
        <f t="shared" si="253"/>
        <v>0</v>
      </c>
      <c r="C469" s="294">
        <f t="shared" ref="C469:AP469" si="261">LOOKUP(C457,$B$394:$AP$394,$B$395:$AP$395)*$B636/100</f>
        <v>0</v>
      </c>
      <c r="D469" s="294">
        <f t="shared" si="261"/>
        <v>0</v>
      </c>
      <c r="E469" s="294">
        <f t="shared" si="261"/>
        <v>0</v>
      </c>
      <c r="F469" s="294">
        <f t="shared" si="261"/>
        <v>0</v>
      </c>
      <c r="G469" s="294">
        <f t="shared" si="261"/>
        <v>0</v>
      </c>
      <c r="H469" s="294">
        <f t="shared" si="261"/>
        <v>0</v>
      </c>
      <c r="I469" s="294">
        <f t="shared" si="261"/>
        <v>0</v>
      </c>
      <c r="J469" s="294">
        <f t="shared" si="261"/>
        <v>0</v>
      </c>
      <c r="K469" s="294">
        <f t="shared" si="261"/>
        <v>0</v>
      </c>
      <c r="L469" s="294">
        <f t="shared" si="261"/>
        <v>0</v>
      </c>
      <c r="M469" s="294">
        <f t="shared" si="261"/>
        <v>0</v>
      </c>
      <c r="N469" s="294">
        <f t="shared" si="261"/>
        <v>0</v>
      </c>
      <c r="O469" s="294">
        <f t="shared" si="261"/>
        <v>0</v>
      </c>
      <c r="P469" s="294">
        <f t="shared" si="261"/>
        <v>0</v>
      </c>
      <c r="Q469" s="294">
        <f t="shared" si="261"/>
        <v>0</v>
      </c>
      <c r="R469" s="294">
        <f t="shared" si="261"/>
        <v>0</v>
      </c>
      <c r="S469" s="294">
        <f t="shared" si="261"/>
        <v>0</v>
      </c>
      <c r="T469" s="294">
        <f t="shared" si="261"/>
        <v>0</v>
      </c>
      <c r="U469" s="294">
        <f t="shared" si="261"/>
        <v>0</v>
      </c>
      <c r="V469" s="294">
        <f t="shared" si="261"/>
        <v>0</v>
      </c>
      <c r="W469" s="294">
        <f t="shared" si="261"/>
        <v>0</v>
      </c>
      <c r="X469" s="294">
        <f t="shared" si="261"/>
        <v>0</v>
      </c>
      <c r="Y469" s="294">
        <f t="shared" si="261"/>
        <v>0</v>
      </c>
      <c r="Z469" s="294">
        <f t="shared" si="261"/>
        <v>0</v>
      </c>
      <c r="AA469" s="294">
        <f t="shared" si="261"/>
        <v>0</v>
      </c>
      <c r="AB469" s="294">
        <f t="shared" si="261"/>
        <v>0</v>
      </c>
      <c r="AC469" s="294">
        <f t="shared" si="261"/>
        <v>0</v>
      </c>
      <c r="AD469" s="294">
        <f t="shared" si="261"/>
        <v>0</v>
      </c>
      <c r="AE469" s="294">
        <f t="shared" si="261"/>
        <v>0</v>
      </c>
      <c r="AF469" s="294">
        <f t="shared" si="261"/>
        <v>0</v>
      </c>
      <c r="AG469" s="294">
        <f t="shared" si="261"/>
        <v>0</v>
      </c>
      <c r="AH469" s="294">
        <f t="shared" si="261"/>
        <v>0</v>
      </c>
      <c r="AI469" s="294">
        <f t="shared" si="261"/>
        <v>0</v>
      </c>
      <c r="AJ469" s="294">
        <f t="shared" si="261"/>
        <v>0</v>
      </c>
      <c r="AK469" s="294">
        <f t="shared" si="261"/>
        <v>0</v>
      </c>
      <c r="AL469" s="294">
        <f t="shared" si="261"/>
        <v>0</v>
      </c>
      <c r="AM469" s="294">
        <f t="shared" si="261"/>
        <v>0</v>
      </c>
      <c r="AN469" s="294">
        <f t="shared" si="261"/>
        <v>0</v>
      </c>
      <c r="AO469" s="294">
        <f t="shared" si="261"/>
        <v>0</v>
      </c>
      <c r="AP469" s="294">
        <f t="shared" si="261"/>
        <v>0</v>
      </c>
    </row>
    <row r="470" spans="1:42" x14ac:dyDescent="0.2">
      <c r="A470" s="7">
        <f t="shared" si="256"/>
        <v>8</v>
      </c>
      <c r="B470" s="292">
        <f t="shared" si="253"/>
        <v>0</v>
      </c>
      <c r="C470" s="294">
        <f t="shared" ref="C470:AP470" si="262">LOOKUP(C458,$B$394:$AP$394,$B$395:$AP$395)*$B637/100</f>
        <v>0</v>
      </c>
      <c r="D470" s="294">
        <f t="shared" si="262"/>
        <v>0</v>
      </c>
      <c r="E470" s="294">
        <f t="shared" si="262"/>
        <v>0</v>
      </c>
      <c r="F470" s="294">
        <f t="shared" si="262"/>
        <v>0</v>
      </c>
      <c r="G470" s="294">
        <f t="shared" si="262"/>
        <v>0</v>
      </c>
      <c r="H470" s="294">
        <f t="shared" si="262"/>
        <v>0</v>
      </c>
      <c r="I470" s="294">
        <f t="shared" si="262"/>
        <v>0</v>
      </c>
      <c r="J470" s="294">
        <f t="shared" si="262"/>
        <v>0</v>
      </c>
      <c r="K470" s="294">
        <f t="shared" si="262"/>
        <v>0</v>
      </c>
      <c r="L470" s="294">
        <f t="shared" si="262"/>
        <v>0</v>
      </c>
      <c r="M470" s="294">
        <f t="shared" si="262"/>
        <v>0</v>
      </c>
      <c r="N470" s="294">
        <f t="shared" si="262"/>
        <v>0</v>
      </c>
      <c r="O470" s="294">
        <f t="shared" si="262"/>
        <v>0</v>
      </c>
      <c r="P470" s="294">
        <f t="shared" si="262"/>
        <v>0</v>
      </c>
      <c r="Q470" s="294">
        <f t="shared" si="262"/>
        <v>0</v>
      </c>
      <c r="R470" s="294">
        <f t="shared" si="262"/>
        <v>0</v>
      </c>
      <c r="S470" s="294">
        <f t="shared" si="262"/>
        <v>0</v>
      </c>
      <c r="T470" s="294">
        <f t="shared" si="262"/>
        <v>0</v>
      </c>
      <c r="U470" s="294">
        <f t="shared" si="262"/>
        <v>0</v>
      </c>
      <c r="V470" s="294">
        <f t="shared" si="262"/>
        <v>0</v>
      </c>
      <c r="W470" s="294">
        <f t="shared" si="262"/>
        <v>0</v>
      </c>
      <c r="X470" s="294">
        <f t="shared" si="262"/>
        <v>0</v>
      </c>
      <c r="Y470" s="294">
        <f t="shared" si="262"/>
        <v>0</v>
      </c>
      <c r="Z470" s="294">
        <f t="shared" si="262"/>
        <v>0</v>
      </c>
      <c r="AA470" s="294">
        <f t="shared" si="262"/>
        <v>0</v>
      </c>
      <c r="AB470" s="294">
        <f t="shared" si="262"/>
        <v>0</v>
      </c>
      <c r="AC470" s="294">
        <f t="shared" si="262"/>
        <v>0</v>
      </c>
      <c r="AD470" s="294">
        <f t="shared" si="262"/>
        <v>0</v>
      </c>
      <c r="AE470" s="294">
        <f t="shared" si="262"/>
        <v>0</v>
      </c>
      <c r="AF470" s="294">
        <f t="shared" si="262"/>
        <v>0</v>
      </c>
      <c r="AG470" s="294">
        <f t="shared" si="262"/>
        <v>0</v>
      </c>
      <c r="AH470" s="294">
        <f t="shared" si="262"/>
        <v>0</v>
      </c>
      <c r="AI470" s="294">
        <f t="shared" si="262"/>
        <v>0</v>
      </c>
      <c r="AJ470" s="294">
        <f t="shared" si="262"/>
        <v>0</v>
      </c>
      <c r="AK470" s="294">
        <f t="shared" si="262"/>
        <v>0</v>
      </c>
      <c r="AL470" s="294">
        <f t="shared" si="262"/>
        <v>0</v>
      </c>
      <c r="AM470" s="294">
        <f t="shared" si="262"/>
        <v>0</v>
      </c>
      <c r="AN470" s="294">
        <f t="shared" si="262"/>
        <v>0</v>
      </c>
      <c r="AO470" s="294">
        <f t="shared" si="262"/>
        <v>0</v>
      </c>
      <c r="AP470" s="294">
        <f t="shared" si="262"/>
        <v>0</v>
      </c>
    </row>
    <row r="471" spans="1:42" x14ac:dyDescent="0.2">
      <c r="A471" s="7">
        <f>A470+1</f>
        <v>9</v>
      </c>
      <c r="B471" s="292">
        <f t="shared" si="253"/>
        <v>0</v>
      </c>
      <c r="C471" s="294">
        <f t="shared" ref="C471:AP471" si="263">LOOKUP(C459,$B$394:$AP$394,$B$395:$AP$395)*$B638/100</f>
        <v>0</v>
      </c>
      <c r="D471" s="294">
        <f t="shared" si="263"/>
        <v>0</v>
      </c>
      <c r="E471" s="294">
        <f t="shared" si="263"/>
        <v>0</v>
      </c>
      <c r="F471" s="294">
        <f t="shared" si="263"/>
        <v>0</v>
      </c>
      <c r="G471" s="294">
        <f t="shared" si="263"/>
        <v>0</v>
      </c>
      <c r="H471" s="294">
        <f t="shared" si="263"/>
        <v>0</v>
      </c>
      <c r="I471" s="294">
        <f t="shared" si="263"/>
        <v>0</v>
      </c>
      <c r="J471" s="294">
        <f t="shared" si="263"/>
        <v>0</v>
      </c>
      <c r="K471" s="294">
        <f t="shared" si="263"/>
        <v>0</v>
      </c>
      <c r="L471" s="294">
        <f t="shared" si="263"/>
        <v>0</v>
      </c>
      <c r="M471" s="294">
        <f t="shared" si="263"/>
        <v>0</v>
      </c>
      <c r="N471" s="294">
        <f t="shared" si="263"/>
        <v>0</v>
      </c>
      <c r="O471" s="294">
        <f t="shared" si="263"/>
        <v>0</v>
      </c>
      <c r="P471" s="294">
        <f t="shared" si="263"/>
        <v>0</v>
      </c>
      <c r="Q471" s="294">
        <f t="shared" si="263"/>
        <v>0</v>
      </c>
      <c r="R471" s="294">
        <f t="shared" si="263"/>
        <v>0</v>
      </c>
      <c r="S471" s="294">
        <f t="shared" si="263"/>
        <v>0</v>
      </c>
      <c r="T471" s="294">
        <f t="shared" si="263"/>
        <v>0</v>
      </c>
      <c r="U471" s="294">
        <f t="shared" si="263"/>
        <v>0</v>
      </c>
      <c r="V471" s="294">
        <f t="shared" si="263"/>
        <v>0</v>
      </c>
      <c r="W471" s="294">
        <f t="shared" si="263"/>
        <v>0</v>
      </c>
      <c r="X471" s="294">
        <f t="shared" si="263"/>
        <v>0</v>
      </c>
      <c r="Y471" s="294">
        <f t="shared" si="263"/>
        <v>0</v>
      </c>
      <c r="Z471" s="294">
        <f t="shared" si="263"/>
        <v>0</v>
      </c>
      <c r="AA471" s="294">
        <f t="shared" si="263"/>
        <v>0</v>
      </c>
      <c r="AB471" s="294">
        <f t="shared" si="263"/>
        <v>0</v>
      </c>
      <c r="AC471" s="294">
        <f t="shared" si="263"/>
        <v>0</v>
      </c>
      <c r="AD471" s="294">
        <f t="shared" si="263"/>
        <v>0</v>
      </c>
      <c r="AE471" s="294">
        <f t="shared" si="263"/>
        <v>0</v>
      </c>
      <c r="AF471" s="294">
        <f t="shared" si="263"/>
        <v>0</v>
      </c>
      <c r="AG471" s="294">
        <f t="shared" si="263"/>
        <v>0</v>
      </c>
      <c r="AH471" s="294">
        <f t="shared" si="263"/>
        <v>0</v>
      </c>
      <c r="AI471" s="294">
        <f t="shared" si="263"/>
        <v>0</v>
      </c>
      <c r="AJ471" s="294">
        <f t="shared" si="263"/>
        <v>0</v>
      </c>
      <c r="AK471" s="294">
        <f t="shared" si="263"/>
        <v>0</v>
      </c>
      <c r="AL471" s="294">
        <f t="shared" si="263"/>
        <v>0</v>
      </c>
      <c r="AM471" s="294">
        <f t="shared" si="263"/>
        <v>0</v>
      </c>
      <c r="AN471" s="294">
        <f t="shared" si="263"/>
        <v>0</v>
      </c>
      <c r="AO471" s="294">
        <f t="shared" si="263"/>
        <v>0</v>
      </c>
      <c r="AP471" s="294">
        <f t="shared" si="263"/>
        <v>0</v>
      </c>
    </row>
    <row r="472" spans="1:42" x14ac:dyDescent="0.2">
      <c r="A472" s="7">
        <f t="shared" ref="A472" si="264">A471+1</f>
        <v>10</v>
      </c>
      <c r="B472" s="292">
        <f t="shared" si="253"/>
        <v>0</v>
      </c>
      <c r="C472" s="294">
        <f t="shared" ref="C472:AP472" si="265">LOOKUP(C460,$B$394:$AP$394,$B$395:$AP$395)*$B639/100</f>
        <v>0</v>
      </c>
      <c r="D472" s="294">
        <f t="shared" si="265"/>
        <v>0</v>
      </c>
      <c r="E472" s="294">
        <f t="shared" si="265"/>
        <v>0</v>
      </c>
      <c r="F472" s="294">
        <f t="shared" si="265"/>
        <v>0</v>
      </c>
      <c r="G472" s="294">
        <f t="shared" si="265"/>
        <v>0</v>
      </c>
      <c r="H472" s="294">
        <f t="shared" si="265"/>
        <v>0</v>
      </c>
      <c r="I472" s="294">
        <f t="shared" si="265"/>
        <v>0</v>
      </c>
      <c r="J472" s="294">
        <f t="shared" si="265"/>
        <v>0</v>
      </c>
      <c r="K472" s="294">
        <f t="shared" si="265"/>
        <v>0</v>
      </c>
      <c r="L472" s="294">
        <f t="shared" si="265"/>
        <v>0</v>
      </c>
      <c r="M472" s="294">
        <f t="shared" si="265"/>
        <v>0</v>
      </c>
      <c r="N472" s="294">
        <f t="shared" si="265"/>
        <v>0</v>
      </c>
      <c r="O472" s="294">
        <f t="shared" si="265"/>
        <v>0</v>
      </c>
      <c r="P472" s="294">
        <f t="shared" si="265"/>
        <v>0</v>
      </c>
      <c r="Q472" s="294">
        <f t="shared" si="265"/>
        <v>0</v>
      </c>
      <c r="R472" s="294">
        <f t="shared" si="265"/>
        <v>0</v>
      </c>
      <c r="S472" s="294">
        <f t="shared" si="265"/>
        <v>0</v>
      </c>
      <c r="T472" s="294">
        <f t="shared" si="265"/>
        <v>0</v>
      </c>
      <c r="U472" s="294">
        <f t="shared" si="265"/>
        <v>0</v>
      </c>
      <c r="V472" s="294">
        <f t="shared" si="265"/>
        <v>0</v>
      </c>
      <c r="W472" s="294">
        <f t="shared" si="265"/>
        <v>0</v>
      </c>
      <c r="X472" s="294">
        <f t="shared" si="265"/>
        <v>0</v>
      </c>
      <c r="Y472" s="294">
        <f t="shared" si="265"/>
        <v>0</v>
      </c>
      <c r="Z472" s="294">
        <f t="shared" si="265"/>
        <v>0</v>
      </c>
      <c r="AA472" s="294">
        <f t="shared" si="265"/>
        <v>0</v>
      </c>
      <c r="AB472" s="294">
        <f t="shared" si="265"/>
        <v>0</v>
      </c>
      <c r="AC472" s="294">
        <f t="shared" si="265"/>
        <v>0</v>
      </c>
      <c r="AD472" s="294">
        <f t="shared" si="265"/>
        <v>0</v>
      </c>
      <c r="AE472" s="294">
        <f t="shared" si="265"/>
        <v>0</v>
      </c>
      <c r="AF472" s="294">
        <f t="shared" si="265"/>
        <v>0</v>
      </c>
      <c r="AG472" s="294">
        <f t="shared" si="265"/>
        <v>0</v>
      </c>
      <c r="AH472" s="294">
        <f t="shared" si="265"/>
        <v>0</v>
      </c>
      <c r="AI472" s="294">
        <f t="shared" si="265"/>
        <v>0</v>
      </c>
      <c r="AJ472" s="294">
        <f t="shared" si="265"/>
        <v>0</v>
      </c>
      <c r="AK472" s="294">
        <f t="shared" si="265"/>
        <v>0</v>
      </c>
      <c r="AL472" s="294">
        <f t="shared" si="265"/>
        <v>0</v>
      </c>
      <c r="AM472" s="294">
        <f t="shared" si="265"/>
        <v>0</v>
      </c>
      <c r="AN472" s="294">
        <f t="shared" si="265"/>
        <v>0</v>
      </c>
      <c r="AO472" s="294">
        <f t="shared" si="265"/>
        <v>0</v>
      </c>
      <c r="AP472" s="294">
        <f t="shared" si="265"/>
        <v>0</v>
      </c>
    </row>
    <row r="473" spans="1:42" s="21" customFormat="1" x14ac:dyDescent="0.2">
      <c r="A473" s="46" t="s">
        <v>18</v>
      </c>
      <c r="B473" s="24"/>
      <c r="C473" s="273">
        <f>SUM(C463:C472)</f>
        <v>0</v>
      </c>
      <c r="D473" s="273">
        <f t="shared" ref="D473:AP473" si="266">SUM(D463:D472)</f>
        <v>0</v>
      </c>
      <c r="E473" s="273">
        <f t="shared" si="266"/>
        <v>0</v>
      </c>
      <c r="F473" s="273">
        <f t="shared" si="266"/>
        <v>0</v>
      </c>
      <c r="G473" s="273">
        <f t="shared" si="266"/>
        <v>0</v>
      </c>
      <c r="H473" s="273">
        <f t="shared" si="266"/>
        <v>0</v>
      </c>
      <c r="I473" s="273">
        <f t="shared" si="266"/>
        <v>0</v>
      </c>
      <c r="J473" s="273">
        <f t="shared" si="266"/>
        <v>0</v>
      </c>
      <c r="K473" s="273">
        <f t="shared" si="266"/>
        <v>0</v>
      </c>
      <c r="L473" s="273">
        <f t="shared" si="266"/>
        <v>0</v>
      </c>
      <c r="M473" s="273">
        <f t="shared" si="266"/>
        <v>0</v>
      </c>
      <c r="N473" s="273">
        <f t="shared" si="266"/>
        <v>0</v>
      </c>
      <c r="O473" s="273">
        <f t="shared" si="266"/>
        <v>0</v>
      </c>
      <c r="P473" s="273">
        <f t="shared" si="266"/>
        <v>0</v>
      </c>
      <c r="Q473" s="273">
        <f t="shared" si="266"/>
        <v>0</v>
      </c>
      <c r="R473" s="273">
        <f t="shared" si="266"/>
        <v>0</v>
      </c>
      <c r="S473" s="273">
        <f t="shared" si="266"/>
        <v>0</v>
      </c>
      <c r="T473" s="273">
        <f t="shared" si="266"/>
        <v>0</v>
      </c>
      <c r="U473" s="273">
        <f t="shared" si="266"/>
        <v>0</v>
      </c>
      <c r="V473" s="273">
        <f t="shared" si="266"/>
        <v>0</v>
      </c>
      <c r="W473" s="273">
        <f t="shared" si="266"/>
        <v>0</v>
      </c>
      <c r="X473" s="273">
        <f t="shared" si="266"/>
        <v>0</v>
      </c>
      <c r="Y473" s="273">
        <f t="shared" si="266"/>
        <v>0</v>
      </c>
      <c r="Z473" s="273">
        <f t="shared" si="266"/>
        <v>0</v>
      </c>
      <c r="AA473" s="273">
        <f t="shared" si="266"/>
        <v>0</v>
      </c>
      <c r="AB473" s="273">
        <f t="shared" si="266"/>
        <v>0</v>
      </c>
      <c r="AC473" s="273">
        <f t="shared" si="266"/>
        <v>0</v>
      </c>
      <c r="AD473" s="273">
        <f t="shared" si="266"/>
        <v>0</v>
      </c>
      <c r="AE473" s="273">
        <f t="shared" si="266"/>
        <v>0</v>
      </c>
      <c r="AF473" s="273">
        <f t="shared" si="266"/>
        <v>0</v>
      </c>
      <c r="AG473" s="273">
        <f t="shared" si="266"/>
        <v>0</v>
      </c>
      <c r="AH473" s="273">
        <f t="shared" si="266"/>
        <v>0</v>
      </c>
      <c r="AI473" s="273">
        <f t="shared" si="266"/>
        <v>0</v>
      </c>
      <c r="AJ473" s="273">
        <f t="shared" si="266"/>
        <v>0</v>
      </c>
      <c r="AK473" s="273">
        <f t="shared" si="266"/>
        <v>0</v>
      </c>
      <c r="AL473" s="273">
        <f t="shared" si="266"/>
        <v>0</v>
      </c>
      <c r="AM473" s="273">
        <f t="shared" si="266"/>
        <v>0</v>
      </c>
      <c r="AN473" s="273">
        <f t="shared" si="266"/>
        <v>0</v>
      </c>
      <c r="AO473" s="273">
        <f t="shared" si="266"/>
        <v>0</v>
      </c>
      <c r="AP473" s="273">
        <f t="shared" si="266"/>
        <v>0</v>
      </c>
    </row>
    <row r="474" spans="1:42" s="21" customFormat="1" x14ac:dyDescent="0.2">
      <c r="A474" s="46"/>
      <c r="B474" s="24"/>
      <c r="C474" s="273"/>
      <c r="D474" s="273"/>
      <c r="E474" s="273"/>
      <c r="F474" s="273"/>
      <c r="G474" s="273"/>
      <c r="H474" s="273"/>
      <c r="I474" s="273"/>
      <c r="J474" s="273"/>
      <c r="K474" s="273"/>
      <c r="L474" s="273"/>
      <c r="M474" s="273"/>
      <c r="N474" s="273"/>
      <c r="O474" s="273"/>
      <c r="P474" s="273"/>
      <c r="Q474" s="273"/>
      <c r="R474" s="273"/>
      <c r="S474" s="273"/>
      <c r="T474" s="273"/>
      <c r="U474" s="273"/>
      <c r="V474" s="273"/>
      <c r="W474" s="273"/>
      <c r="X474" s="273"/>
      <c r="Y474" s="273"/>
      <c r="Z474" s="273"/>
      <c r="AA474" s="273"/>
      <c r="AB474" s="273"/>
      <c r="AC474" s="273"/>
      <c r="AD474" s="273"/>
      <c r="AE474" s="273"/>
      <c r="AF474" s="273"/>
      <c r="AG474" s="273"/>
      <c r="AH474" s="273"/>
      <c r="AI474" s="273"/>
      <c r="AJ474" s="273"/>
      <c r="AK474" s="273"/>
      <c r="AL474" s="273"/>
      <c r="AM474" s="273"/>
      <c r="AN474" s="273"/>
      <c r="AO474" s="273"/>
      <c r="AP474" s="273"/>
    </row>
    <row r="475" spans="1:42" s="21" customFormat="1" x14ac:dyDescent="0.2">
      <c r="A475" s="360" t="s">
        <v>311</v>
      </c>
      <c r="B475" s="361"/>
      <c r="C475" s="361"/>
      <c r="D475" s="361"/>
      <c r="E475" s="361"/>
      <c r="F475" s="361"/>
      <c r="G475" s="361"/>
      <c r="H475" s="361"/>
      <c r="I475" s="361"/>
      <c r="J475" s="361"/>
      <c r="K475" s="361"/>
      <c r="L475" s="361"/>
      <c r="M475" s="361"/>
      <c r="N475" s="361"/>
      <c r="O475" s="361"/>
      <c r="P475" s="361"/>
      <c r="Q475" s="361"/>
      <c r="R475" s="361"/>
      <c r="S475" s="361"/>
      <c r="T475" s="361"/>
      <c r="U475" s="361"/>
      <c r="V475" s="361"/>
      <c r="W475" s="361"/>
      <c r="X475" s="361"/>
      <c r="Y475" s="361"/>
      <c r="Z475" s="361"/>
      <c r="AA475" s="361"/>
      <c r="AB475" s="361"/>
      <c r="AC475" s="361"/>
      <c r="AD475" s="361"/>
      <c r="AE475" s="361"/>
      <c r="AF475" s="361"/>
      <c r="AG475" s="361"/>
      <c r="AH475" s="361"/>
      <c r="AI475" s="361"/>
      <c r="AJ475" s="361"/>
      <c r="AK475" s="361"/>
      <c r="AL475" s="361"/>
      <c r="AM475" s="361"/>
      <c r="AN475" s="361"/>
      <c r="AO475" s="361"/>
      <c r="AP475" s="361"/>
    </row>
    <row r="476" spans="1:42" s="21" customFormat="1" x14ac:dyDescent="0.2">
      <c r="A476" s="362" t="s">
        <v>87</v>
      </c>
      <c r="B476" s="323"/>
      <c r="C476" s="363"/>
      <c r="D476" s="363"/>
      <c r="E476" s="363"/>
      <c r="F476" s="363"/>
      <c r="G476" s="363"/>
      <c r="H476" s="363"/>
      <c r="I476" s="363"/>
      <c r="J476" s="363"/>
      <c r="K476" s="363"/>
      <c r="L476" s="363"/>
      <c r="M476" s="363"/>
      <c r="N476" s="363"/>
      <c r="O476" s="363"/>
      <c r="P476" s="363"/>
      <c r="Q476" s="363"/>
      <c r="R476" s="363"/>
      <c r="S476" s="363"/>
      <c r="T476" s="363"/>
      <c r="U476" s="363"/>
      <c r="V476" s="363"/>
      <c r="W476" s="363"/>
      <c r="X476" s="363"/>
      <c r="Y476" s="363"/>
      <c r="Z476" s="363"/>
      <c r="AA476" s="363"/>
      <c r="AB476" s="363"/>
      <c r="AC476" s="363"/>
      <c r="AD476" s="363"/>
      <c r="AE476" s="363"/>
      <c r="AF476" s="363"/>
      <c r="AG476" s="363"/>
      <c r="AH476" s="363"/>
      <c r="AI476" s="363"/>
      <c r="AJ476" s="363"/>
      <c r="AK476" s="363"/>
      <c r="AL476" s="363"/>
      <c r="AM476" s="363"/>
      <c r="AN476" s="363"/>
      <c r="AO476" s="363"/>
      <c r="AP476" s="363"/>
    </row>
    <row r="477" spans="1:42" s="21" customFormat="1" x14ac:dyDescent="0.2">
      <c r="A477" s="36" t="s">
        <v>7</v>
      </c>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c r="AA477" s="218"/>
      <c r="AB477" s="218"/>
      <c r="AC477" s="218"/>
      <c r="AD477" s="218"/>
      <c r="AE477" s="218"/>
      <c r="AF477" s="218"/>
      <c r="AG477" s="218"/>
      <c r="AH477" s="218"/>
      <c r="AI477" s="218"/>
      <c r="AJ477" s="218"/>
      <c r="AK477" s="218"/>
      <c r="AL477" s="218"/>
      <c r="AM477" s="218"/>
      <c r="AN477" s="218"/>
      <c r="AO477" s="218"/>
      <c r="AP477" s="218"/>
    </row>
    <row r="478" spans="1:42" s="21" customFormat="1" x14ac:dyDescent="0.2">
      <c r="A478" s="38" t="s">
        <v>88</v>
      </c>
      <c r="C478" s="250">
        <f t="shared" ref="C478:AP478" si="267">IF(C$2&lt;=ptc_sta_term,ptc_sta_amount*(1+inflation_rate)^B$2,0)</f>
        <v>0</v>
      </c>
      <c r="D478" s="250">
        <f t="shared" si="267"/>
        <v>0</v>
      </c>
      <c r="E478" s="250">
        <f t="shared" si="267"/>
        <v>0</v>
      </c>
      <c r="F478" s="250">
        <f t="shared" si="267"/>
        <v>0</v>
      </c>
      <c r="G478" s="250">
        <f t="shared" si="267"/>
        <v>0</v>
      </c>
      <c r="H478" s="250">
        <f t="shared" si="267"/>
        <v>0</v>
      </c>
      <c r="I478" s="250">
        <f t="shared" si="267"/>
        <v>0</v>
      </c>
      <c r="J478" s="250">
        <f t="shared" si="267"/>
        <v>0</v>
      </c>
      <c r="K478" s="250">
        <f t="shared" si="267"/>
        <v>0</v>
      </c>
      <c r="L478" s="250">
        <f t="shared" si="267"/>
        <v>0</v>
      </c>
      <c r="M478" s="250">
        <f t="shared" si="267"/>
        <v>0</v>
      </c>
      <c r="N478" s="250">
        <f t="shared" si="267"/>
        <v>0</v>
      </c>
      <c r="O478" s="250">
        <f t="shared" si="267"/>
        <v>0</v>
      </c>
      <c r="P478" s="250">
        <f t="shared" si="267"/>
        <v>0</v>
      </c>
      <c r="Q478" s="250">
        <f t="shared" si="267"/>
        <v>0</v>
      </c>
      <c r="R478" s="250">
        <f t="shared" si="267"/>
        <v>0</v>
      </c>
      <c r="S478" s="250">
        <f t="shared" si="267"/>
        <v>0</v>
      </c>
      <c r="T478" s="250">
        <f t="shared" si="267"/>
        <v>0</v>
      </c>
      <c r="U478" s="250">
        <f t="shared" si="267"/>
        <v>0</v>
      </c>
      <c r="V478" s="250">
        <f t="shared" si="267"/>
        <v>0</v>
      </c>
      <c r="W478" s="250">
        <f t="shared" si="267"/>
        <v>0</v>
      </c>
      <c r="X478" s="250">
        <f t="shared" si="267"/>
        <v>0</v>
      </c>
      <c r="Y478" s="250">
        <f t="shared" si="267"/>
        <v>0</v>
      </c>
      <c r="Z478" s="250">
        <f t="shared" si="267"/>
        <v>0</v>
      </c>
      <c r="AA478" s="250">
        <f t="shared" si="267"/>
        <v>0</v>
      </c>
      <c r="AB478" s="250">
        <f t="shared" si="267"/>
        <v>0</v>
      </c>
      <c r="AC478" s="250">
        <f t="shared" si="267"/>
        <v>0</v>
      </c>
      <c r="AD478" s="250">
        <f t="shared" si="267"/>
        <v>0</v>
      </c>
      <c r="AE478" s="250">
        <f t="shared" si="267"/>
        <v>0</v>
      </c>
      <c r="AF478" s="250">
        <f t="shared" si="267"/>
        <v>0</v>
      </c>
      <c r="AG478" s="250">
        <f t="shared" si="267"/>
        <v>0</v>
      </c>
      <c r="AH478" s="250">
        <f t="shared" si="267"/>
        <v>0</v>
      </c>
      <c r="AI478" s="250">
        <f t="shared" si="267"/>
        <v>0</v>
      </c>
      <c r="AJ478" s="250">
        <f t="shared" si="267"/>
        <v>0</v>
      </c>
      <c r="AK478" s="250">
        <f t="shared" si="267"/>
        <v>0</v>
      </c>
      <c r="AL478" s="250">
        <f t="shared" si="267"/>
        <v>0</v>
      </c>
      <c r="AM478" s="250">
        <f t="shared" si="267"/>
        <v>0</v>
      </c>
      <c r="AN478" s="250">
        <f t="shared" si="267"/>
        <v>0</v>
      </c>
      <c r="AO478" s="250">
        <f t="shared" si="267"/>
        <v>0</v>
      </c>
      <c r="AP478" s="250">
        <f t="shared" si="267"/>
        <v>0</v>
      </c>
    </row>
    <row r="479" spans="1:42" s="21" customFormat="1" x14ac:dyDescent="0.2">
      <c r="A479" s="38" t="s">
        <v>89</v>
      </c>
      <c r="C479" s="250">
        <f>ROUND(C478*1000,0)</f>
        <v>0</v>
      </c>
      <c r="D479" s="250">
        <f>ROUND(D478*1000,0)</f>
        <v>0</v>
      </c>
      <c r="E479" s="250">
        <f t="shared" ref="E479:AP479" si="268">ROUND(E478*1000,0)</f>
        <v>0</v>
      </c>
      <c r="F479" s="250">
        <f t="shared" si="268"/>
        <v>0</v>
      </c>
      <c r="G479" s="250">
        <f t="shared" si="268"/>
        <v>0</v>
      </c>
      <c r="H479" s="250">
        <f t="shared" si="268"/>
        <v>0</v>
      </c>
      <c r="I479" s="250">
        <f t="shared" si="268"/>
        <v>0</v>
      </c>
      <c r="J479" s="250">
        <f t="shared" si="268"/>
        <v>0</v>
      </c>
      <c r="K479" s="250">
        <f t="shared" si="268"/>
        <v>0</v>
      </c>
      <c r="L479" s="250">
        <f t="shared" si="268"/>
        <v>0</v>
      </c>
      <c r="M479" s="250">
        <f t="shared" si="268"/>
        <v>0</v>
      </c>
      <c r="N479" s="250">
        <f t="shared" si="268"/>
        <v>0</v>
      </c>
      <c r="O479" s="250">
        <f t="shared" si="268"/>
        <v>0</v>
      </c>
      <c r="P479" s="250">
        <f t="shared" si="268"/>
        <v>0</v>
      </c>
      <c r="Q479" s="250">
        <f t="shared" si="268"/>
        <v>0</v>
      </c>
      <c r="R479" s="250">
        <f t="shared" si="268"/>
        <v>0</v>
      </c>
      <c r="S479" s="250">
        <f t="shared" si="268"/>
        <v>0</v>
      </c>
      <c r="T479" s="250">
        <f t="shared" si="268"/>
        <v>0</v>
      </c>
      <c r="U479" s="250">
        <f t="shared" si="268"/>
        <v>0</v>
      </c>
      <c r="V479" s="250">
        <f t="shared" si="268"/>
        <v>0</v>
      </c>
      <c r="W479" s="250">
        <f t="shared" si="268"/>
        <v>0</v>
      </c>
      <c r="X479" s="250">
        <f t="shared" si="268"/>
        <v>0</v>
      </c>
      <c r="Y479" s="250">
        <f t="shared" si="268"/>
        <v>0</v>
      </c>
      <c r="Z479" s="250">
        <f t="shared" si="268"/>
        <v>0</v>
      </c>
      <c r="AA479" s="250">
        <f t="shared" si="268"/>
        <v>0</v>
      </c>
      <c r="AB479" s="250">
        <f t="shared" si="268"/>
        <v>0</v>
      </c>
      <c r="AC479" s="250">
        <f t="shared" si="268"/>
        <v>0</v>
      </c>
      <c r="AD479" s="250">
        <f t="shared" si="268"/>
        <v>0</v>
      </c>
      <c r="AE479" s="250">
        <f t="shared" si="268"/>
        <v>0</v>
      </c>
      <c r="AF479" s="250">
        <f t="shared" si="268"/>
        <v>0</v>
      </c>
      <c r="AG479" s="250">
        <f t="shared" si="268"/>
        <v>0</v>
      </c>
      <c r="AH479" s="250">
        <f t="shared" si="268"/>
        <v>0</v>
      </c>
      <c r="AI479" s="250">
        <f t="shared" si="268"/>
        <v>0</v>
      </c>
      <c r="AJ479" s="250">
        <f t="shared" si="268"/>
        <v>0</v>
      </c>
      <c r="AK479" s="250">
        <f t="shared" si="268"/>
        <v>0</v>
      </c>
      <c r="AL479" s="250">
        <f t="shared" si="268"/>
        <v>0</v>
      </c>
      <c r="AM479" s="250">
        <f t="shared" si="268"/>
        <v>0</v>
      </c>
      <c r="AN479" s="250">
        <f t="shared" si="268"/>
        <v>0</v>
      </c>
      <c r="AO479" s="250">
        <f t="shared" si="268"/>
        <v>0</v>
      </c>
      <c r="AP479" s="250">
        <f t="shared" si="268"/>
        <v>0</v>
      </c>
    </row>
    <row r="480" spans="1:42" s="21" customFormat="1" x14ac:dyDescent="0.2">
      <c r="A480" s="38" t="s">
        <v>90</v>
      </c>
      <c r="C480" s="219">
        <f>C$5/1000</f>
        <v>0</v>
      </c>
      <c r="D480" s="219">
        <f>D$5/1000</f>
        <v>0</v>
      </c>
      <c r="E480" s="219">
        <f t="shared" ref="E480:AP480" si="269">E$5/1000</f>
        <v>0</v>
      </c>
      <c r="F480" s="219">
        <f t="shared" si="269"/>
        <v>0</v>
      </c>
      <c r="G480" s="219">
        <f t="shared" si="269"/>
        <v>0</v>
      </c>
      <c r="H480" s="219">
        <f t="shared" si="269"/>
        <v>0</v>
      </c>
      <c r="I480" s="219">
        <f t="shared" si="269"/>
        <v>0</v>
      </c>
      <c r="J480" s="219">
        <f t="shared" si="269"/>
        <v>0</v>
      </c>
      <c r="K480" s="219">
        <f t="shared" si="269"/>
        <v>0</v>
      </c>
      <c r="L480" s="219">
        <f t="shared" si="269"/>
        <v>0</v>
      </c>
      <c r="M480" s="219">
        <f t="shared" si="269"/>
        <v>0</v>
      </c>
      <c r="N480" s="219">
        <f t="shared" si="269"/>
        <v>0</v>
      </c>
      <c r="O480" s="219">
        <f t="shared" si="269"/>
        <v>0</v>
      </c>
      <c r="P480" s="219">
        <f t="shared" si="269"/>
        <v>0</v>
      </c>
      <c r="Q480" s="219">
        <f t="shared" si="269"/>
        <v>0</v>
      </c>
      <c r="R480" s="219">
        <f t="shared" si="269"/>
        <v>0</v>
      </c>
      <c r="S480" s="219">
        <f t="shared" si="269"/>
        <v>0</v>
      </c>
      <c r="T480" s="219">
        <f t="shared" si="269"/>
        <v>0</v>
      </c>
      <c r="U480" s="219">
        <f t="shared" si="269"/>
        <v>0</v>
      </c>
      <c r="V480" s="219">
        <f t="shared" si="269"/>
        <v>0</v>
      </c>
      <c r="W480" s="219">
        <f t="shared" si="269"/>
        <v>0</v>
      </c>
      <c r="X480" s="219">
        <f t="shared" si="269"/>
        <v>0</v>
      </c>
      <c r="Y480" s="219">
        <f t="shared" si="269"/>
        <v>0</v>
      </c>
      <c r="Z480" s="219">
        <f t="shared" si="269"/>
        <v>0</v>
      </c>
      <c r="AA480" s="219">
        <f t="shared" si="269"/>
        <v>0</v>
      </c>
      <c r="AB480" s="219">
        <f t="shared" si="269"/>
        <v>0</v>
      </c>
      <c r="AC480" s="219">
        <f t="shared" si="269"/>
        <v>0</v>
      </c>
      <c r="AD480" s="219">
        <f t="shared" si="269"/>
        <v>0</v>
      </c>
      <c r="AE480" s="219">
        <f t="shared" si="269"/>
        <v>0</v>
      </c>
      <c r="AF480" s="219">
        <f t="shared" si="269"/>
        <v>0</v>
      </c>
      <c r="AG480" s="219">
        <f t="shared" si="269"/>
        <v>0</v>
      </c>
      <c r="AH480" s="219">
        <f t="shared" si="269"/>
        <v>0</v>
      </c>
      <c r="AI480" s="219">
        <f t="shared" si="269"/>
        <v>0</v>
      </c>
      <c r="AJ480" s="219">
        <f t="shared" si="269"/>
        <v>0</v>
      </c>
      <c r="AK480" s="219">
        <f t="shared" si="269"/>
        <v>0</v>
      </c>
      <c r="AL480" s="219">
        <f t="shared" si="269"/>
        <v>0</v>
      </c>
      <c r="AM480" s="219">
        <f t="shared" si="269"/>
        <v>0</v>
      </c>
      <c r="AN480" s="219">
        <f t="shared" si="269"/>
        <v>0</v>
      </c>
      <c r="AO480" s="219">
        <f t="shared" si="269"/>
        <v>0</v>
      </c>
      <c r="AP480" s="219">
        <f t="shared" si="269"/>
        <v>0</v>
      </c>
    </row>
    <row r="481" spans="1:42" s="21" customFormat="1" x14ac:dyDescent="0.2">
      <c r="A481" s="38" t="s">
        <v>18</v>
      </c>
      <c r="C481" s="218">
        <f>C479*C480</f>
        <v>0</v>
      </c>
      <c r="D481" s="218">
        <f>D479*D480</f>
        <v>0</v>
      </c>
      <c r="E481" s="218">
        <f t="shared" ref="E481:AP481" si="270">E479*E480</f>
        <v>0</v>
      </c>
      <c r="F481" s="218">
        <f t="shared" si="270"/>
        <v>0</v>
      </c>
      <c r="G481" s="218">
        <f t="shared" si="270"/>
        <v>0</v>
      </c>
      <c r="H481" s="218">
        <f t="shared" si="270"/>
        <v>0</v>
      </c>
      <c r="I481" s="218">
        <f t="shared" si="270"/>
        <v>0</v>
      </c>
      <c r="J481" s="218">
        <f t="shared" si="270"/>
        <v>0</v>
      </c>
      <c r="K481" s="218">
        <f t="shared" si="270"/>
        <v>0</v>
      </c>
      <c r="L481" s="218">
        <f t="shared" si="270"/>
        <v>0</v>
      </c>
      <c r="M481" s="218">
        <f t="shared" si="270"/>
        <v>0</v>
      </c>
      <c r="N481" s="218">
        <f t="shared" si="270"/>
        <v>0</v>
      </c>
      <c r="O481" s="218">
        <f t="shared" si="270"/>
        <v>0</v>
      </c>
      <c r="P481" s="218">
        <f t="shared" si="270"/>
        <v>0</v>
      </c>
      <c r="Q481" s="218">
        <f t="shared" si="270"/>
        <v>0</v>
      </c>
      <c r="R481" s="218">
        <f t="shared" si="270"/>
        <v>0</v>
      </c>
      <c r="S481" s="218">
        <f t="shared" si="270"/>
        <v>0</v>
      </c>
      <c r="T481" s="218">
        <f t="shared" si="270"/>
        <v>0</v>
      </c>
      <c r="U481" s="218">
        <f t="shared" si="270"/>
        <v>0</v>
      </c>
      <c r="V481" s="218">
        <f t="shared" si="270"/>
        <v>0</v>
      </c>
      <c r="W481" s="218">
        <f t="shared" si="270"/>
        <v>0</v>
      </c>
      <c r="X481" s="218">
        <f t="shared" si="270"/>
        <v>0</v>
      </c>
      <c r="Y481" s="218">
        <f t="shared" si="270"/>
        <v>0</v>
      </c>
      <c r="Z481" s="218">
        <f t="shared" si="270"/>
        <v>0</v>
      </c>
      <c r="AA481" s="218">
        <f t="shared" si="270"/>
        <v>0</v>
      </c>
      <c r="AB481" s="218">
        <f t="shared" si="270"/>
        <v>0</v>
      </c>
      <c r="AC481" s="218">
        <f t="shared" si="270"/>
        <v>0</v>
      </c>
      <c r="AD481" s="218">
        <f t="shared" si="270"/>
        <v>0</v>
      </c>
      <c r="AE481" s="218">
        <f t="shared" si="270"/>
        <v>0</v>
      </c>
      <c r="AF481" s="218">
        <f t="shared" si="270"/>
        <v>0</v>
      </c>
      <c r="AG481" s="218">
        <f t="shared" si="270"/>
        <v>0</v>
      </c>
      <c r="AH481" s="218">
        <f t="shared" si="270"/>
        <v>0</v>
      </c>
      <c r="AI481" s="218">
        <f t="shared" si="270"/>
        <v>0</v>
      </c>
      <c r="AJ481" s="218">
        <f t="shared" si="270"/>
        <v>0</v>
      </c>
      <c r="AK481" s="218">
        <f t="shared" si="270"/>
        <v>0</v>
      </c>
      <c r="AL481" s="218">
        <f t="shared" si="270"/>
        <v>0</v>
      </c>
      <c r="AM481" s="218">
        <f t="shared" si="270"/>
        <v>0</v>
      </c>
      <c r="AN481" s="218">
        <f t="shared" si="270"/>
        <v>0</v>
      </c>
      <c r="AO481" s="218">
        <f t="shared" si="270"/>
        <v>0</v>
      </c>
      <c r="AP481" s="218">
        <f t="shared" si="270"/>
        <v>0</v>
      </c>
    </row>
    <row r="482" spans="1:42" s="21" customFormat="1" x14ac:dyDescent="0.2">
      <c r="A482" s="36"/>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6"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8" t="s">
        <v>88</v>
      </c>
      <c r="C484" s="250">
        <f t="shared" ref="C484:AP484" si="271">IF(C$2&lt;=ptc_fed_term,ptc_fed_amount*(1+inflation_rate)^B$2,0)</f>
        <v>0</v>
      </c>
      <c r="D484" s="250">
        <f t="shared" si="271"/>
        <v>0</v>
      </c>
      <c r="E484" s="250">
        <f t="shared" si="271"/>
        <v>0</v>
      </c>
      <c r="F484" s="250">
        <f t="shared" si="271"/>
        <v>0</v>
      </c>
      <c r="G484" s="250">
        <f t="shared" si="271"/>
        <v>0</v>
      </c>
      <c r="H484" s="250">
        <f t="shared" si="271"/>
        <v>0</v>
      </c>
      <c r="I484" s="250">
        <f t="shared" si="271"/>
        <v>0</v>
      </c>
      <c r="J484" s="250">
        <f t="shared" si="271"/>
        <v>0</v>
      </c>
      <c r="K484" s="250">
        <f t="shared" si="271"/>
        <v>0</v>
      </c>
      <c r="L484" s="250">
        <f t="shared" si="271"/>
        <v>0</v>
      </c>
      <c r="M484" s="250">
        <f t="shared" si="271"/>
        <v>0</v>
      </c>
      <c r="N484" s="250">
        <f t="shared" si="271"/>
        <v>0</v>
      </c>
      <c r="O484" s="250">
        <f t="shared" si="271"/>
        <v>0</v>
      </c>
      <c r="P484" s="250">
        <f t="shared" si="271"/>
        <v>0</v>
      </c>
      <c r="Q484" s="250">
        <f t="shared" si="271"/>
        <v>0</v>
      </c>
      <c r="R484" s="250">
        <f t="shared" si="271"/>
        <v>0</v>
      </c>
      <c r="S484" s="250">
        <f t="shared" si="271"/>
        <v>0</v>
      </c>
      <c r="T484" s="250">
        <f t="shared" si="271"/>
        <v>0</v>
      </c>
      <c r="U484" s="250">
        <f t="shared" si="271"/>
        <v>0</v>
      </c>
      <c r="V484" s="250">
        <f t="shared" si="271"/>
        <v>0</v>
      </c>
      <c r="W484" s="250">
        <f t="shared" si="271"/>
        <v>0</v>
      </c>
      <c r="X484" s="250">
        <f t="shared" si="271"/>
        <v>0</v>
      </c>
      <c r="Y484" s="250">
        <f t="shared" si="271"/>
        <v>0</v>
      </c>
      <c r="Z484" s="250">
        <f t="shared" si="271"/>
        <v>0</v>
      </c>
      <c r="AA484" s="250">
        <f t="shared" si="271"/>
        <v>0</v>
      </c>
      <c r="AB484" s="250">
        <f t="shared" si="271"/>
        <v>0</v>
      </c>
      <c r="AC484" s="250">
        <f t="shared" si="271"/>
        <v>0</v>
      </c>
      <c r="AD484" s="250">
        <f t="shared" si="271"/>
        <v>0</v>
      </c>
      <c r="AE484" s="250">
        <f t="shared" si="271"/>
        <v>0</v>
      </c>
      <c r="AF484" s="250">
        <f t="shared" si="271"/>
        <v>0</v>
      </c>
      <c r="AG484" s="250">
        <f t="shared" si="271"/>
        <v>0</v>
      </c>
      <c r="AH484" s="250">
        <f t="shared" si="271"/>
        <v>0</v>
      </c>
      <c r="AI484" s="250">
        <f t="shared" si="271"/>
        <v>0</v>
      </c>
      <c r="AJ484" s="250">
        <f t="shared" si="271"/>
        <v>0</v>
      </c>
      <c r="AK484" s="250">
        <f t="shared" si="271"/>
        <v>0</v>
      </c>
      <c r="AL484" s="250">
        <f t="shared" si="271"/>
        <v>0</v>
      </c>
      <c r="AM484" s="250">
        <f t="shared" si="271"/>
        <v>0</v>
      </c>
      <c r="AN484" s="250">
        <f t="shared" si="271"/>
        <v>0</v>
      </c>
      <c r="AO484" s="250">
        <f t="shared" si="271"/>
        <v>0</v>
      </c>
      <c r="AP484" s="250">
        <f t="shared" si="271"/>
        <v>0</v>
      </c>
    </row>
    <row r="485" spans="1:42" s="21" customFormat="1" x14ac:dyDescent="0.2">
      <c r="A485" s="38" t="s">
        <v>89</v>
      </c>
      <c r="C485" s="250">
        <f>ROUND(C484*1000,0)</f>
        <v>0</v>
      </c>
      <c r="D485" s="250">
        <f>ROUND(D484*1000,0)</f>
        <v>0</v>
      </c>
      <c r="E485" s="250">
        <f t="shared" ref="E485:AP485" si="272">ROUND(E484*1000,0)</f>
        <v>0</v>
      </c>
      <c r="F485" s="250">
        <f t="shared" si="272"/>
        <v>0</v>
      </c>
      <c r="G485" s="250">
        <f t="shared" si="272"/>
        <v>0</v>
      </c>
      <c r="H485" s="250">
        <f t="shared" si="272"/>
        <v>0</v>
      </c>
      <c r="I485" s="250">
        <f t="shared" si="272"/>
        <v>0</v>
      </c>
      <c r="J485" s="250">
        <f t="shared" si="272"/>
        <v>0</v>
      </c>
      <c r="K485" s="250">
        <f t="shared" si="272"/>
        <v>0</v>
      </c>
      <c r="L485" s="250">
        <f t="shared" si="272"/>
        <v>0</v>
      </c>
      <c r="M485" s="250">
        <f t="shared" si="272"/>
        <v>0</v>
      </c>
      <c r="N485" s="250">
        <f t="shared" si="272"/>
        <v>0</v>
      </c>
      <c r="O485" s="250">
        <f t="shared" si="272"/>
        <v>0</v>
      </c>
      <c r="P485" s="250">
        <f t="shared" si="272"/>
        <v>0</v>
      </c>
      <c r="Q485" s="250">
        <f t="shared" si="272"/>
        <v>0</v>
      </c>
      <c r="R485" s="250">
        <f t="shared" si="272"/>
        <v>0</v>
      </c>
      <c r="S485" s="250">
        <f t="shared" si="272"/>
        <v>0</v>
      </c>
      <c r="T485" s="250">
        <f t="shared" si="272"/>
        <v>0</v>
      </c>
      <c r="U485" s="250">
        <f t="shared" si="272"/>
        <v>0</v>
      </c>
      <c r="V485" s="250">
        <f t="shared" si="272"/>
        <v>0</v>
      </c>
      <c r="W485" s="250">
        <f t="shared" si="272"/>
        <v>0</v>
      </c>
      <c r="X485" s="250">
        <f t="shared" si="272"/>
        <v>0</v>
      </c>
      <c r="Y485" s="250">
        <f t="shared" si="272"/>
        <v>0</v>
      </c>
      <c r="Z485" s="250">
        <f t="shared" si="272"/>
        <v>0</v>
      </c>
      <c r="AA485" s="250">
        <f t="shared" si="272"/>
        <v>0</v>
      </c>
      <c r="AB485" s="250">
        <f t="shared" si="272"/>
        <v>0</v>
      </c>
      <c r="AC485" s="250">
        <f t="shared" si="272"/>
        <v>0</v>
      </c>
      <c r="AD485" s="250">
        <f t="shared" si="272"/>
        <v>0</v>
      </c>
      <c r="AE485" s="250">
        <f t="shared" si="272"/>
        <v>0</v>
      </c>
      <c r="AF485" s="250">
        <f t="shared" si="272"/>
        <v>0</v>
      </c>
      <c r="AG485" s="250">
        <f t="shared" si="272"/>
        <v>0</v>
      </c>
      <c r="AH485" s="250">
        <f t="shared" si="272"/>
        <v>0</v>
      </c>
      <c r="AI485" s="250">
        <f t="shared" si="272"/>
        <v>0</v>
      </c>
      <c r="AJ485" s="250">
        <f t="shared" si="272"/>
        <v>0</v>
      </c>
      <c r="AK485" s="250">
        <f t="shared" si="272"/>
        <v>0</v>
      </c>
      <c r="AL485" s="250">
        <f t="shared" si="272"/>
        <v>0</v>
      </c>
      <c r="AM485" s="250">
        <f t="shared" si="272"/>
        <v>0</v>
      </c>
      <c r="AN485" s="250">
        <f t="shared" si="272"/>
        <v>0</v>
      </c>
      <c r="AO485" s="250">
        <f t="shared" si="272"/>
        <v>0</v>
      </c>
      <c r="AP485" s="250">
        <f t="shared" si="272"/>
        <v>0</v>
      </c>
    </row>
    <row r="486" spans="1:42" s="21" customFormat="1" x14ac:dyDescent="0.2">
      <c r="A486" s="38" t="s">
        <v>90</v>
      </c>
      <c r="C486" s="219">
        <f>C$5/1000</f>
        <v>0</v>
      </c>
      <c r="D486" s="219">
        <f>D$5/1000</f>
        <v>0</v>
      </c>
      <c r="E486" s="219">
        <f t="shared" ref="E486:AP486" si="273">E$5/1000</f>
        <v>0</v>
      </c>
      <c r="F486" s="219">
        <f t="shared" si="273"/>
        <v>0</v>
      </c>
      <c r="G486" s="219">
        <f t="shared" si="273"/>
        <v>0</v>
      </c>
      <c r="H486" s="219">
        <f t="shared" si="273"/>
        <v>0</v>
      </c>
      <c r="I486" s="219">
        <f t="shared" si="273"/>
        <v>0</v>
      </c>
      <c r="J486" s="219">
        <f t="shared" si="273"/>
        <v>0</v>
      </c>
      <c r="K486" s="219">
        <f t="shared" si="273"/>
        <v>0</v>
      </c>
      <c r="L486" s="219">
        <f t="shared" si="273"/>
        <v>0</v>
      </c>
      <c r="M486" s="219">
        <f t="shared" si="273"/>
        <v>0</v>
      </c>
      <c r="N486" s="219">
        <f t="shared" si="273"/>
        <v>0</v>
      </c>
      <c r="O486" s="219">
        <f t="shared" si="273"/>
        <v>0</v>
      </c>
      <c r="P486" s="219">
        <f t="shared" si="273"/>
        <v>0</v>
      </c>
      <c r="Q486" s="219">
        <f t="shared" si="273"/>
        <v>0</v>
      </c>
      <c r="R486" s="219">
        <f t="shared" si="273"/>
        <v>0</v>
      </c>
      <c r="S486" s="219">
        <f t="shared" si="273"/>
        <v>0</v>
      </c>
      <c r="T486" s="219">
        <f t="shared" si="273"/>
        <v>0</v>
      </c>
      <c r="U486" s="219">
        <f t="shared" si="273"/>
        <v>0</v>
      </c>
      <c r="V486" s="219">
        <f t="shared" si="273"/>
        <v>0</v>
      </c>
      <c r="W486" s="219">
        <f t="shared" si="273"/>
        <v>0</v>
      </c>
      <c r="X486" s="219">
        <f t="shared" si="273"/>
        <v>0</v>
      </c>
      <c r="Y486" s="219">
        <f t="shared" si="273"/>
        <v>0</v>
      </c>
      <c r="Z486" s="219">
        <f t="shared" si="273"/>
        <v>0</v>
      </c>
      <c r="AA486" s="219">
        <f t="shared" si="273"/>
        <v>0</v>
      </c>
      <c r="AB486" s="219">
        <f t="shared" si="273"/>
        <v>0</v>
      </c>
      <c r="AC486" s="219">
        <f t="shared" si="273"/>
        <v>0</v>
      </c>
      <c r="AD486" s="219">
        <f t="shared" si="273"/>
        <v>0</v>
      </c>
      <c r="AE486" s="219">
        <f t="shared" si="273"/>
        <v>0</v>
      </c>
      <c r="AF486" s="219">
        <f t="shared" si="273"/>
        <v>0</v>
      </c>
      <c r="AG486" s="219">
        <f t="shared" si="273"/>
        <v>0</v>
      </c>
      <c r="AH486" s="219">
        <f t="shared" si="273"/>
        <v>0</v>
      </c>
      <c r="AI486" s="219">
        <f t="shared" si="273"/>
        <v>0</v>
      </c>
      <c r="AJ486" s="219">
        <f t="shared" si="273"/>
        <v>0</v>
      </c>
      <c r="AK486" s="219">
        <f t="shared" si="273"/>
        <v>0</v>
      </c>
      <c r="AL486" s="219">
        <f t="shared" si="273"/>
        <v>0</v>
      </c>
      <c r="AM486" s="219">
        <f t="shared" si="273"/>
        <v>0</v>
      </c>
      <c r="AN486" s="219">
        <f t="shared" si="273"/>
        <v>0</v>
      </c>
      <c r="AO486" s="219">
        <f t="shared" si="273"/>
        <v>0</v>
      </c>
      <c r="AP486" s="219">
        <f t="shared" si="273"/>
        <v>0</v>
      </c>
    </row>
    <row r="487" spans="1:42" s="21" customFormat="1" x14ac:dyDescent="0.2">
      <c r="A487" s="38" t="s">
        <v>18</v>
      </c>
      <c r="C487" s="218">
        <f>C485*C486</f>
        <v>0</v>
      </c>
      <c r="D487" s="218">
        <f>D485*D486</f>
        <v>0</v>
      </c>
      <c r="E487" s="218">
        <f t="shared" ref="E487:AP487" si="274">E485*E486</f>
        <v>0</v>
      </c>
      <c r="F487" s="218">
        <f t="shared" si="274"/>
        <v>0</v>
      </c>
      <c r="G487" s="218">
        <f t="shared" si="274"/>
        <v>0</v>
      </c>
      <c r="H487" s="218">
        <f t="shared" si="274"/>
        <v>0</v>
      </c>
      <c r="I487" s="218">
        <f t="shared" si="274"/>
        <v>0</v>
      </c>
      <c r="J487" s="218">
        <f t="shared" si="274"/>
        <v>0</v>
      </c>
      <c r="K487" s="218">
        <f t="shared" si="274"/>
        <v>0</v>
      </c>
      <c r="L487" s="218">
        <f t="shared" si="274"/>
        <v>0</v>
      </c>
      <c r="M487" s="218">
        <f t="shared" si="274"/>
        <v>0</v>
      </c>
      <c r="N487" s="218">
        <f t="shared" si="274"/>
        <v>0</v>
      </c>
      <c r="O487" s="218">
        <f t="shared" si="274"/>
        <v>0</v>
      </c>
      <c r="P487" s="218">
        <f t="shared" si="274"/>
        <v>0</v>
      </c>
      <c r="Q487" s="218">
        <f t="shared" si="274"/>
        <v>0</v>
      </c>
      <c r="R487" s="218">
        <f t="shared" si="274"/>
        <v>0</v>
      </c>
      <c r="S487" s="218">
        <f t="shared" si="274"/>
        <v>0</v>
      </c>
      <c r="T487" s="218">
        <f t="shared" si="274"/>
        <v>0</v>
      </c>
      <c r="U487" s="218">
        <f t="shared" si="274"/>
        <v>0</v>
      </c>
      <c r="V487" s="218">
        <f t="shared" si="274"/>
        <v>0</v>
      </c>
      <c r="W487" s="218">
        <f t="shared" si="274"/>
        <v>0</v>
      </c>
      <c r="X487" s="218">
        <f t="shared" si="274"/>
        <v>0</v>
      </c>
      <c r="Y487" s="218">
        <f t="shared" si="274"/>
        <v>0</v>
      </c>
      <c r="Z487" s="218">
        <f t="shared" si="274"/>
        <v>0</v>
      </c>
      <c r="AA487" s="218">
        <f t="shared" si="274"/>
        <v>0</v>
      </c>
      <c r="AB487" s="218">
        <f t="shared" si="274"/>
        <v>0</v>
      </c>
      <c r="AC487" s="218">
        <f t="shared" si="274"/>
        <v>0</v>
      </c>
      <c r="AD487" s="218">
        <f t="shared" si="274"/>
        <v>0</v>
      </c>
      <c r="AE487" s="218">
        <f t="shared" si="274"/>
        <v>0</v>
      </c>
      <c r="AF487" s="218">
        <f t="shared" si="274"/>
        <v>0</v>
      </c>
      <c r="AG487" s="218">
        <f t="shared" si="274"/>
        <v>0</v>
      </c>
      <c r="AH487" s="218">
        <f t="shared" si="274"/>
        <v>0</v>
      </c>
      <c r="AI487" s="218">
        <f t="shared" si="274"/>
        <v>0</v>
      </c>
      <c r="AJ487" s="218">
        <f t="shared" si="274"/>
        <v>0</v>
      </c>
      <c r="AK487" s="218">
        <f t="shared" si="274"/>
        <v>0</v>
      </c>
      <c r="AL487" s="218">
        <f t="shared" si="274"/>
        <v>0</v>
      </c>
      <c r="AM487" s="218">
        <f t="shared" si="274"/>
        <v>0</v>
      </c>
      <c r="AN487" s="218">
        <f t="shared" si="274"/>
        <v>0</v>
      </c>
      <c r="AO487" s="218">
        <f t="shared" si="274"/>
        <v>0</v>
      </c>
      <c r="AP487" s="218">
        <f t="shared" si="274"/>
        <v>0</v>
      </c>
    </row>
    <row r="488" spans="1:42" s="21" customFormat="1" x14ac:dyDescent="0.2">
      <c r="A488" s="38"/>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5" t="s">
        <v>21</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6" t="str">
        <f>Inputs!B99</f>
        <v>As fixed amount</v>
      </c>
      <c r="B490" s="21"/>
      <c r="C490" s="2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x14ac:dyDescent="0.2">
      <c r="A491" s="38" t="str">
        <f>Inputs!B100</f>
        <v>Federal ($)</v>
      </c>
      <c r="B491" s="21"/>
      <c r="C491" s="244">
        <f>ibi_fed_amount</f>
        <v>0</v>
      </c>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x14ac:dyDescent="0.2">
      <c r="A492" s="38" t="str">
        <f>Inputs!B101</f>
        <v>State ($)</v>
      </c>
      <c r="B492" s="21"/>
      <c r="C492" s="244">
        <f>ibi_sta_amount</f>
        <v>0</v>
      </c>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x14ac:dyDescent="0.2">
      <c r="A493" s="38" t="str">
        <f>Inputs!B102</f>
        <v>Utility ($)</v>
      </c>
      <c r="B493" s="21"/>
      <c r="C493" s="244">
        <f>ibi_uti_amount</f>
        <v>0</v>
      </c>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x14ac:dyDescent="0.2">
      <c r="A494" s="38" t="str">
        <f>Inputs!B103</f>
        <v>Other ($)</v>
      </c>
      <c r="C494" s="219">
        <f>ibi_oth_amount</f>
        <v>0</v>
      </c>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x14ac:dyDescent="0.2">
      <c r="A495" s="33" t="s">
        <v>18</v>
      </c>
      <c r="C495" s="245">
        <f>SUM(C491:C494)</f>
        <v>0</v>
      </c>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x14ac:dyDescent="0.2">
      <c r="A496" s="36" t="str">
        <f>Inputs!B104</f>
        <v>As percentage</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x14ac:dyDescent="0.2">
      <c r="A497" s="38" t="str">
        <f>Inputs!B105</f>
        <v>Federal (% of total installed cost)</v>
      </c>
      <c r="C497" s="268">
        <f>MIN(ibi_fed_percent/100*total_installed_cost,Inputs!D105)</f>
        <v>0</v>
      </c>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x14ac:dyDescent="0.2">
      <c r="A498" s="38" t="str">
        <f>Inputs!B106</f>
        <v>State (% of total installed cost)</v>
      </c>
      <c r="C498" s="268">
        <f>MIN(ibi_sta_percent/100*total_installed_cost,Inputs!D106)</f>
        <v>0</v>
      </c>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x14ac:dyDescent="0.2">
      <c r="A499" s="38" t="str">
        <f>Inputs!B107</f>
        <v>Utility (% of total installed cost)</v>
      </c>
      <c r="C499" s="268">
        <f>MIN(ibi_uti_percent/100*total_installed_cost,Inputs!D107)</f>
        <v>0</v>
      </c>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x14ac:dyDescent="0.2">
      <c r="A500" s="38" t="str">
        <f>Inputs!B108</f>
        <v>Other (% of total installed cost)</v>
      </c>
      <c r="C500" s="268">
        <f>MIN(ibi_oth_percent/100*total_installed_cost,Inputs!D108)</f>
        <v>0</v>
      </c>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x14ac:dyDescent="0.2">
      <c r="A501" s="38" t="s">
        <v>18</v>
      </c>
      <c r="C501" s="224">
        <f>SUM(C497:C500)</f>
        <v>0</v>
      </c>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x14ac:dyDescent="0.2">
      <c r="A502" s="38"/>
      <c r="C502" s="218"/>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x14ac:dyDescent="0.2">
      <c r="A503" s="35" t="s">
        <v>54</v>
      </c>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x14ac:dyDescent="0.2">
      <c r="A504" s="36" t="str">
        <f>Inputs!B110</f>
        <v>Federal ($/W)</v>
      </c>
      <c r="B504" s="21"/>
      <c r="C504" s="268">
        <f>MIN(cbi_fed_amount*system_capacity*1000,cbi_fed_maxvalue)</f>
        <v>0</v>
      </c>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x14ac:dyDescent="0.2">
      <c r="A505" s="36" t="str">
        <f>Inputs!B111</f>
        <v>State ($/W)</v>
      </c>
      <c r="B505" s="21"/>
      <c r="C505" s="268">
        <f>MIN(cbi_sta_amount*system_capacity*1000,cbi_sta_maxvalue)</f>
        <v>0</v>
      </c>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x14ac:dyDescent="0.2">
      <c r="A506" s="36" t="str">
        <f>Inputs!B112</f>
        <v>Utility ($/W)</v>
      </c>
      <c r="B506" s="21"/>
      <c r="C506" s="268">
        <f>MIN(cbi_uti_amount*system_capacity*1000,cbi_uti_maxvalue)</f>
        <v>0</v>
      </c>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x14ac:dyDescent="0.2">
      <c r="A507" s="36" t="str">
        <f>Inputs!B113</f>
        <v>Other ($/W)</v>
      </c>
      <c r="C507" s="268">
        <f>MIN(cbi_oth_amount*system_capacity*1000,cbi_oth_maxvalue)</f>
        <v>0</v>
      </c>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x14ac:dyDescent="0.2">
      <c r="A508" s="29" t="s">
        <v>18</v>
      </c>
      <c r="C508" s="224">
        <f>SUM(C504:C507)</f>
        <v>0</v>
      </c>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x14ac:dyDescent="0.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x14ac:dyDescent="0.2">
      <c r="A510" s="35" t="s">
        <v>51</v>
      </c>
    </row>
    <row r="511" spans="1:42" x14ac:dyDescent="0.2">
      <c r="A511" s="29" t="str">
        <f>Inputs!B115</f>
        <v>Federal ($/kWh)</v>
      </c>
    </row>
    <row r="512" spans="1:42" x14ac:dyDescent="0.2">
      <c r="A512" s="33" t="s">
        <v>52</v>
      </c>
      <c r="C512" s="205">
        <f t="shared" ref="C512:AP512" si="275">IF(AND(C$2&lt;=pbi_fed_term,C$2&lt;=analysis_period),pbi_fed_amount*(1+pbi_fed_escal/100)^B$2,0)</f>
        <v>0</v>
      </c>
      <c r="D512" s="205">
        <f t="shared" si="275"/>
        <v>0</v>
      </c>
      <c r="E512" s="205">
        <f t="shared" si="275"/>
        <v>0</v>
      </c>
      <c r="F512" s="205">
        <f t="shared" si="275"/>
        <v>0</v>
      </c>
      <c r="G512" s="205">
        <f t="shared" si="275"/>
        <v>0</v>
      </c>
      <c r="H512" s="205">
        <f t="shared" si="275"/>
        <v>0</v>
      </c>
      <c r="I512" s="205">
        <f t="shared" si="275"/>
        <v>0</v>
      </c>
      <c r="J512" s="205">
        <f t="shared" si="275"/>
        <v>0</v>
      </c>
      <c r="K512" s="205">
        <f t="shared" si="275"/>
        <v>0</v>
      </c>
      <c r="L512" s="205">
        <f t="shared" si="275"/>
        <v>0</v>
      </c>
      <c r="M512" s="205">
        <f t="shared" si="275"/>
        <v>0</v>
      </c>
      <c r="N512" s="205">
        <f t="shared" si="275"/>
        <v>0</v>
      </c>
      <c r="O512" s="205">
        <f t="shared" si="275"/>
        <v>0</v>
      </c>
      <c r="P512" s="205">
        <f t="shared" si="275"/>
        <v>0</v>
      </c>
      <c r="Q512" s="205">
        <f t="shared" si="275"/>
        <v>0</v>
      </c>
      <c r="R512" s="205">
        <f t="shared" si="275"/>
        <v>0</v>
      </c>
      <c r="S512" s="205">
        <f t="shared" si="275"/>
        <v>0</v>
      </c>
      <c r="T512" s="205">
        <f t="shared" si="275"/>
        <v>0</v>
      </c>
      <c r="U512" s="205">
        <f t="shared" si="275"/>
        <v>0</v>
      </c>
      <c r="V512" s="205">
        <f t="shared" si="275"/>
        <v>0</v>
      </c>
      <c r="W512" s="205">
        <f t="shared" si="275"/>
        <v>0</v>
      </c>
      <c r="X512" s="205">
        <f t="shared" si="275"/>
        <v>0</v>
      </c>
      <c r="Y512" s="205">
        <f t="shared" si="275"/>
        <v>0</v>
      </c>
      <c r="Z512" s="205">
        <f t="shared" si="275"/>
        <v>0</v>
      </c>
      <c r="AA512" s="205">
        <f t="shared" si="275"/>
        <v>0</v>
      </c>
      <c r="AB512" s="205">
        <f t="shared" si="275"/>
        <v>0</v>
      </c>
      <c r="AC512" s="205">
        <f t="shared" si="275"/>
        <v>0</v>
      </c>
      <c r="AD512" s="205">
        <f t="shared" si="275"/>
        <v>0</v>
      </c>
      <c r="AE512" s="205">
        <f t="shared" si="275"/>
        <v>0</v>
      </c>
      <c r="AF512" s="205">
        <f t="shared" si="275"/>
        <v>0</v>
      </c>
      <c r="AG512" s="205">
        <f t="shared" si="275"/>
        <v>0</v>
      </c>
      <c r="AH512" s="205">
        <f t="shared" si="275"/>
        <v>0</v>
      </c>
      <c r="AI512" s="205">
        <f t="shared" si="275"/>
        <v>0</v>
      </c>
      <c r="AJ512" s="205">
        <f t="shared" si="275"/>
        <v>0</v>
      </c>
      <c r="AK512" s="205">
        <f t="shared" si="275"/>
        <v>0</v>
      </c>
      <c r="AL512" s="205">
        <f t="shared" si="275"/>
        <v>0</v>
      </c>
      <c r="AM512" s="205">
        <f t="shared" si="275"/>
        <v>0</v>
      </c>
      <c r="AN512" s="205">
        <f t="shared" si="275"/>
        <v>0</v>
      </c>
      <c r="AO512" s="205">
        <f t="shared" si="275"/>
        <v>0</v>
      </c>
      <c r="AP512" s="205">
        <f t="shared" si="275"/>
        <v>0</v>
      </c>
    </row>
    <row r="513" spans="1:42" x14ac:dyDescent="0.2">
      <c r="A513" s="33" t="s">
        <v>53</v>
      </c>
      <c r="C513" s="219">
        <f>C$5</f>
        <v>0</v>
      </c>
      <c r="D513" s="219">
        <f t="shared" ref="D513:AP513" si="276">D$5</f>
        <v>0</v>
      </c>
      <c r="E513" s="219">
        <f t="shared" si="276"/>
        <v>0</v>
      </c>
      <c r="F513" s="219">
        <f t="shared" si="276"/>
        <v>0</v>
      </c>
      <c r="G513" s="219">
        <f t="shared" si="276"/>
        <v>0</v>
      </c>
      <c r="H513" s="219">
        <f t="shared" si="276"/>
        <v>0</v>
      </c>
      <c r="I513" s="219">
        <f t="shared" si="276"/>
        <v>0</v>
      </c>
      <c r="J513" s="219">
        <f t="shared" si="276"/>
        <v>0</v>
      </c>
      <c r="K513" s="219">
        <f t="shared" si="276"/>
        <v>0</v>
      </c>
      <c r="L513" s="219">
        <f t="shared" si="276"/>
        <v>0</v>
      </c>
      <c r="M513" s="219">
        <f t="shared" si="276"/>
        <v>0</v>
      </c>
      <c r="N513" s="219">
        <f t="shared" si="276"/>
        <v>0</v>
      </c>
      <c r="O513" s="219">
        <f t="shared" si="276"/>
        <v>0</v>
      </c>
      <c r="P513" s="219">
        <f t="shared" si="276"/>
        <v>0</v>
      </c>
      <c r="Q513" s="219">
        <f t="shared" si="276"/>
        <v>0</v>
      </c>
      <c r="R513" s="219">
        <f t="shared" si="276"/>
        <v>0</v>
      </c>
      <c r="S513" s="219">
        <f t="shared" si="276"/>
        <v>0</v>
      </c>
      <c r="T513" s="219">
        <f t="shared" si="276"/>
        <v>0</v>
      </c>
      <c r="U513" s="219">
        <f t="shared" si="276"/>
        <v>0</v>
      </c>
      <c r="V513" s="219">
        <f t="shared" si="276"/>
        <v>0</v>
      </c>
      <c r="W513" s="219">
        <f t="shared" si="276"/>
        <v>0</v>
      </c>
      <c r="X513" s="219">
        <f t="shared" si="276"/>
        <v>0</v>
      </c>
      <c r="Y513" s="219">
        <f t="shared" si="276"/>
        <v>0</v>
      </c>
      <c r="Z513" s="219">
        <f t="shared" si="276"/>
        <v>0</v>
      </c>
      <c r="AA513" s="219">
        <f t="shared" si="276"/>
        <v>0</v>
      </c>
      <c r="AB513" s="219">
        <f t="shared" si="276"/>
        <v>0</v>
      </c>
      <c r="AC513" s="219">
        <f t="shared" si="276"/>
        <v>0</v>
      </c>
      <c r="AD513" s="219">
        <f t="shared" si="276"/>
        <v>0</v>
      </c>
      <c r="AE513" s="219">
        <f t="shared" si="276"/>
        <v>0</v>
      </c>
      <c r="AF513" s="219">
        <f t="shared" si="276"/>
        <v>0</v>
      </c>
      <c r="AG513" s="219">
        <f t="shared" si="276"/>
        <v>0</v>
      </c>
      <c r="AH513" s="219">
        <f t="shared" si="276"/>
        <v>0</v>
      </c>
      <c r="AI513" s="219">
        <f t="shared" si="276"/>
        <v>0</v>
      </c>
      <c r="AJ513" s="219">
        <f t="shared" si="276"/>
        <v>0</v>
      </c>
      <c r="AK513" s="219">
        <f t="shared" si="276"/>
        <v>0</v>
      </c>
      <c r="AL513" s="219">
        <f t="shared" si="276"/>
        <v>0</v>
      </c>
      <c r="AM513" s="219">
        <f t="shared" si="276"/>
        <v>0</v>
      </c>
      <c r="AN513" s="219">
        <f t="shared" si="276"/>
        <v>0</v>
      </c>
      <c r="AO513" s="219">
        <f t="shared" si="276"/>
        <v>0</v>
      </c>
      <c r="AP513" s="219">
        <f t="shared" si="276"/>
        <v>0</v>
      </c>
    </row>
    <row r="514" spans="1:42" x14ac:dyDescent="0.2">
      <c r="A514" s="33" t="s">
        <v>18</v>
      </c>
      <c r="C514" s="244">
        <f>C512*C513</f>
        <v>0</v>
      </c>
      <c r="D514" s="244">
        <f t="shared" ref="D514:AP514" si="277">D512*D513</f>
        <v>0</v>
      </c>
      <c r="E514" s="244">
        <f t="shared" si="277"/>
        <v>0</v>
      </c>
      <c r="F514" s="244">
        <f t="shared" si="277"/>
        <v>0</v>
      </c>
      <c r="G514" s="244">
        <f t="shared" si="277"/>
        <v>0</v>
      </c>
      <c r="H514" s="244">
        <f t="shared" si="277"/>
        <v>0</v>
      </c>
      <c r="I514" s="244">
        <f t="shared" si="277"/>
        <v>0</v>
      </c>
      <c r="J514" s="244">
        <f t="shared" si="277"/>
        <v>0</v>
      </c>
      <c r="K514" s="244">
        <f t="shared" si="277"/>
        <v>0</v>
      </c>
      <c r="L514" s="244">
        <f t="shared" si="277"/>
        <v>0</v>
      </c>
      <c r="M514" s="244">
        <f t="shared" si="277"/>
        <v>0</v>
      </c>
      <c r="N514" s="244">
        <f t="shared" si="277"/>
        <v>0</v>
      </c>
      <c r="O514" s="244">
        <f t="shared" si="277"/>
        <v>0</v>
      </c>
      <c r="P514" s="244">
        <f t="shared" si="277"/>
        <v>0</v>
      </c>
      <c r="Q514" s="244">
        <f t="shared" si="277"/>
        <v>0</v>
      </c>
      <c r="R514" s="244">
        <f t="shared" si="277"/>
        <v>0</v>
      </c>
      <c r="S514" s="244">
        <f t="shared" si="277"/>
        <v>0</v>
      </c>
      <c r="T514" s="244">
        <f t="shared" si="277"/>
        <v>0</v>
      </c>
      <c r="U514" s="244">
        <f t="shared" si="277"/>
        <v>0</v>
      </c>
      <c r="V514" s="244">
        <f t="shared" si="277"/>
        <v>0</v>
      </c>
      <c r="W514" s="244">
        <f t="shared" si="277"/>
        <v>0</v>
      </c>
      <c r="X514" s="244">
        <f t="shared" si="277"/>
        <v>0</v>
      </c>
      <c r="Y514" s="244">
        <f t="shared" si="277"/>
        <v>0</v>
      </c>
      <c r="Z514" s="244">
        <f t="shared" si="277"/>
        <v>0</v>
      </c>
      <c r="AA514" s="244">
        <f t="shared" si="277"/>
        <v>0</v>
      </c>
      <c r="AB514" s="244">
        <f t="shared" si="277"/>
        <v>0</v>
      </c>
      <c r="AC514" s="244">
        <f t="shared" si="277"/>
        <v>0</v>
      </c>
      <c r="AD514" s="244">
        <f t="shared" si="277"/>
        <v>0</v>
      </c>
      <c r="AE514" s="244">
        <f t="shared" si="277"/>
        <v>0</v>
      </c>
      <c r="AF514" s="244">
        <f t="shared" si="277"/>
        <v>0</v>
      </c>
      <c r="AG514" s="244">
        <f t="shared" si="277"/>
        <v>0</v>
      </c>
      <c r="AH514" s="244">
        <f t="shared" si="277"/>
        <v>0</v>
      </c>
      <c r="AI514" s="244">
        <f t="shared" si="277"/>
        <v>0</v>
      </c>
      <c r="AJ514" s="244">
        <f t="shared" si="277"/>
        <v>0</v>
      </c>
      <c r="AK514" s="244">
        <f t="shared" si="277"/>
        <v>0</v>
      </c>
      <c r="AL514" s="244">
        <f t="shared" si="277"/>
        <v>0</v>
      </c>
      <c r="AM514" s="244">
        <f t="shared" si="277"/>
        <v>0</v>
      </c>
      <c r="AN514" s="244">
        <f t="shared" si="277"/>
        <v>0</v>
      </c>
      <c r="AO514" s="244">
        <f t="shared" si="277"/>
        <v>0</v>
      </c>
      <c r="AP514" s="244">
        <f t="shared" si="277"/>
        <v>0</v>
      </c>
    </row>
    <row r="515" spans="1:42" x14ac:dyDescent="0.2">
      <c r="A515" s="29" t="str">
        <f>Inputs!B116</f>
        <v>State ($/kWh)</v>
      </c>
    </row>
    <row r="516" spans="1:42" x14ac:dyDescent="0.2">
      <c r="A516" s="33" t="s">
        <v>52</v>
      </c>
      <c r="C516" s="186">
        <f t="shared" ref="C516:AP516" si="278">IF(AND(C$2&lt;=pbi_sta_term,C$2&lt;=analysis_period),pbi_sta_amount*(1+pbi_sta_escal/100)^B$2,0)</f>
        <v>0</v>
      </c>
      <c r="D516" s="186">
        <f t="shared" si="278"/>
        <v>0</v>
      </c>
      <c r="E516" s="186">
        <f t="shared" si="278"/>
        <v>0</v>
      </c>
      <c r="F516" s="186">
        <f t="shared" si="278"/>
        <v>0</v>
      </c>
      <c r="G516" s="186">
        <f t="shared" si="278"/>
        <v>0</v>
      </c>
      <c r="H516" s="186">
        <f t="shared" si="278"/>
        <v>0</v>
      </c>
      <c r="I516" s="186">
        <f t="shared" si="278"/>
        <v>0</v>
      </c>
      <c r="J516" s="186">
        <f t="shared" si="278"/>
        <v>0</v>
      </c>
      <c r="K516" s="186">
        <f t="shared" si="278"/>
        <v>0</v>
      </c>
      <c r="L516" s="186">
        <f t="shared" si="278"/>
        <v>0</v>
      </c>
      <c r="M516" s="186">
        <f t="shared" si="278"/>
        <v>0</v>
      </c>
      <c r="N516" s="186">
        <f t="shared" si="278"/>
        <v>0</v>
      </c>
      <c r="O516" s="186">
        <f t="shared" si="278"/>
        <v>0</v>
      </c>
      <c r="P516" s="186">
        <f t="shared" si="278"/>
        <v>0</v>
      </c>
      <c r="Q516" s="186">
        <f t="shared" si="278"/>
        <v>0</v>
      </c>
      <c r="R516" s="186">
        <f t="shared" si="278"/>
        <v>0</v>
      </c>
      <c r="S516" s="186">
        <f t="shared" si="278"/>
        <v>0</v>
      </c>
      <c r="T516" s="186">
        <f t="shared" si="278"/>
        <v>0</v>
      </c>
      <c r="U516" s="186">
        <f t="shared" si="278"/>
        <v>0</v>
      </c>
      <c r="V516" s="186">
        <f t="shared" si="278"/>
        <v>0</v>
      </c>
      <c r="W516" s="186">
        <f t="shared" si="278"/>
        <v>0</v>
      </c>
      <c r="X516" s="186">
        <f t="shared" si="278"/>
        <v>0</v>
      </c>
      <c r="Y516" s="186">
        <f t="shared" si="278"/>
        <v>0</v>
      </c>
      <c r="Z516" s="186">
        <f t="shared" si="278"/>
        <v>0</v>
      </c>
      <c r="AA516" s="186">
        <f t="shared" si="278"/>
        <v>0</v>
      </c>
      <c r="AB516" s="186">
        <f t="shared" si="278"/>
        <v>0</v>
      </c>
      <c r="AC516" s="186">
        <f t="shared" si="278"/>
        <v>0</v>
      </c>
      <c r="AD516" s="186">
        <f t="shared" si="278"/>
        <v>0</v>
      </c>
      <c r="AE516" s="186">
        <f t="shared" si="278"/>
        <v>0</v>
      </c>
      <c r="AF516" s="186">
        <f t="shared" si="278"/>
        <v>0</v>
      </c>
      <c r="AG516" s="186">
        <f t="shared" si="278"/>
        <v>0</v>
      </c>
      <c r="AH516" s="186">
        <f t="shared" si="278"/>
        <v>0</v>
      </c>
      <c r="AI516" s="186">
        <f t="shared" si="278"/>
        <v>0</v>
      </c>
      <c r="AJ516" s="186">
        <f t="shared" si="278"/>
        <v>0</v>
      </c>
      <c r="AK516" s="186">
        <f t="shared" si="278"/>
        <v>0</v>
      </c>
      <c r="AL516" s="186">
        <f t="shared" si="278"/>
        <v>0</v>
      </c>
      <c r="AM516" s="186">
        <f t="shared" si="278"/>
        <v>0</v>
      </c>
      <c r="AN516" s="186">
        <f t="shared" si="278"/>
        <v>0</v>
      </c>
      <c r="AO516" s="186">
        <f t="shared" si="278"/>
        <v>0</v>
      </c>
      <c r="AP516" s="186">
        <f t="shared" si="278"/>
        <v>0</v>
      </c>
    </row>
    <row r="517" spans="1:42" x14ac:dyDescent="0.2">
      <c r="A517" s="33" t="s">
        <v>53</v>
      </c>
      <c r="C517" s="219">
        <f>C$5</f>
        <v>0</v>
      </c>
      <c r="D517" s="219">
        <f t="shared" ref="D517:AP517" si="279">D$5</f>
        <v>0</v>
      </c>
      <c r="E517" s="219">
        <f t="shared" si="279"/>
        <v>0</v>
      </c>
      <c r="F517" s="219">
        <f t="shared" si="279"/>
        <v>0</v>
      </c>
      <c r="G517" s="219">
        <f t="shared" si="279"/>
        <v>0</v>
      </c>
      <c r="H517" s="219">
        <f t="shared" si="279"/>
        <v>0</v>
      </c>
      <c r="I517" s="219">
        <f t="shared" si="279"/>
        <v>0</v>
      </c>
      <c r="J517" s="219">
        <f t="shared" si="279"/>
        <v>0</v>
      </c>
      <c r="K517" s="219">
        <f t="shared" si="279"/>
        <v>0</v>
      </c>
      <c r="L517" s="219">
        <f t="shared" si="279"/>
        <v>0</v>
      </c>
      <c r="M517" s="219">
        <f t="shared" si="279"/>
        <v>0</v>
      </c>
      <c r="N517" s="219">
        <f t="shared" si="279"/>
        <v>0</v>
      </c>
      <c r="O517" s="219">
        <f t="shared" si="279"/>
        <v>0</v>
      </c>
      <c r="P517" s="219">
        <f t="shared" si="279"/>
        <v>0</v>
      </c>
      <c r="Q517" s="219">
        <f t="shared" si="279"/>
        <v>0</v>
      </c>
      <c r="R517" s="219">
        <f t="shared" si="279"/>
        <v>0</v>
      </c>
      <c r="S517" s="219">
        <f t="shared" si="279"/>
        <v>0</v>
      </c>
      <c r="T517" s="219">
        <f t="shared" si="279"/>
        <v>0</v>
      </c>
      <c r="U517" s="219">
        <f t="shared" si="279"/>
        <v>0</v>
      </c>
      <c r="V517" s="219">
        <f t="shared" si="279"/>
        <v>0</v>
      </c>
      <c r="W517" s="219">
        <f t="shared" si="279"/>
        <v>0</v>
      </c>
      <c r="X517" s="219">
        <f t="shared" si="279"/>
        <v>0</v>
      </c>
      <c r="Y517" s="219">
        <f t="shared" si="279"/>
        <v>0</v>
      </c>
      <c r="Z517" s="219">
        <f t="shared" si="279"/>
        <v>0</v>
      </c>
      <c r="AA517" s="219">
        <f t="shared" si="279"/>
        <v>0</v>
      </c>
      <c r="AB517" s="219">
        <f t="shared" si="279"/>
        <v>0</v>
      </c>
      <c r="AC517" s="219">
        <f t="shared" si="279"/>
        <v>0</v>
      </c>
      <c r="AD517" s="219">
        <f t="shared" si="279"/>
        <v>0</v>
      </c>
      <c r="AE517" s="219">
        <f t="shared" si="279"/>
        <v>0</v>
      </c>
      <c r="AF517" s="219">
        <f t="shared" si="279"/>
        <v>0</v>
      </c>
      <c r="AG517" s="219">
        <f t="shared" si="279"/>
        <v>0</v>
      </c>
      <c r="AH517" s="219">
        <f t="shared" si="279"/>
        <v>0</v>
      </c>
      <c r="AI517" s="219">
        <f t="shared" si="279"/>
        <v>0</v>
      </c>
      <c r="AJ517" s="219">
        <f t="shared" si="279"/>
        <v>0</v>
      </c>
      <c r="AK517" s="219">
        <f t="shared" si="279"/>
        <v>0</v>
      </c>
      <c r="AL517" s="219">
        <f t="shared" si="279"/>
        <v>0</v>
      </c>
      <c r="AM517" s="219">
        <f t="shared" si="279"/>
        <v>0</v>
      </c>
      <c r="AN517" s="219">
        <f t="shared" si="279"/>
        <v>0</v>
      </c>
      <c r="AO517" s="219">
        <f t="shared" si="279"/>
        <v>0</v>
      </c>
      <c r="AP517" s="219">
        <f t="shared" si="279"/>
        <v>0</v>
      </c>
    </row>
    <row r="518" spans="1:42" x14ac:dyDescent="0.2">
      <c r="A518" s="33" t="s">
        <v>18</v>
      </c>
      <c r="C518" s="244">
        <f>C516*C517</f>
        <v>0</v>
      </c>
      <c r="D518" s="244">
        <f t="shared" ref="D518:AP518" si="280">D516*D517</f>
        <v>0</v>
      </c>
      <c r="E518" s="244">
        <f t="shared" si="280"/>
        <v>0</v>
      </c>
      <c r="F518" s="244">
        <f t="shared" si="280"/>
        <v>0</v>
      </c>
      <c r="G518" s="244">
        <f t="shared" si="280"/>
        <v>0</v>
      </c>
      <c r="H518" s="244">
        <f t="shared" si="280"/>
        <v>0</v>
      </c>
      <c r="I518" s="244">
        <f t="shared" si="280"/>
        <v>0</v>
      </c>
      <c r="J518" s="244">
        <f t="shared" si="280"/>
        <v>0</v>
      </c>
      <c r="K518" s="244">
        <f t="shared" si="280"/>
        <v>0</v>
      </c>
      <c r="L518" s="244">
        <f t="shared" si="280"/>
        <v>0</v>
      </c>
      <c r="M518" s="244">
        <f t="shared" si="280"/>
        <v>0</v>
      </c>
      <c r="N518" s="244">
        <f t="shared" si="280"/>
        <v>0</v>
      </c>
      <c r="O518" s="244">
        <f t="shared" si="280"/>
        <v>0</v>
      </c>
      <c r="P518" s="244">
        <f t="shared" si="280"/>
        <v>0</v>
      </c>
      <c r="Q518" s="244">
        <f t="shared" si="280"/>
        <v>0</v>
      </c>
      <c r="R518" s="244">
        <f t="shared" si="280"/>
        <v>0</v>
      </c>
      <c r="S518" s="244">
        <f t="shared" si="280"/>
        <v>0</v>
      </c>
      <c r="T518" s="244">
        <f t="shared" si="280"/>
        <v>0</v>
      </c>
      <c r="U518" s="244">
        <f t="shared" si="280"/>
        <v>0</v>
      </c>
      <c r="V518" s="244">
        <f t="shared" si="280"/>
        <v>0</v>
      </c>
      <c r="W518" s="244">
        <f t="shared" si="280"/>
        <v>0</v>
      </c>
      <c r="X518" s="244">
        <f t="shared" si="280"/>
        <v>0</v>
      </c>
      <c r="Y518" s="244">
        <f t="shared" si="280"/>
        <v>0</v>
      </c>
      <c r="Z518" s="244">
        <f t="shared" si="280"/>
        <v>0</v>
      </c>
      <c r="AA518" s="244">
        <f t="shared" si="280"/>
        <v>0</v>
      </c>
      <c r="AB518" s="244">
        <f t="shared" si="280"/>
        <v>0</v>
      </c>
      <c r="AC518" s="244">
        <f t="shared" si="280"/>
        <v>0</v>
      </c>
      <c r="AD518" s="244">
        <f t="shared" si="280"/>
        <v>0</v>
      </c>
      <c r="AE518" s="244">
        <f t="shared" si="280"/>
        <v>0</v>
      </c>
      <c r="AF518" s="244">
        <f t="shared" si="280"/>
        <v>0</v>
      </c>
      <c r="AG518" s="244">
        <f t="shared" si="280"/>
        <v>0</v>
      </c>
      <c r="AH518" s="244">
        <f t="shared" si="280"/>
        <v>0</v>
      </c>
      <c r="AI518" s="244">
        <f t="shared" si="280"/>
        <v>0</v>
      </c>
      <c r="AJ518" s="244">
        <f t="shared" si="280"/>
        <v>0</v>
      </c>
      <c r="AK518" s="244">
        <f t="shared" si="280"/>
        <v>0</v>
      </c>
      <c r="AL518" s="244">
        <f t="shared" si="280"/>
        <v>0</v>
      </c>
      <c r="AM518" s="244">
        <f t="shared" si="280"/>
        <v>0</v>
      </c>
      <c r="AN518" s="244">
        <f t="shared" si="280"/>
        <v>0</v>
      </c>
      <c r="AO518" s="244">
        <f t="shared" si="280"/>
        <v>0</v>
      </c>
      <c r="AP518" s="244">
        <f t="shared" si="280"/>
        <v>0</v>
      </c>
    </row>
    <row r="519" spans="1:42" x14ac:dyDescent="0.2">
      <c r="A519" s="29" t="str">
        <f>Inputs!B117</f>
        <v>Utility ($/kWh)</v>
      </c>
    </row>
    <row r="520" spans="1:42" x14ac:dyDescent="0.2">
      <c r="A520" s="33" t="s">
        <v>52</v>
      </c>
      <c r="C520" s="186">
        <f t="shared" ref="C520:AP520" si="281">IF(AND(C$2&lt;=pbi_uti_term,C$2&lt;=analysis_period),pbi_uti_amount*(1+pbi_uti_escal/100)^B$2,0)</f>
        <v>0</v>
      </c>
      <c r="D520" s="186">
        <f t="shared" si="281"/>
        <v>0</v>
      </c>
      <c r="E520" s="186">
        <f t="shared" si="281"/>
        <v>0</v>
      </c>
      <c r="F520" s="186">
        <f t="shared" si="281"/>
        <v>0</v>
      </c>
      <c r="G520" s="186">
        <f t="shared" si="281"/>
        <v>0</v>
      </c>
      <c r="H520" s="186">
        <f t="shared" si="281"/>
        <v>0</v>
      </c>
      <c r="I520" s="186">
        <f t="shared" si="281"/>
        <v>0</v>
      </c>
      <c r="J520" s="186">
        <f t="shared" si="281"/>
        <v>0</v>
      </c>
      <c r="K520" s="186">
        <f t="shared" si="281"/>
        <v>0</v>
      </c>
      <c r="L520" s="186">
        <f t="shared" si="281"/>
        <v>0</v>
      </c>
      <c r="M520" s="186">
        <f t="shared" si="281"/>
        <v>0</v>
      </c>
      <c r="N520" s="186">
        <f t="shared" si="281"/>
        <v>0</v>
      </c>
      <c r="O520" s="186">
        <f t="shared" si="281"/>
        <v>0</v>
      </c>
      <c r="P520" s="186">
        <f t="shared" si="281"/>
        <v>0</v>
      </c>
      <c r="Q520" s="186">
        <f t="shared" si="281"/>
        <v>0</v>
      </c>
      <c r="R520" s="186">
        <f t="shared" si="281"/>
        <v>0</v>
      </c>
      <c r="S520" s="186">
        <f t="shared" si="281"/>
        <v>0</v>
      </c>
      <c r="T520" s="186">
        <f t="shared" si="281"/>
        <v>0</v>
      </c>
      <c r="U520" s="186">
        <f t="shared" si="281"/>
        <v>0</v>
      </c>
      <c r="V520" s="186">
        <f t="shared" si="281"/>
        <v>0</v>
      </c>
      <c r="W520" s="186">
        <f t="shared" si="281"/>
        <v>0</v>
      </c>
      <c r="X520" s="186">
        <f t="shared" si="281"/>
        <v>0</v>
      </c>
      <c r="Y520" s="186">
        <f t="shared" si="281"/>
        <v>0</v>
      </c>
      <c r="Z520" s="186">
        <f t="shared" si="281"/>
        <v>0</v>
      </c>
      <c r="AA520" s="186">
        <f t="shared" si="281"/>
        <v>0</v>
      </c>
      <c r="AB520" s="186">
        <f t="shared" si="281"/>
        <v>0</v>
      </c>
      <c r="AC520" s="186">
        <f t="shared" si="281"/>
        <v>0</v>
      </c>
      <c r="AD520" s="186">
        <f t="shared" si="281"/>
        <v>0</v>
      </c>
      <c r="AE520" s="186">
        <f t="shared" si="281"/>
        <v>0</v>
      </c>
      <c r="AF520" s="186">
        <f t="shared" si="281"/>
        <v>0</v>
      </c>
      <c r="AG520" s="186">
        <f t="shared" si="281"/>
        <v>0</v>
      </c>
      <c r="AH520" s="186">
        <f t="shared" si="281"/>
        <v>0</v>
      </c>
      <c r="AI520" s="186">
        <f t="shared" si="281"/>
        <v>0</v>
      </c>
      <c r="AJ520" s="186">
        <f t="shared" si="281"/>
        <v>0</v>
      </c>
      <c r="AK520" s="186">
        <f t="shared" si="281"/>
        <v>0</v>
      </c>
      <c r="AL520" s="186">
        <f t="shared" si="281"/>
        <v>0</v>
      </c>
      <c r="AM520" s="186">
        <f t="shared" si="281"/>
        <v>0</v>
      </c>
      <c r="AN520" s="186">
        <f t="shared" si="281"/>
        <v>0</v>
      </c>
      <c r="AO520" s="186">
        <f t="shared" si="281"/>
        <v>0</v>
      </c>
      <c r="AP520" s="186">
        <f t="shared" si="281"/>
        <v>0</v>
      </c>
    </row>
    <row r="521" spans="1:42" x14ac:dyDescent="0.2">
      <c r="A521" s="33" t="s">
        <v>53</v>
      </c>
      <c r="C521" s="219">
        <f>C$5</f>
        <v>0</v>
      </c>
      <c r="D521" s="219">
        <f t="shared" ref="D521:AP521" si="282">D$5</f>
        <v>0</v>
      </c>
      <c r="E521" s="219">
        <f t="shared" si="282"/>
        <v>0</v>
      </c>
      <c r="F521" s="219">
        <f t="shared" si="282"/>
        <v>0</v>
      </c>
      <c r="G521" s="219">
        <f t="shared" si="282"/>
        <v>0</v>
      </c>
      <c r="H521" s="219">
        <f t="shared" si="282"/>
        <v>0</v>
      </c>
      <c r="I521" s="219">
        <f t="shared" si="282"/>
        <v>0</v>
      </c>
      <c r="J521" s="219">
        <f t="shared" si="282"/>
        <v>0</v>
      </c>
      <c r="K521" s="219">
        <f t="shared" si="282"/>
        <v>0</v>
      </c>
      <c r="L521" s="219">
        <f t="shared" si="282"/>
        <v>0</v>
      </c>
      <c r="M521" s="219">
        <f t="shared" si="282"/>
        <v>0</v>
      </c>
      <c r="N521" s="219">
        <f t="shared" si="282"/>
        <v>0</v>
      </c>
      <c r="O521" s="219">
        <f t="shared" si="282"/>
        <v>0</v>
      </c>
      <c r="P521" s="219">
        <f t="shared" si="282"/>
        <v>0</v>
      </c>
      <c r="Q521" s="219">
        <f t="shared" si="282"/>
        <v>0</v>
      </c>
      <c r="R521" s="219">
        <f t="shared" si="282"/>
        <v>0</v>
      </c>
      <c r="S521" s="219">
        <f t="shared" si="282"/>
        <v>0</v>
      </c>
      <c r="T521" s="219">
        <f t="shared" si="282"/>
        <v>0</v>
      </c>
      <c r="U521" s="219">
        <f t="shared" si="282"/>
        <v>0</v>
      </c>
      <c r="V521" s="219">
        <f t="shared" si="282"/>
        <v>0</v>
      </c>
      <c r="W521" s="219">
        <f t="shared" si="282"/>
        <v>0</v>
      </c>
      <c r="X521" s="219">
        <f t="shared" si="282"/>
        <v>0</v>
      </c>
      <c r="Y521" s="219">
        <f t="shared" si="282"/>
        <v>0</v>
      </c>
      <c r="Z521" s="219">
        <f t="shared" si="282"/>
        <v>0</v>
      </c>
      <c r="AA521" s="219">
        <f t="shared" si="282"/>
        <v>0</v>
      </c>
      <c r="AB521" s="219">
        <f t="shared" si="282"/>
        <v>0</v>
      </c>
      <c r="AC521" s="219">
        <f t="shared" si="282"/>
        <v>0</v>
      </c>
      <c r="AD521" s="219">
        <f t="shared" si="282"/>
        <v>0</v>
      </c>
      <c r="AE521" s="219">
        <f t="shared" si="282"/>
        <v>0</v>
      </c>
      <c r="AF521" s="219">
        <f t="shared" si="282"/>
        <v>0</v>
      </c>
      <c r="AG521" s="219">
        <f t="shared" si="282"/>
        <v>0</v>
      </c>
      <c r="AH521" s="219">
        <f t="shared" si="282"/>
        <v>0</v>
      </c>
      <c r="AI521" s="219">
        <f t="shared" si="282"/>
        <v>0</v>
      </c>
      <c r="AJ521" s="219">
        <f t="shared" si="282"/>
        <v>0</v>
      </c>
      <c r="AK521" s="219">
        <f t="shared" si="282"/>
        <v>0</v>
      </c>
      <c r="AL521" s="219">
        <f t="shared" si="282"/>
        <v>0</v>
      </c>
      <c r="AM521" s="219">
        <f t="shared" si="282"/>
        <v>0</v>
      </c>
      <c r="AN521" s="219">
        <f t="shared" si="282"/>
        <v>0</v>
      </c>
      <c r="AO521" s="219">
        <f t="shared" si="282"/>
        <v>0</v>
      </c>
      <c r="AP521" s="219">
        <f t="shared" si="282"/>
        <v>0</v>
      </c>
    </row>
    <row r="522" spans="1:42" x14ac:dyDescent="0.2">
      <c r="A522" s="33" t="s">
        <v>18</v>
      </c>
      <c r="C522" s="244">
        <f>C520*C521</f>
        <v>0</v>
      </c>
      <c r="D522" s="244">
        <f t="shared" ref="D522:AP522" si="283">D520*D521</f>
        <v>0</v>
      </c>
      <c r="E522" s="244">
        <f t="shared" si="283"/>
        <v>0</v>
      </c>
      <c r="F522" s="244">
        <f t="shared" si="283"/>
        <v>0</v>
      </c>
      <c r="G522" s="244">
        <f t="shared" si="283"/>
        <v>0</v>
      </c>
      <c r="H522" s="244">
        <f t="shared" si="283"/>
        <v>0</v>
      </c>
      <c r="I522" s="244">
        <f t="shared" si="283"/>
        <v>0</v>
      </c>
      <c r="J522" s="244">
        <f t="shared" si="283"/>
        <v>0</v>
      </c>
      <c r="K522" s="244">
        <f t="shared" si="283"/>
        <v>0</v>
      </c>
      <c r="L522" s="244">
        <f t="shared" si="283"/>
        <v>0</v>
      </c>
      <c r="M522" s="244">
        <f t="shared" si="283"/>
        <v>0</v>
      </c>
      <c r="N522" s="244">
        <f t="shared" si="283"/>
        <v>0</v>
      </c>
      <c r="O522" s="244">
        <f t="shared" si="283"/>
        <v>0</v>
      </c>
      <c r="P522" s="244">
        <f t="shared" si="283"/>
        <v>0</v>
      </c>
      <c r="Q522" s="244">
        <f t="shared" si="283"/>
        <v>0</v>
      </c>
      <c r="R522" s="244">
        <f t="shared" si="283"/>
        <v>0</v>
      </c>
      <c r="S522" s="244">
        <f t="shared" si="283"/>
        <v>0</v>
      </c>
      <c r="T522" s="244">
        <f t="shared" si="283"/>
        <v>0</v>
      </c>
      <c r="U522" s="244">
        <f t="shared" si="283"/>
        <v>0</v>
      </c>
      <c r="V522" s="244">
        <f t="shared" si="283"/>
        <v>0</v>
      </c>
      <c r="W522" s="244">
        <f t="shared" si="283"/>
        <v>0</v>
      </c>
      <c r="X522" s="244">
        <f t="shared" si="283"/>
        <v>0</v>
      </c>
      <c r="Y522" s="244">
        <f t="shared" si="283"/>
        <v>0</v>
      </c>
      <c r="Z522" s="244">
        <f t="shared" si="283"/>
        <v>0</v>
      </c>
      <c r="AA522" s="244">
        <f t="shared" si="283"/>
        <v>0</v>
      </c>
      <c r="AB522" s="244">
        <f t="shared" si="283"/>
        <v>0</v>
      </c>
      <c r="AC522" s="244">
        <f t="shared" si="283"/>
        <v>0</v>
      </c>
      <c r="AD522" s="244">
        <f t="shared" si="283"/>
        <v>0</v>
      </c>
      <c r="AE522" s="244">
        <f t="shared" si="283"/>
        <v>0</v>
      </c>
      <c r="AF522" s="244">
        <f t="shared" si="283"/>
        <v>0</v>
      </c>
      <c r="AG522" s="244">
        <f t="shared" si="283"/>
        <v>0</v>
      </c>
      <c r="AH522" s="244">
        <f t="shared" si="283"/>
        <v>0</v>
      </c>
      <c r="AI522" s="244">
        <f t="shared" si="283"/>
        <v>0</v>
      </c>
      <c r="AJ522" s="244">
        <f t="shared" si="283"/>
        <v>0</v>
      </c>
      <c r="AK522" s="244">
        <f t="shared" si="283"/>
        <v>0</v>
      </c>
      <c r="AL522" s="244">
        <f t="shared" si="283"/>
        <v>0</v>
      </c>
      <c r="AM522" s="244">
        <f t="shared" si="283"/>
        <v>0</v>
      </c>
      <c r="AN522" s="244">
        <f t="shared" si="283"/>
        <v>0</v>
      </c>
      <c r="AO522" s="244">
        <f t="shared" si="283"/>
        <v>0</v>
      </c>
      <c r="AP522" s="244">
        <f t="shared" si="283"/>
        <v>0</v>
      </c>
    </row>
    <row r="523" spans="1:42" x14ac:dyDescent="0.2">
      <c r="A523" s="29" t="str">
        <f>Inputs!B118</f>
        <v>Other ($/kWh)</v>
      </c>
    </row>
    <row r="524" spans="1:42" x14ac:dyDescent="0.2">
      <c r="A524" s="33" t="s">
        <v>52</v>
      </c>
      <c r="C524" s="195">
        <f t="shared" ref="C524:AP524" si="284">IF(AND(C$2&lt;=pbi_oth_term,C$2&lt;=analysis_period),pbi_oth_amount*(1+pbi_oth_escal/100)^B$2,0)</f>
        <v>0</v>
      </c>
      <c r="D524" s="195">
        <f t="shared" si="284"/>
        <v>0</v>
      </c>
      <c r="E524" s="195">
        <f t="shared" si="284"/>
        <v>0</v>
      </c>
      <c r="F524" s="195">
        <f t="shared" si="284"/>
        <v>0</v>
      </c>
      <c r="G524" s="195">
        <f t="shared" si="284"/>
        <v>0</v>
      </c>
      <c r="H524" s="195">
        <f t="shared" si="284"/>
        <v>0</v>
      </c>
      <c r="I524" s="195">
        <f t="shared" si="284"/>
        <v>0</v>
      </c>
      <c r="J524" s="195">
        <f t="shared" si="284"/>
        <v>0</v>
      </c>
      <c r="K524" s="195">
        <f t="shared" si="284"/>
        <v>0</v>
      </c>
      <c r="L524" s="195">
        <f t="shared" si="284"/>
        <v>0</v>
      </c>
      <c r="M524" s="195">
        <f t="shared" si="284"/>
        <v>0</v>
      </c>
      <c r="N524" s="195">
        <f t="shared" si="284"/>
        <v>0</v>
      </c>
      <c r="O524" s="195">
        <f t="shared" si="284"/>
        <v>0</v>
      </c>
      <c r="P524" s="195">
        <f t="shared" si="284"/>
        <v>0</v>
      </c>
      <c r="Q524" s="195">
        <f t="shared" si="284"/>
        <v>0</v>
      </c>
      <c r="R524" s="195">
        <f t="shared" si="284"/>
        <v>0</v>
      </c>
      <c r="S524" s="195">
        <f t="shared" si="284"/>
        <v>0</v>
      </c>
      <c r="T524" s="195">
        <f t="shared" si="284"/>
        <v>0</v>
      </c>
      <c r="U524" s="195">
        <f t="shared" si="284"/>
        <v>0</v>
      </c>
      <c r="V524" s="195">
        <f t="shared" si="284"/>
        <v>0</v>
      </c>
      <c r="W524" s="195">
        <f t="shared" si="284"/>
        <v>0</v>
      </c>
      <c r="X524" s="195">
        <f t="shared" si="284"/>
        <v>0</v>
      </c>
      <c r="Y524" s="195">
        <f t="shared" si="284"/>
        <v>0</v>
      </c>
      <c r="Z524" s="195">
        <f t="shared" si="284"/>
        <v>0</v>
      </c>
      <c r="AA524" s="195">
        <f t="shared" si="284"/>
        <v>0</v>
      </c>
      <c r="AB524" s="195">
        <f t="shared" si="284"/>
        <v>0</v>
      </c>
      <c r="AC524" s="195">
        <f t="shared" si="284"/>
        <v>0</v>
      </c>
      <c r="AD524" s="195">
        <f t="shared" si="284"/>
        <v>0</v>
      </c>
      <c r="AE524" s="195">
        <f t="shared" si="284"/>
        <v>0</v>
      </c>
      <c r="AF524" s="195">
        <f t="shared" si="284"/>
        <v>0</v>
      </c>
      <c r="AG524" s="195">
        <f t="shared" si="284"/>
        <v>0</v>
      </c>
      <c r="AH524" s="195">
        <f t="shared" si="284"/>
        <v>0</v>
      </c>
      <c r="AI524" s="195">
        <f t="shared" si="284"/>
        <v>0</v>
      </c>
      <c r="AJ524" s="195">
        <f t="shared" si="284"/>
        <v>0</v>
      </c>
      <c r="AK524" s="195">
        <f t="shared" si="284"/>
        <v>0</v>
      </c>
      <c r="AL524" s="195">
        <f t="shared" si="284"/>
        <v>0</v>
      </c>
      <c r="AM524" s="195">
        <f t="shared" si="284"/>
        <v>0</v>
      </c>
      <c r="AN524" s="195">
        <f t="shared" si="284"/>
        <v>0</v>
      </c>
      <c r="AO524" s="195">
        <f t="shared" si="284"/>
        <v>0</v>
      </c>
      <c r="AP524" s="195">
        <f t="shared" si="284"/>
        <v>0</v>
      </c>
    </row>
    <row r="525" spans="1:42" x14ac:dyDescent="0.2">
      <c r="A525" s="33" t="s">
        <v>53</v>
      </c>
      <c r="C525" s="219">
        <f>C$5</f>
        <v>0</v>
      </c>
      <c r="D525" s="219">
        <f t="shared" ref="D525:AP525" si="285">D$5</f>
        <v>0</v>
      </c>
      <c r="E525" s="219">
        <f t="shared" si="285"/>
        <v>0</v>
      </c>
      <c r="F525" s="219">
        <f t="shared" si="285"/>
        <v>0</v>
      </c>
      <c r="G525" s="219">
        <f t="shared" si="285"/>
        <v>0</v>
      </c>
      <c r="H525" s="219">
        <f t="shared" si="285"/>
        <v>0</v>
      </c>
      <c r="I525" s="219">
        <f t="shared" si="285"/>
        <v>0</v>
      </c>
      <c r="J525" s="219">
        <f t="shared" si="285"/>
        <v>0</v>
      </c>
      <c r="K525" s="219">
        <f t="shared" si="285"/>
        <v>0</v>
      </c>
      <c r="L525" s="219">
        <f t="shared" si="285"/>
        <v>0</v>
      </c>
      <c r="M525" s="219">
        <f t="shared" si="285"/>
        <v>0</v>
      </c>
      <c r="N525" s="219">
        <f t="shared" si="285"/>
        <v>0</v>
      </c>
      <c r="O525" s="219">
        <f t="shared" si="285"/>
        <v>0</v>
      </c>
      <c r="P525" s="219">
        <f t="shared" si="285"/>
        <v>0</v>
      </c>
      <c r="Q525" s="219">
        <f t="shared" si="285"/>
        <v>0</v>
      </c>
      <c r="R525" s="219">
        <f t="shared" si="285"/>
        <v>0</v>
      </c>
      <c r="S525" s="219">
        <f t="shared" si="285"/>
        <v>0</v>
      </c>
      <c r="T525" s="219">
        <f t="shared" si="285"/>
        <v>0</v>
      </c>
      <c r="U525" s="219">
        <f t="shared" si="285"/>
        <v>0</v>
      </c>
      <c r="V525" s="219">
        <f t="shared" si="285"/>
        <v>0</v>
      </c>
      <c r="W525" s="219">
        <f t="shared" si="285"/>
        <v>0</v>
      </c>
      <c r="X525" s="219">
        <f t="shared" si="285"/>
        <v>0</v>
      </c>
      <c r="Y525" s="219">
        <f t="shared" si="285"/>
        <v>0</v>
      </c>
      <c r="Z525" s="219">
        <f t="shared" si="285"/>
        <v>0</v>
      </c>
      <c r="AA525" s="219">
        <f t="shared" si="285"/>
        <v>0</v>
      </c>
      <c r="AB525" s="219">
        <f t="shared" si="285"/>
        <v>0</v>
      </c>
      <c r="AC525" s="219">
        <f t="shared" si="285"/>
        <v>0</v>
      </c>
      <c r="AD525" s="219">
        <f t="shared" si="285"/>
        <v>0</v>
      </c>
      <c r="AE525" s="219">
        <f t="shared" si="285"/>
        <v>0</v>
      </c>
      <c r="AF525" s="219">
        <f t="shared" si="285"/>
        <v>0</v>
      </c>
      <c r="AG525" s="219">
        <f t="shared" si="285"/>
        <v>0</v>
      </c>
      <c r="AH525" s="219">
        <f t="shared" si="285"/>
        <v>0</v>
      </c>
      <c r="AI525" s="219">
        <f t="shared" si="285"/>
        <v>0</v>
      </c>
      <c r="AJ525" s="219">
        <f t="shared" si="285"/>
        <v>0</v>
      </c>
      <c r="AK525" s="219">
        <f t="shared" si="285"/>
        <v>0</v>
      </c>
      <c r="AL525" s="219">
        <f t="shared" si="285"/>
        <v>0</v>
      </c>
      <c r="AM525" s="219">
        <f t="shared" si="285"/>
        <v>0</v>
      </c>
      <c r="AN525" s="219">
        <f t="shared" si="285"/>
        <v>0</v>
      </c>
      <c r="AO525" s="219">
        <f t="shared" si="285"/>
        <v>0</v>
      </c>
      <c r="AP525" s="219">
        <f t="shared" si="285"/>
        <v>0</v>
      </c>
    </row>
    <row r="526" spans="1:42" x14ac:dyDescent="0.2">
      <c r="A526" s="33" t="s">
        <v>18</v>
      </c>
      <c r="C526" s="244">
        <f>C524*C525</f>
        <v>0</v>
      </c>
      <c r="D526" s="244">
        <f t="shared" ref="D526:AP526" si="286">D524*D525</f>
        <v>0</v>
      </c>
      <c r="E526" s="244">
        <f t="shared" si="286"/>
        <v>0</v>
      </c>
      <c r="F526" s="244">
        <f t="shared" si="286"/>
        <v>0</v>
      </c>
      <c r="G526" s="244">
        <f t="shared" si="286"/>
        <v>0</v>
      </c>
      <c r="H526" s="244">
        <f t="shared" si="286"/>
        <v>0</v>
      </c>
      <c r="I526" s="244">
        <f t="shared" si="286"/>
        <v>0</v>
      </c>
      <c r="J526" s="244">
        <f t="shared" si="286"/>
        <v>0</v>
      </c>
      <c r="K526" s="244">
        <f t="shared" si="286"/>
        <v>0</v>
      </c>
      <c r="L526" s="244">
        <f t="shared" si="286"/>
        <v>0</v>
      </c>
      <c r="M526" s="244">
        <f t="shared" si="286"/>
        <v>0</v>
      </c>
      <c r="N526" s="244">
        <f t="shared" si="286"/>
        <v>0</v>
      </c>
      <c r="O526" s="244">
        <f t="shared" si="286"/>
        <v>0</v>
      </c>
      <c r="P526" s="244">
        <f t="shared" si="286"/>
        <v>0</v>
      </c>
      <c r="Q526" s="244">
        <f t="shared" si="286"/>
        <v>0</v>
      </c>
      <c r="R526" s="244">
        <f t="shared" si="286"/>
        <v>0</v>
      </c>
      <c r="S526" s="244">
        <f t="shared" si="286"/>
        <v>0</v>
      </c>
      <c r="T526" s="244">
        <f t="shared" si="286"/>
        <v>0</v>
      </c>
      <c r="U526" s="244">
        <f t="shared" si="286"/>
        <v>0</v>
      </c>
      <c r="V526" s="244">
        <f t="shared" si="286"/>
        <v>0</v>
      </c>
      <c r="W526" s="244">
        <f t="shared" si="286"/>
        <v>0</v>
      </c>
      <c r="X526" s="244">
        <f t="shared" si="286"/>
        <v>0</v>
      </c>
      <c r="Y526" s="244">
        <f t="shared" si="286"/>
        <v>0</v>
      </c>
      <c r="Z526" s="244">
        <f t="shared" si="286"/>
        <v>0</v>
      </c>
      <c r="AA526" s="244">
        <f t="shared" si="286"/>
        <v>0</v>
      </c>
      <c r="AB526" s="244">
        <f t="shared" si="286"/>
        <v>0</v>
      </c>
      <c r="AC526" s="244">
        <f t="shared" si="286"/>
        <v>0</v>
      </c>
      <c r="AD526" s="244">
        <f t="shared" si="286"/>
        <v>0</v>
      </c>
      <c r="AE526" s="244">
        <f t="shared" si="286"/>
        <v>0</v>
      </c>
      <c r="AF526" s="244">
        <f t="shared" si="286"/>
        <v>0</v>
      </c>
      <c r="AG526" s="244">
        <f t="shared" si="286"/>
        <v>0</v>
      </c>
      <c r="AH526" s="244">
        <f t="shared" si="286"/>
        <v>0</v>
      </c>
      <c r="AI526" s="244">
        <f t="shared" si="286"/>
        <v>0</v>
      </c>
      <c r="AJ526" s="244">
        <f t="shared" si="286"/>
        <v>0</v>
      </c>
      <c r="AK526" s="244">
        <f t="shared" si="286"/>
        <v>0</v>
      </c>
      <c r="AL526" s="244">
        <f t="shared" si="286"/>
        <v>0</v>
      </c>
      <c r="AM526" s="244">
        <f t="shared" si="286"/>
        <v>0</v>
      </c>
      <c r="AN526" s="244">
        <f t="shared" si="286"/>
        <v>0</v>
      </c>
      <c r="AO526" s="244">
        <f t="shared" si="286"/>
        <v>0</v>
      </c>
      <c r="AP526" s="244">
        <f t="shared" si="286"/>
        <v>0</v>
      </c>
    </row>
    <row r="527" spans="1:42" x14ac:dyDescent="0.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x14ac:dyDescent="0.2">
      <c r="A528" s="7" t="s">
        <v>18</v>
      </c>
      <c r="C528" s="249">
        <f>C514+C518+C522+C526</f>
        <v>0</v>
      </c>
      <c r="D528" s="249">
        <f t="shared" ref="D528:AP528" si="287">D514+D518+D522+D526</f>
        <v>0</v>
      </c>
      <c r="E528" s="249">
        <f t="shared" si="287"/>
        <v>0</v>
      </c>
      <c r="F528" s="249">
        <f t="shared" si="287"/>
        <v>0</v>
      </c>
      <c r="G528" s="249">
        <f t="shared" si="287"/>
        <v>0</v>
      </c>
      <c r="H528" s="249">
        <f t="shared" si="287"/>
        <v>0</v>
      </c>
      <c r="I528" s="249">
        <f t="shared" si="287"/>
        <v>0</v>
      </c>
      <c r="J528" s="249">
        <f t="shared" si="287"/>
        <v>0</v>
      </c>
      <c r="K528" s="249">
        <f t="shared" si="287"/>
        <v>0</v>
      </c>
      <c r="L528" s="249">
        <f t="shared" si="287"/>
        <v>0</v>
      </c>
      <c r="M528" s="249">
        <f t="shared" si="287"/>
        <v>0</v>
      </c>
      <c r="N528" s="249">
        <f t="shared" si="287"/>
        <v>0</v>
      </c>
      <c r="O528" s="249">
        <f t="shared" si="287"/>
        <v>0</v>
      </c>
      <c r="P528" s="249">
        <f t="shared" si="287"/>
        <v>0</v>
      </c>
      <c r="Q528" s="249">
        <f t="shared" si="287"/>
        <v>0</v>
      </c>
      <c r="R528" s="249">
        <f t="shared" si="287"/>
        <v>0</v>
      </c>
      <c r="S528" s="249">
        <f t="shared" si="287"/>
        <v>0</v>
      </c>
      <c r="T528" s="249">
        <f t="shared" si="287"/>
        <v>0</v>
      </c>
      <c r="U528" s="249">
        <f t="shared" si="287"/>
        <v>0</v>
      </c>
      <c r="V528" s="249">
        <f t="shared" si="287"/>
        <v>0</v>
      </c>
      <c r="W528" s="249">
        <f t="shared" si="287"/>
        <v>0</v>
      </c>
      <c r="X528" s="249">
        <f t="shared" si="287"/>
        <v>0</v>
      </c>
      <c r="Y528" s="249">
        <f t="shared" si="287"/>
        <v>0</v>
      </c>
      <c r="Z528" s="249">
        <f t="shared" si="287"/>
        <v>0</v>
      </c>
      <c r="AA528" s="249">
        <f t="shared" si="287"/>
        <v>0</v>
      </c>
      <c r="AB528" s="249">
        <f t="shared" si="287"/>
        <v>0</v>
      </c>
      <c r="AC528" s="249">
        <f t="shared" si="287"/>
        <v>0</v>
      </c>
      <c r="AD528" s="249">
        <f t="shared" si="287"/>
        <v>0</v>
      </c>
      <c r="AE528" s="249">
        <f t="shared" si="287"/>
        <v>0</v>
      </c>
      <c r="AF528" s="249">
        <f t="shared" si="287"/>
        <v>0</v>
      </c>
      <c r="AG528" s="249">
        <f t="shared" si="287"/>
        <v>0</v>
      </c>
      <c r="AH528" s="249">
        <f t="shared" si="287"/>
        <v>0</v>
      </c>
      <c r="AI528" s="249">
        <f t="shared" si="287"/>
        <v>0</v>
      </c>
      <c r="AJ528" s="249">
        <f t="shared" si="287"/>
        <v>0</v>
      </c>
      <c r="AK528" s="249">
        <f t="shared" si="287"/>
        <v>0</v>
      </c>
      <c r="AL528" s="249">
        <f t="shared" si="287"/>
        <v>0</v>
      </c>
      <c r="AM528" s="249">
        <f t="shared" si="287"/>
        <v>0</v>
      </c>
      <c r="AN528" s="249">
        <f t="shared" si="287"/>
        <v>0</v>
      </c>
      <c r="AO528" s="249">
        <f t="shared" si="287"/>
        <v>0</v>
      </c>
      <c r="AP528" s="249">
        <f t="shared" si="287"/>
        <v>0</v>
      </c>
    </row>
    <row r="530" spans="1:42" x14ac:dyDescent="0.2">
      <c r="A530" s="154" t="s">
        <v>35</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9" t="s">
        <v>38</v>
      </c>
    </row>
    <row r="532" spans="1:42" s="21" customFormat="1" x14ac:dyDescent="0.2">
      <c r="A532" s="33" t="s">
        <v>42</v>
      </c>
      <c r="B532" s="222">
        <v>0</v>
      </c>
      <c r="C532" s="245">
        <f>C540/dscr</f>
        <v>-799502.13391066215</v>
      </c>
      <c r="D532" s="245">
        <f t="shared" ref="D532:AP532" si="288">D540/dscr</f>
        <v>-808976.17237220053</v>
      </c>
      <c r="E532" s="245">
        <f t="shared" si="288"/>
        <v>-818687.0617952774</v>
      </c>
      <c r="F532" s="245">
        <f t="shared" si="288"/>
        <v>-828640.72345393139</v>
      </c>
      <c r="G532" s="245">
        <f t="shared" si="288"/>
        <v>-838843.22665405134</v>
      </c>
      <c r="H532" s="245">
        <f t="shared" si="288"/>
        <v>-849300.79243417468</v>
      </c>
      <c r="I532" s="245">
        <f t="shared" si="288"/>
        <v>-860019.79735880089</v>
      </c>
      <c r="J532" s="245">
        <f t="shared" si="288"/>
        <v>-871006.77740654279</v>
      </c>
      <c r="K532" s="245">
        <f t="shared" si="288"/>
        <v>-882268.43195547815</v>
      </c>
      <c r="L532" s="245">
        <f t="shared" si="288"/>
        <v>-893811.62786813697</v>
      </c>
      <c r="M532" s="245">
        <f t="shared" si="288"/>
        <v>-905643.40367861232</v>
      </c>
      <c r="N532" s="245">
        <f t="shared" si="288"/>
        <v>-917770.97388434969</v>
      </c>
      <c r="O532" s="245">
        <f t="shared" si="288"/>
        <v>-1075241.4848575164</v>
      </c>
      <c r="P532" s="245">
        <f t="shared" si="288"/>
        <v>-1087983.013304919</v>
      </c>
      <c r="Q532" s="245">
        <f t="shared" si="288"/>
        <v>-1101043.0799635069</v>
      </c>
      <c r="R532" s="245">
        <f t="shared" si="288"/>
        <v>-1114429.6482885592</v>
      </c>
      <c r="S532" s="245">
        <f t="shared" si="288"/>
        <v>-1128150.8808217379</v>
      </c>
      <c r="T532" s="245">
        <f t="shared" si="288"/>
        <v>-1142215.1441682458</v>
      </c>
      <c r="U532" s="245">
        <f t="shared" si="288"/>
        <v>0</v>
      </c>
      <c r="V532" s="245">
        <f t="shared" si="288"/>
        <v>0</v>
      </c>
      <c r="W532" s="245">
        <f t="shared" si="288"/>
        <v>0</v>
      </c>
      <c r="X532" s="245">
        <f t="shared" si="288"/>
        <v>0</v>
      </c>
      <c r="Y532" s="245">
        <f t="shared" si="288"/>
        <v>0</v>
      </c>
      <c r="Z532" s="245">
        <f t="shared" si="288"/>
        <v>0</v>
      </c>
      <c r="AA532" s="245">
        <f t="shared" si="288"/>
        <v>0</v>
      </c>
      <c r="AB532" s="245">
        <f t="shared" si="288"/>
        <v>0</v>
      </c>
      <c r="AC532" s="245">
        <f t="shared" si="288"/>
        <v>0</v>
      </c>
      <c r="AD532" s="245">
        <f t="shared" si="288"/>
        <v>0</v>
      </c>
      <c r="AE532" s="245">
        <f t="shared" si="288"/>
        <v>0</v>
      </c>
      <c r="AF532" s="245">
        <f t="shared" si="288"/>
        <v>0</v>
      </c>
      <c r="AG532" s="245">
        <f t="shared" si="288"/>
        <v>0</v>
      </c>
      <c r="AH532" s="245">
        <f t="shared" si="288"/>
        <v>0</v>
      </c>
      <c r="AI532" s="245">
        <f t="shared" si="288"/>
        <v>0</v>
      </c>
      <c r="AJ532" s="245">
        <f t="shared" si="288"/>
        <v>0</v>
      </c>
      <c r="AK532" s="245">
        <f t="shared" si="288"/>
        <v>0</v>
      </c>
      <c r="AL532" s="245">
        <f t="shared" si="288"/>
        <v>0</v>
      </c>
      <c r="AM532" s="245">
        <f t="shared" si="288"/>
        <v>0</v>
      </c>
      <c r="AN532" s="245">
        <f t="shared" si="288"/>
        <v>0</v>
      </c>
      <c r="AO532" s="245">
        <f t="shared" si="288"/>
        <v>0</v>
      </c>
      <c r="AP532" s="245">
        <f t="shared" si="288"/>
        <v>0</v>
      </c>
    </row>
    <row r="533" spans="1:42" s="21" customFormat="1" x14ac:dyDescent="0.2">
      <c r="A533" s="33" t="s">
        <v>267</v>
      </c>
      <c r="B533" s="218">
        <v>0</v>
      </c>
      <c r="C533" s="245">
        <f>IF(AND(C$2&lt;=term_tenor,C$2&lt;=analysis_period),B535*term_int_rate/100,0)</f>
        <v>-635080.01065384725</v>
      </c>
      <c r="D533" s="245">
        <f t="shared" ref="D533:AP533" si="289">IF(AND(D$2&lt;=term_tenor,D$2&lt;=analysis_period),C535*term_int_rate/100,0)</f>
        <v>-623570.4620258701</v>
      </c>
      <c r="E533" s="245">
        <f t="shared" si="289"/>
        <v>-610592.06230162713</v>
      </c>
      <c r="F533" s="245">
        <f t="shared" si="289"/>
        <v>-596025.4123370715</v>
      </c>
      <c r="G533" s="245">
        <f t="shared" si="289"/>
        <v>-579742.3405588913</v>
      </c>
      <c r="H533" s="245">
        <f t="shared" si="289"/>
        <v>-561605.27853223006</v>
      </c>
      <c r="I533" s="245">
        <f t="shared" si="289"/>
        <v>-541466.59255909396</v>
      </c>
      <c r="J533" s="245">
        <f t="shared" si="289"/>
        <v>-519167.86822311446</v>
      </c>
      <c r="K533" s="245">
        <f t="shared" si="289"/>
        <v>-494539.14458027453</v>
      </c>
      <c r="L533" s="245">
        <f t="shared" si="289"/>
        <v>-467398.09446401033</v>
      </c>
      <c r="M533" s="245">
        <f t="shared" si="289"/>
        <v>-437549.14712572144</v>
      </c>
      <c r="N533" s="245">
        <f t="shared" si="289"/>
        <v>-404782.54916701908</v>
      </c>
      <c r="O533" s="245">
        <f t="shared" si="289"/>
        <v>-368873.35943680594</v>
      </c>
      <c r="P533" s="245">
        <f t="shared" si="289"/>
        <v>-319427.5906573562</v>
      </c>
      <c r="Q533" s="245">
        <f t="shared" si="289"/>
        <v>-265628.71107202681</v>
      </c>
      <c r="R533" s="245">
        <f t="shared" si="289"/>
        <v>-207149.70524962316</v>
      </c>
      <c r="S533" s="245">
        <f t="shared" si="289"/>
        <v>-143640.10923689767</v>
      </c>
      <c r="T533" s="245">
        <f t="shared" si="289"/>
        <v>-74724.355225958832</v>
      </c>
      <c r="U533" s="245">
        <f t="shared" si="289"/>
        <v>0</v>
      </c>
      <c r="V533" s="245">
        <f t="shared" si="289"/>
        <v>0</v>
      </c>
      <c r="W533" s="245">
        <f t="shared" si="289"/>
        <v>0</v>
      </c>
      <c r="X533" s="245">
        <f t="shared" si="289"/>
        <v>0</v>
      </c>
      <c r="Y533" s="245">
        <f t="shared" si="289"/>
        <v>0</v>
      </c>
      <c r="Z533" s="245">
        <f t="shared" si="289"/>
        <v>0</v>
      </c>
      <c r="AA533" s="245">
        <f t="shared" si="289"/>
        <v>0</v>
      </c>
      <c r="AB533" s="245">
        <f t="shared" si="289"/>
        <v>0</v>
      </c>
      <c r="AC533" s="245">
        <f t="shared" si="289"/>
        <v>0</v>
      </c>
      <c r="AD533" s="245">
        <f t="shared" si="289"/>
        <v>0</v>
      </c>
      <c r="AE533" s="245">
        <f t="shared" si="289"/>
        <v>0</v>
      </c>
      <c r="AF533" s="245">
        <f t="shared" si="289"/>
        <v>0</v>
      </c>
      <c r="AG533" s="245">
        <f t="shared" si="289"/>
        <v>0</v>
      </c>
      <c r="AH533" s="245">
        <f t="shared" si="289"/>
        <v>0</v>
      </c>
      <c r="AI533" s="245">
        <f t="shared" si="289"/>
        <v>0</v>
      </c>
      <c r="AJ533" s="245">
        <f t="shared" si="289"/>
        <v>0</v>
      </c>
      <c r="AK533" s="245">
        <f t="shared" si="289"/>
        <v>0</v>
      </c>
      <c r="AL533" s="245">
        <f t="shared" si="289"/>
        <v>0</v>
      </c>
      <c r="AM533" s="245">
        <f t="shared" si="289"/>
        <v>0</v>
      </c>
      <c r="AN533" s="245">
        <f t="shared" si="289"/>
        <v>0</v>
      </c>
      <c r="AO533" s="245">
        <f t="shared" si="289"/>
        <v>0</v>
      </c>
      <c r="AP533" s="245">
        <f t="shared" si="289"/>
        <v>0</v>
      </c>
    </row>
    <row r="534" spans="1:42" s="21" customFormat="1" x14ac:dyDescent="0.2">
      <c r="A534" s="33" t="s">
        <v>266</v>
      </c>
      <c r="B534" s="222">
        <v>0</v>
      </c>
      <c r="C534" s="245">
        <f>C532-C533</f>
        <v>-164422.1232568149</v>
      </c>
      <c r="D534" s="245">
        <f t="shared" ref="D534:AP534" si="290">D532-D533</f>
        <v>-185405.71034633042</v>
      </c>
      <c r="E534" s="245">
        <f t="shared" si="290"/>
        <v>-208094.99949365028</v>
      </c>
      <c r="F534" s="245">
        <f t="shared" si="290"/>
        <v>-232615.3111168599</v>
      </c>
      <c r="G534" s="245">
        <f t="shared" si="290"/>
        <v>-259100.88609516004</v>
      </c>
      <c r="H534" s="245">
        <f t="shared" si="290"/>
        <v>-287695.51390194462</v>
      </c>
      <c r="I534" s="245">
        <f t="shared" si="290"/>
        <v>-318553.20479970693</v>
      </c>
      <c r="J534" s="245">
        <f t="shared" si="290"/>
        <v>-351838.90918342833</v>
      </c>
      <c r="K534" s="245">
        <f t="shared" si="290"/>
        <v>-387729.28737520362</v>
      </c>
      <c r="L534" s="245">
        <f t="shared" si="290"/>
        <v>-426413.53340412665</v>
      </c>
      <c r="M534" s="245">
        <f t="shared" si="290"/>
        <v>-468094.25655289087</v>
      </c>
      <c r="N534" s="245">
        <f t="shared" si="290"/>
        <v>-512988.42471733061</v>
      </c>
      <c r="O534" s="245">
        <f t="shared" si="290"/>
        <v>-706368.12542071042</v>
      </c>
      <c r="P534" s="245">
        <f t="shared" si="290"/>
        <v>-768555.42264756281</v>
      </c>
      <c r="Q534" s="245">
        <f t="shared" si="290"/>
        <v>-835414.36889148015</v>
      </c>
      <c r="R534" s="245">
        <f t="shared" si="290"/>
        <v>-907279.94303893601</v>
      </c>
      <c r="S534" s="245">
        <f t="shared" si="290"/>
        <v>-984510.77158484026</v>
      </c>
      <c r="T534" s="245">
        <f t="shared" si="290"/>
        <v>-1067490.788942287</v>
      </c>
      <c r="U534" s="245">
        <f t="shared" si="290"/>
        <v>0</v>
      </c>
      <c r="V534" s="245">
        <f t="shared" si="290"/>
        <v>0</v>
      </c>
      <c r="W534" s="245">
        <f t="shared" si="290"/>
        <v>0</v>
      </c>
      <c r="X534" s="245">
        <f t="shared" si="290"/>
        <v>0</v>
      </c>
      <c r="Y534" s="245">
        <f t="shared" si="290"/>
        <v>0</v>
      </c>
      <c r="Z534" s="245">
        <f t="shared" si="290"/>
        <v>0</v>
      </c>
      <c r="AA534" s="245">
        <f t="shared" si="290"/>
        <v>0</v>
      </c>
      <c r="AB534" s="245">
        <f t="shared" si="290"/>
        <v>0</v>
      </c>
      <c r="AC534" s="245">
        <f t="shared" si="290"/>
        <v>0</v>
      </c>
      <c r="AD534" s="245">
        <f t="shared" si="290"/>
        <v>0</v>
      </c>
      <c r="AE534" s="245">
        <f t="shared" si="290"/>
        <v>0</v>
      </c>
      <c r="AF534" s="245">
        <f t="shared" si="290"/>
        <v>0</v>
      </c>
      <c r="AG534" s="245">
        <f t="shared" si="290"/>
        <v>0</v>
      </c>
      <c r="AH534" s="245">
        <f t="shared" si="290"/>
        <v>0</v>
      </c>
      <c r="AI534" s="245">
        <f t="shared" si="290"/>
        <v>0</v>
      </c>
      <c r="AJ534" s="245">
        <f t="shared" si="290"/>
        <v>0</v>
      </c>
      <c r="AK534" s="245">
        <f t="shared" si="290"/>
        <v>0</v>
      </c>
      <c r="AL534" s="245">
        <f t="shared" si="290"/>
        <v>0</v>
      </c>
      <c r="AM534" s="245">
        <f t="shared" si="290"/>
        <v>0</v>
      </c>
      <c r="AN534" s="245">
        <f t="shared" si="290"/>
        <v>0</v>
      </c>
      <c r="AO534" s="245">
        <f t="shared" si="290"/>
        <v>0</v>
      </c>
      <c r="AP534" s="245">
        <f t="shared" si="290"/>
        <v>0</v>
      </c>
    </row>
    <row r="535" spans="1:42" s="21" customFormat="1" x14ac:dyDescent="0.2">
      <c r="A535" s="33" t="s">
        <v>265</v>
      </c>
      <c r="B535" s="250">
        <f>B543</f>
        <v>-9072571.5807692464</v>
      </c>
      <c r="C535" s="250">
        <f t="shared" ref="C535:AP535" si="291">B535-C534</f>
        <v>-8908149.4575124308</v>
      </c>
      <c r="D535" s="250">
        <f t="shared" si="291"/>
        <v>-8722743.7471661009</v>
      </c>
      <c r="E535" s="250">
        <f t="shared" si="291"/>
        <v>-8514648.7476724498</v>
      </c>
      <c r="F535" s="250">
        <f t="shared" si="291"/>
        <v>-8282033.4365555895</v>
      </c>
      <c r="G535" s="250">
        <f t="shared" si="291"/>
        <v>-8022932.5504604299</v>
      </c>
      <c r="H535" s="250">
        <f t="shared" si="291"/>
        <v>-7735237.0365584856</v>
      </c>
      <c r="I535" s="250">
        <f t="shared" si="291"/>
        <v>-7416683.8317587785</v>
      </c>
      <c r="J535" s="250">
        <f t="shared" si="291"/>
        <v>-7064844.9225753499</v>
      </c>
      <c r="K535" s="250">
        <f t="shared" si="291"/>
        <v>-6677115.6352001466</v>
      </c>
      <c r="L535" s="250">
        <f t="shared" si="291"/>
        <v>-6250702.1017960198</v>
      </c>
      <c r="M535" s="250">
        <f t="shared" si="291"/>
        <v>-5782607.8452431289</v>
      </c>
      <c r="N535" s="250">
        <f t="shared" si="291"/>
        <v>-5269619.4205257986</v>
      </c>
      <c r="O535" s="250">
        <f t="shared" si="291"/>
        <v>-4563251.2951050885</v>
      </c>
      <c r="P535" s="250">
        <f t="shared" si="291"/>
        <v>-3794695.8724575257</v>
      </c>
      <c r="Q535" s="250">
        <f t="shared" si="291"/>
        <v>-2959281.5035660453</v>
      </c>
      <c r="R535" s="250">
        <f t="shared" si="291"/>
        <v>-2052001.5605271093</v>
      </c>
      <c r="S535" s="250">
        <f t="shared" si="291"/>
        <v>-1067490.788942269</v>
      </c>
      <c r="T535" s="250">
        <f t="shared" si="291"/>
        <v>1.7927959561347961E-8</v>
      </c>
      <c r="U535" s="250">
        <f t="shared" si="291"/>
        <v>1.7927959561347961E-8</v>
      </c>
      <c r="V535" s="250">
        <f t="shared" si="291"/>
        <v>1.7927959561347961E-8</v>
      </c>
      <c r="W535" s="250">
        <f t="shared" si="291"/>
        <v>1.7927959561347961E-8</v>
      </c>
      <c r="X535" s="250">
        <f t="shared" si="291"/>
        <v>1.7927959561347961E-8</v>
      </c>
      <c r="Y535" s="250">
        <f t="shared" si="291"/>
        <v>1.7927959561347961E-8</v>
      </c>
      <c r="Z535" s="250">
        <f t="shared" si="291"/>
        <v>1.7927959561347961E-8</v>
      </c>
      <c r="AA535" s="250">
        <f t="shared" si="291"/>
        <v>1.7927959561347961E-8</v>
      </c>
      <c r="AB535" s="250">
        <f t="shared" si="291"/>
        <v>1.7927959561347961E-8</v>
      </c>
      <c r="AC535" s="250">
        <f t="shared" si="291"/>
        <v>1.7927959561347961E-8</v>
      </c>
      <c r="AD535" s="250">
        <f t="shared" si="291"/>
        <v>1.7927959561347961E-8</v>
      </c>
      <c r="AE535" s="250">
        <f t="shared" si="291"/>
        <v>1.7927959561347961E-8</v>
      </c>
      <c r="AF535" s="250">
        <f t="shared" si="291"/>
        <v>1.7927959561347961E-8</v>
      </c>
      <c r="AG535" s="250">
        <f t="shared" si="291"/>
        <v>1.7927959561347961E-8</v>
      </c>
      <c r="AH535" s="250">
        <f t="shared" si="291"/>
        <v>1.7927959561347961E-8</v>
      </c>
      <c r="AI535" s="250">
        <f t="shared" si="291"/>
        <v>1.7927959561347961E-8</v>
      </c>
      <c r="AJ535" s="250">
        <f t="shared" si="291"/>
        <v>1.7927959561347961E-8</v>
      </c>
      <c r="AK535" s="250">
        <f t="shared" si="291"/>
        <v>1.7927959561347961E-8</v>
      </c>
      <c r="AL535" s="250">
        <f t="shared" si="291"/>
        <v>1.7927959561347961E-8</v>
      </c>
      <c r="AM535" s="250">
        <f t="shared" si="291"/>
        <v>1.7927959561347961E-8</v>
      </c>
      <c r="AN535" s="250">
        <f t="shared" si="291"/>
        <v>1.7927959561347961E-8</v>
      </c>
      <c r="AO535" s="250">
        <f t="shared" si="291"/>
        <v>1.7927959561347961E-8</v>
      </c>
      <c r="AP535" s="250">
        <f t="shared" si="291"/>
        <v>1.7927959561347961E-8</v>
      </c>
    </row>
    <row r="536" spans="1:42" s="21" customFormat="1" x14ac:dyDescent="0.2">
      <c r="A536" s="12"/>
      <c r="B536" s="250"/>
    </row>
    <row r="537" spans="1:42" s="21" customFormat="1" x14ac:dyDescent="0.2">
      <c r="A537" s="29" t="s">
        <v>264</v>
      </c>
    </row>
    <row r="538" spans="1:42" s="21" customFormat="1" x14ac:dyDescent="0.2">
      <c r="A538" s="33" t="s">
        <v>46</v>
      </c>
      <c r="B538" s="222">
        <v>0</v>
      </c>
      <c r="C538" s="245">
        <f t="shared" ref="C538:AP538" si="292">IF(AND(C$2&lt;=term_tenor,C$2&lt;=analysis_period),C38,0)</f>
        <v>-492650</v>
      </c>
      <c r="D538" s="245">
        <f t="shared" si="292"/>
        <v>-504966.24999999988</v>
      </c>
      <c r="E538" s="245">
        <f t="shared" si="292"/>
        <v>-517590.40625</v>
      </c>
      <c r="F538" s="245">
        <f t="shared" si="292"/>
        <v>-530530.16640624986</v>
      </c>
      <c r="G538" s="245">
        <f t="shared" si="292"/>
        <v>-543793.4205664061</v>
      </c>
      <c r="H538" s="245">
        <f t="shared" si="292"/>
        <v>-557388.25608056621</v>
      </c>
      <c r="I538" s="245">
        <f t="shared" si="292"/>
        <v>-571322.96248258033</v>
      </c>
      <c r="J538" s="245">
        <f t="shared" si="292"/>
        <v>-585606.03654464486</v>
      </c>
      <c r="K538" s="245">
        <f t="shared" si="292"/>
        <v>-600246.18745826092</v>
      </c>
      <c r="L538" s="245">
        <f t="shared" si="292"/>
        <v>-615252.34214471735</v>
      </c>
      <c r="M538" s="245">
        <f t="shared" si="292"/>
        <v>-630633.65069833538</v>
      </c>
      <c r="N538" s="245">
        <f t="shared" si="292"/>
        <v>-646399.49196579377</v>
      </c>
      <c r="O538" s="245">
        <f t="shared" si="292"/>
        <v>-662559.47926493851</v>
      </c>
      <c r="P538" s="245">
        <f t="shared" si="292"/>
        <v>-679123.46624656185</v>
      </c>
      <c r="Q538" s="245">
        <f t="shared" si="292"/>
        <v>-696101.55290272599</v>
      </c>
      <c r="R538" s="245">
        <f t="shared" si="292"/>
        <v>-713504.09172529413</v>
      </c>
      <c r="S538" s="245">
        <f t="shared" si="292"/>
        <v>-731341.69401842647</v>
      </c>
      <c r="T538" s="245">
        <f t="shared" si="292"/>
        <v>-749625.23636888689</v>
      </c>
      <c r="U538" s="245">
        <f t="shared" si="292"/>
        <v>0</v>
      </c>
      <c r="V538" s="245">
        <f t="shared" si="292"/>
        <v>0</v>
      </c>
      <c r="W538" s="245">
        <f t="shared" si="292"/>
        <v>0</v>
      </c>
      <c r="X538" s="245">
        <f t="shared" si="292"/>
        <v>0</v>
      </c>
      <c r="Y538" s="245">
        <f t="shared" si="292"/>
        <v>0</v>
      </c>
      <c r="Z538" s="245">
        <f t="shared" si="292"/>
        <v>0</v>
      </c>
      <c r="AA538" s="245">
        <f t="shared" si="292"/>
        <v>0</v>
      </c>
      <c r="AB538" s="245">
        <f t="shared" si="292"/>
        <v>0</v>
      </c>
      <c r="AC538" s="245">
        <f t="shared" si="292"/>
        <v>0</v>
      </c>
      <c r="AD538" s="245">
        <f t="shared" si="292"/>
        <v>0</v>
      </c>
      <c r="AE538" s="245">
        <f t="shared" si="292"/>
        <v>0</v>
      </c>
      <c r="AF538" s="245">
        <f t="shared" si="292"/>
        <v>0</v>
      </c>
      <c r="AG538" s="245">
        <f t="shared" si="292"/>
        <v>0</v>
      </c>
      <c r="AH538" s="245">
        <f t="shared" si="292"/>
        <v>0</v>
      </c>
      <c r="AI538" s="245">
        <f t="shared" si="292"/>
        <v>0</v>
      </c>
      <c r="AJ538" s="245">
        <f t="shared" si="292"/>
        <v>0</v>
      </c>
      <c r="AK538" s="245">
        <f t="shared" si="292"/>
        <v>0</v>
      </c>
      <c r="AL538" s="245">
        <f t="shared" si="292"/>
        <v>0</v>
      </c>
      <c r="AM538" s="245">
        <f t="shared" si="292"/>
        <v>0</v>
      </c>
      <c r="AN538" s="245">
        <f t="shared" si="292"/>
        <v>0</v>
      </c>
      <c r="AO538" s="245">
        <f t="shared" si="292"/>
        <v>0</v>
      </c>
      <c r="AP538" s="245">
        <f t="shared" si="292"/>
        <v>0</v>
      </c>
    </row>
    <row r="539" spans="1:42" s="21" customFormat="1" x14ac:dyDescent="0.2">
      <c r="A539" s="50" t="s">
        <v>148</v>
      </c>
      <c r="B539" s="222">
        <v>0</v>
      </c>
      <c r="C539" s="218">
        <f t="shared" ref="C539:AP539" si="293">IF(AND(C$2&lt;=term_tenor,C$2&lt;=analysis_period),-C560-C592-C624,0)</f>
        <v>-546702.7740838608</v>
      </c>
      <c r="D539" s="218">
        <f t="shared" si="293"/>
        <v>-546702.7740838608</v>
      </c>
      <c r="E539" s="218">
        <f t="shared" si="293"/>
        <v>-546702.7740838608</v>
      </c>
      <c r="F539" s="218">
        <f t="shared" si="293"/>
        <v>-546702.7740838608</v>
      </c>
      <c r="G539" s="218">
        <f t="shared" si="293"/>
        <v>-546702.7740838608</v>
      </c>
      <c r="H539" s="218">
        <f t="shared" si="293"/>
        <v>-546702.7740838608</v>
      </c>
      <c r="I539" s="218">
        <f t="shared" si="293"/>
        <v>-546702.7740838608</v>
      </c>
      <c r="J539" s="218">
        <f t="shared" si="293"/>
        <v>-546702.7740838608</v>
      </c>
      <c r="K539" s="218">
        <f t="shared" si="293"/>
        <v>-546702.7740838608</v>
      </c>
      <c r="L539" s="218">
        <f t="shared" si="293"/>
        <v>-546702.7740838608</v>
      </c>
      <c r="M539" s="218">
        <f t="shared" si="293"/>
        <v>-546702.7740838608</v>
      </c>
      <c r="N539" s="218">
        <f t="shared" si="293"/>
        <v>-546702.7740838608</v>
      </c>
      <c r="O539" s="218">
        <f t="shared" si="293"/>
        <v>-735254.45104983298</v>
      </c>
      <c r="P539" s="218">
        <f t="shared" si="293"/>
        <v>-735254.45104983298</v>
      </c>
      <c r="Q539" s="218">
        <f t="shared" si="293"/>
        <v>-735254.45104983298</v>
      </c>
      <c r="R539" s="218">
        <f t="shared" si="293"/>
        <v>-735254.45104983298</v>
      </c>
      <c r="S539" s="218">
        <f t="shared" si="293"/>
        <v>-735254.45104983298</v>
      </c>
      <c r="T539" s="218">
        <f t="shared" si="293"/>
        <v>-735254.45104983298</v>
      </c>
      <c r="U539" s="218">
        <f t="shared" si="293"/>
        <v>0</v>
      </c>
      <c r="V539" s="218">
        <f t="shared" si="293"/>
        <v>0</v>
      </c>
      <c r="W539" s="218">
        <f t="shared" si="293"/>
        <v>0</v>
      </c>
      <c r="X539" s="218">
        <f t="shared" si="293"/>
        <v>0</v>
      </c>
      <c r="Y539" s="218">
        <f t="shared" si="293"/>
        <v>0</v>
      </c>
      <c r="Z539" s="218">
        <f t="shared" si="293"/>
        <v>0</v>
      </c>
      <c r="AA539" s="218">
        <f t="shared" si="293"/>
        <v>0</v>
      </c>
      <c r="AB539" s="218">
        <f t="shared" si="293"/>
        <v>0</v>
      </c>
      <c r="AC539" s="218">
        <f t="shared" si="293"/>
        <v>0</v>
      </c>
      <c r="AD539" s="218">
        <f t="shared" si="293"/>
        <v>0</v>
      </c>
      <c r="AE539" s="218">
        <f t="shared" si="293"/>
        <v>0</v>
      </c>
      <c r="AF539" s="218">
        <f t="shared" si="293"/>
        <v>0</v>
      </c>
      <c r="AG539" s="218">
        <f t="shared" si="293"/>
        <v>0</v>
      </c>
      <c r="AH539" s="218">
        <f t="shared" si="293"/>
        <v>0</v>
      </c>
      <c r="AI539" s="218">
        <f t="shared" si="293"/>
        <v>0</v>
      </c>
      <c r="AJ539" s="218">
        <f t="shared" si="293"/>
        <v>0</v>
      </c>
      <c r="AK539" s="218">
        <f t="shared" si="293"/>
        <v>0</v>
      </c>
      <c r="AL539" s="218">
        <f t="shared" si="293"/>
        <v>0</v>
      </c>
      <c r="AM539" s="218">
        <f t="shared" si="293"/>
        <v>0</v>
      </c>
      <c r="AN539" s="218">
        <f t="shared" si="293"/>
        <v>0</v>
      </c>
      <c r="AO539" s="218">
        <f t="shared" si="293"/>
        <v>0</v>
      </c>
      <c r="AP539" s="218">
        <f t="shared" si="293"/>
        <v>0</v>
      </c>
    </row>
    <row r="540" spans="1:42" s="21" customFormat="1" x14ac:dyDescent="0.2">
      <c r="A540" s="33" t="s">
        <v>44</v>
      </c>
      <c r="B540" s="303">
        <v>0</v>
      </c>
      <c r="C540" s="251">
        <f>SUM(C538:C539)</f>
        <v>-1039352.7740838608</v>
      </c>
      <c r="D540" s="251">
        <f t="shared" ref="D540:AP540" si="294">SUM(D538:D539)</f>
        <v>-1051669.0240838607</v>
      </c>
      <c r="E540" s="251">
        <f t="shared" si="294"/>
        <v>-1064293.1803338607</v>
      </c>
      <c r="F540" s="251">
        <f t="shared" si="294"/>
        <v>-1077232.9404901108</v>
      </c>
      <c r="G540" s="251">
        <f t="shared" si="294"/>
        <v>-1090496.1946502668</v>
      </c>
      <c r="H540" s="251">
        <f t="shared" si="294"/>
        <v>-1104091.0301644271</v>
      </c>
      <c r="I540" s="251">
        <f t="shared" si="294"/>
        <v>-1118025.7365664411</v>
      </c>
      <c r="J540" s="251">
        <f t="shared" si="294"/>
        <v>-1132308.8106285057</v>
      </c>
      <c r="K540" s="251">
        <f t="shared" si="294"/>
        <v>-1146948.9615421216</v>
      </c>
      <c r="L540" s="251">
        <f t="shared" si="294"/>
        <v>-1161955.1162285781</v>
      </c>
      <c r="M540" s="251">
        <f t="shared" si="294"/>
        <v>-1177336.4247821961</v>
      </c>
      <c r="N540" s="251">
        <f t="shared" si="294"/>
        <v>-1193102.2660496547</v>
      </c>
      <c r="O540" s="251">
        <f t="shared" si="294"/>
        <v>-1397813.9303147714</v>
      </c>
      <c r="P540" s="251">
        <f t="shared" si="294"/>
        <v>-1414377.9172963947</v>
      </c>
      <c r="Q540" s="251">
        <f t="shared" si="294"/>
        <v>-1431356.0039525591</v>
      </c>
      <c r="R540" s="251">
        <f t="shared" si="294"/>
        <v>-1448758.5427751271</v>
      </c>
      <c r="S540" s="251">
        <f t="shared" si="294"/>
        <v>-1466596.1450682594</v>
      </c>
      <c r="T540" s="251">
        <f t="shared" si="294"/>
        <v>-1484879.6874187198</v>
      </c>
      <c r="U540" s="251">
        <f t="shared" si="294"/>
        <v>0</v>
      </c>
      <c r="V540" s="251">
        <f t="shared" si="294"/>
        <v>0</v>
      </c>
      <c r="W540" s="251">
        <f t="shared" si="294"/>
        <v>0</v>
      </c>
      <c r="X540" s="251">
        <f t="shared" si="294"/>
        <v>0</v>
      </c>
      <c r="Y540" s="251">
        <f t="shared" si="294"/>
        <v>0</v>
      </c>
      <c r="Z540" s="251">
        <f t="shared" si="294"/>
        <v>0</v>
      </c>
      <c r="AA540" s="251">
        <f t="shared" si="294"/>
        <v>0</v>
      </c>
      <c r="AB540" s="251">
        <f t="shared" si="294"/>
        <v>0</v>
      </c>
      <c r="AC540" s="251">
        <f t="shared" si="294"/>
        <v>0</v>
      </c>
      <c r="AD540" s="251">
        <f t="shared" si="294"/>
        <v>0</v>
      </c>
      <c r="AE540" s="251">
        <f t="shared" si="294"/>
        <v>0</v>
      </c>
      <c r="AF540" s="251">
        <f t="shared" si="294"/>
        <v>0</v>
      </c>
      <c r="AG540" s="251">
        <f t="shared" si="294"/>
        <v>0</v>
      </c>
      <c r="AH540" s="251">
        <f t="shared" si="294"/>
        <v>0</v>
      </c>
      <c r="AI540" s="251">
        <f t="shared" si="294"/>
        <v>0</v>
      </c>
      <c r="AJ540" s="251">
        <f t="shared" si="294"/>
        <v>0</v>
      </c>
      <c r="AK540" s="251">
        <f t="shared" si="294"/>
        <v>0</v>
      </c>
      <c r="AL540" s="251">
        <f t="shared" si="294"/>
        <v>0</v>
      </c>
      <c r="AM540" s="251">
        <f t="shared" si="294"/>
        <v>0</v>
      </c>
      <c r="AN540" s="251">
        <f t="shared" si="294"/>
        <v>0</v>
      </c>
      <c r="AO540" s="251">
        <f t="shared" si="294"/>
        <v>0</v>
      </c>
      <c r="AP540" s="251">
        <f t="shared" si="294"/>
        <v>0</v>
      </c>
    </row>
    <row r="541" spans="1:42" s="21" customFormat="1" x14ac:dyDescent="0.2">
      <c r="A541" s="33" t="s">
        <v>268</v>
      </c>
      <c r="B541" s="301"/>
      <c r="C541" s="204">
        <f t="shared" ref="C541" si="295">IF(AND(C$2&lt;=term_tenor,C$2&lt;=analysis_period),1/(1+term_int_rate/100),0)</f>
        <v>0.93457943925233644</v>
      </c>
      <c r="D541" s="204">
        <f t="shared" ref="D541:AP541" si="296">IF(AND(D$2&lt;=term_tenor,D$2&lt;=analysis_period),C541/(1+term_int_rate/100),0)</f>
        <v>0.87343872827321156</v>
      </c>
      <c r="E541" s="204">
        <f t="shared" si="296"/>
        <v>0.81629787689085187</v>
      </c>
      <c r="F541" s="204">
        <f t="shared" si="296"/>
        <v>0.76289521204752508</v>
      </c>
      <c r="G541" s="204">
        <f t="shared" si="296"/>
        <v>0.71298617948366827</v>
      </c>
      <c r="H541" s="204">
        <f t="shared" si="296"/>
        <v>0.66634222381651231</v>
      </c>
      <c r="I541" s="204">
        <f t="shared" si="296"/>
        <v>0.62274974188459087</v>
      </c>
      <c r="J541" s="204">
        <f t="shared" si="296"/>
        <v>0.58200910456503818</v>
      </c>
      <c r="K541" s="204">
        <f t="shared" si="296"/>
        <v>0.54393374258414784</v>
      </c>
      <c r="L541" s="204">
        <f t="shared" si="296"/>
        <v>0.50834929213471758</v>
      </c>
      <c r="M541" s="204">
        <f t="shared" si="296"/>
        <v>0.4750927963875865</v>
      </c>
      <c r="N541" s="204">
        <f t="shared" si="296"/>
        <v>0.444011959240735</v>
      </c>
      <c r="O541" s="204">
        <f t="shared" si="296"/>
        <v>0.41496444788853737</v>
      </c>
      <c r="P541" s="204">
        <f t="shared" si="296"/>
        <v>0.38781724101732462</v>
      </c>
      <c r="Q541" s="204">
        <f t="shared" si="296"/>
        <v>0.36244601964235945</v>
      </c>
      <c r="R541" s="204">
        <f t="shared" si="296"/>
        <v>0.33873459779659759</v>
      </c>
      <c r="S541" s="204">
        <f t="shared" si="296"/>
        <v>0.3165743904641099</v>
      </c>
      <c r="T541" s="204">
        <f t="shared" si="296"/>
        <v>0.29586391632159803</v>
      </c>
      <c r="U541" s="204">
        <f t="shared" si="296"/>
        <v>0</v>
      </c>
      <c r="V541" s="204">
        <f t="shared" si="296"/>
        <v>0</v>
      </c>
      <c r="W541" s="204">
        <f t="shared" si="296"/>
        <v>0</v>
      </c>
      <c r="X541" s="204">
        <f t="shared" si="296"/>
        <v>0</v>
      </c>
      <c r="Y541" s="204">
        <f t="shared" si="296"/>
        <v>0</v>
      </c>
      <c r="Z541" s="204">
        <f t="shared" si="296"/>
        <v>0</v>
      </c>
      <c r="AA541" s="204">
        <f t="shared" si="296"/>
        <v>0</v>
      </c>
      <c r="AB541" s="204">
        <f t="shared" si="296"/>
        <v>0</v>
      </c>
      <c r="AC541" s="204">
        <f t="shared" si="296"/>
        <v>0</v>
      </c>
      <c r="AD541" s="204">
        <f t="shared" si="296"/>
        <v>0</v>
      </c>
      <c r="AE541" s="204">
        <f t="shared" si="296"/>
        <v>0</v>
      </c>
      <c r="AF541" s="204">
        <f t="shared" si="296"/>
        <v>0</v>
      </c>
      <c r="AG541" s="204">
        <f t="shared" si="296"/>
        <v>0</v>
      </c>
      <c r="AH541" s="204">
        <f t="shared" si="296"/>
        <v>0</v>
      </c>
      <c r="AI541" s="204">
        <f t="shared" si="296"/>
        <v>0</v>
      </c>
      <c r="AJ541" s="204">
        <f t="shared" si="296"/>
        <v>0</v>
      </c>
      <c r="AK541" s="204">
        <f t="shared" si="296"/>
        <v>0</v>
      </c>
      <c r="AL541" s="204">
        <f t="shared" si="296"/>
        <v>0</v>
      </c>
      <c r="AM541" s="204">
        <f t="shared" si="296"/>
        <v>0</v>
      </c>
      <c r="AN541" s="204">
        <f t="shared" si="296"/>
        <v>0</v>
      </c>
      <c r="AO541" s="204">
        <f t="shared" si="296"/>
        <v>0</v>
      </c>
      <c r="AP541" s="204">
        <f t="shared" si="296"/>
        <v>0</v>
      </c>
    </row>
    <row r="542" spans="1:42" s="21" customFormat="1" x14ac:dyDescent="0.2">
      <c r="A542" s="33" t="s">
        <v>128</v>
      </c>
      <c r="B542" s="301">
        <v>0</v>
      </c>
      <c r="C542" s="250">
        <f>C540*C541</f>
        <v>-971357.73278865498</v>
      </c>
      <c r="D542" s="250">
        <f t="shared" ref="D542:AP542" si="297">D540*D541</f>
        <v>-918568.45496013679</v>
      </c>
      <c r="E542" s="250">
        <f t="shared" si="297"/>
        <v>-868780.26349594304</v>
      </c>
      <c r="F542" s="250">
        <f t="shared" si="297"/>
        <v>-821815.85255978198</v>
      </c>
      <c r="G542" s="250">
        <f t="shared" si="297"/>
        <v>-777508.71556517237</v>
      </c>
      <c r="H542" s="250">
        <f t="shared" si="297"/>
        <v>-735702.47233562835</v>
      </c>
      <c r="I542" s="250">
        <f t="shared" si="297"/>
        <v>-696250.23886708077</v>
      </c>
      <c r="J542" s="250">
        <f t="shared" si="297"/>
        <v>-659014.03696499998</v>
      </c>
      <c r="K542" s="250">
        <f t="shared" si="297"/>
        <v>-623864.241204608</v>
      </c>
      <c r="L542" s="250">
        <f t="shared" si="297"/>
        <v>-590679.06082711124</v>
      </c>
      <c r="M542" s="250">
        <f t="shared" si="297"/>
        <v>-559344.05433873693</v>
      </c>
      <c r="N542" s="250">
        <f t="shared" si="297"/>
        <v>-529751.67472326779</v>
      </c>
      <c r="O542" s="250">
        <f t="shared" si="297"/>
        <v>-580043.08584397554</v>
      </c>
      <c r="P542" s="250">
        <f t="shared" si="297"/>
        <v>-548520.14164171752</v>
      </c>
      <c r="Q542" s="250">
        <f t="shared" si="297"/>
        <v>-518789.28632379835</v>
      </c>
      <c r="R542" s="250">
        <f t="shared" si="297"/>
        <v>-490744.64229131752</v>
      </c>
      <c r="S542" s="250">
        <f t="shared" si="297"/>
        <v>-464286.78068199754</v>
      </c>
      <c r="T542" s="250">
        <f t="shared" si="297"/>
        <v>-439322.31958609272</v>
      </c>
      <c r="U542" s="250">
        <f t="shared" si="297"/>
        <v>0</v>
      </c>
      <c r="V542" s="250">
        <f t="shared" si="297"/>
        <v>0</v>
      </c>
      <c r="W542" s="250">
        <f t="shared" si="297"/>
        <v>0</v>
      </c>
      <c r="X542" s="250">
        <f t="shared" si="297"/>
        <v>0</v>
      </c>
      <c r="Y542" s="250">
        <f t="shared" si="297"/>
        <v>0</v>
      </c>
      <c r="Z542" s="250">
        <f t="shared" si="297"/>
        <v>0</v>
      </c>
      <c r="AA542" s="250">
        <f t="shared" si="297"/>
        <v>0</v>
      </c>
      <c r="AB542" s="250">
        <f t="shared" si="297"/>
        <v>0</v>
      </c>
      <c r="AC542" s="250">
        <f t="shared" si="297"/>
        <v>0</v>
      </c>
      <c r="AD542" s="250">
        <f t="shared" si="297"/>
        <v>0</v>
      </c>
      <c r="AE542" s="250">
        <f t="shared" si="297"/>
        <v>0</v>
      </c>
      <c r="AF542" s="250">
        <f t="shared" si="297"/>
        <v>0</v>
      </c>
      <c r="AG542" s="250">
        <f t="shared" si="297"/>
        <v>0</v>
      </c>
      <c r="AH542" s="250">
        <f t="shared" si="297"/>
        <v>0</v>
      </c>
      <c r="AI542" s="250">
        <f t="shared" si="297"/>
        <v>0</v>
      </c>
      <c r="AJ542" s="250">
        <f t="shared" si="297"/>
        <v>0</v>
      </c>
      <c r="AK542" s="250">
        <f t="shared" si="297"/>
        <v>0</v>
      </c>
      <c r="AL542" s="250">
        <f t="shared" si="297"/>
        <v>0</v>
      </c>
      <c r="AM542" s="250">
        <f t="shared" si="297"/>
        <v>0</v>
      </c>
      <c r="AN542" s="250">
        <f t="shared" si="297"/>
        <v>0</v>
      </c>
      <c r="AO542" s="250">
        <f t="shared" si="297"/>
        <v>0</v>
      </c>
      <c r="AP542" s="250">
        <f t="shared" si="297"/>
        <v>0</v>
      </c>
    </row>
    <row r="543" spans="1:42" s="21" customFormat="1" x14ac:dyDescent="0.2">
      <c r="A543" s="33" t="s">
        <v>129</v>
      </c>
      <c r="B543" s="252">
        <f>SUM(C543:AP543)</f>
        <v>-9072571.5807692464</v>
      </c>
      <c r="C543" s="250">
        <f>IF(AND(C$2&lt;=term_tenor,C$2&lt;=analysis_period),C542/dscr,0)</f>
        <v>-747198.25599127298</v>
      </c>
      <c r="D543" s="250">
        <f t="shared" ref="D543:AP543" si="298">IF(AND(D$2&lt;=term_tenor,D$2&lt;=analysis_period),D542/dscr,0)</f>
        <v>-706591.1192001052</v>
      </c>
      <c r="E543" s="250">
        <f t="shared" si="298"/>
        <v>-668292.51038149465</v>
      </c>
      <c r="F543" s="250">
        <f t="shared" si="298"/>
        <v>-632166.04043060145</v>
      </c>
      <c r="G543" s="250">
        <f t="shared" si="298"/>
        <v>-598083.62735782494</v>
      </c>
      <c r="H543" s="250">
        <f t="shared" si="298"/>
        <v>-565924.9787197141</v>
      </c>
      <c r="I543" s="250">
        <f t="shared" si="298"/>
        <v>-535577.10682083131</v>
      </c>
      <c r="J543" s="250">
        <f t="shared" si="298"/>
        <v>-506933.87458846148</v>
      </c>
      <c r="K543" s="250">
        <f t="shared" si="298"/>
        <v>-479895.57015739073</v>
      </c>
      <c r="L543" s="250">
        <f t="shared" si="298"/>
        <v>-454368.50832854712</v>
      </c>
      <c r="M543" s="250">
        <f t="shared" si="298"/>
        <v>-430264.65718364378</v>
      </c>
      <c r="N543" s="250">
        <f t="shared" si="298"/>
        <v>-407501.28824866749</v>
      </c>
      <c r="O543" s="250">
        <f t="shared" si="298"/>
        <v>-446186.98911075038</v>
      </c>
      <c r="P543" s="250">
        <f t="shared" si="298"/>
        <v>-421938.57049362885</v>
      </c>
      <c r="Q543" s="250">
        <f t="shared" si="298"/>
        <v>-399068.68178753718</v>
      </c>
      <c r="R543" s="250">
        <f t="shared" si="298"/>
        <v>-377495.87868562882</v>
      </c>
      <c r="S543" s="250">
        <f t="shared" si="298"/>
        <v>-357143.6774476904</v>
      </c>
      <c r="T543" s="250">
        <f t="shared" si="298"/>
        <v>-337940.24583545595</v>
      </c>
      <c r="U543" s="250">
        <f t="shared" si="298"/>
        <v>0</v>
      </c>
      <c r="V543" s="250">
        <f t="shared" si="298"/>
        <v>0</v>
      </c>
      <c r="W543" s="250">
        <f t="shared" si="298"/>
        <v>0</v>
      </c>
      <c r="X543" s="250">
        <f t="shared" si="298"/>
        <v>0</v>
      </c>
      <c r="Y543" s="250">
        <f t="shared" si="298"/>
        <v>0</v>
      </c>
      <c r="Z543" s="250">
        <f t="shared" si="298"/>
        <v>0</v>
      </c>
      <c r="AA543" s="250">
        <f t="shared" si="298"/>
        <v>0</v>
      </c>
      <c r="AB543" s="250">
        <f t="shared" si="298"/>
        <v>0</v>
      </c>
      <c r="AC543" s="250">
        <f t="shared" si="298"/>
        <v>0</v>
      </c>
      <c r="AD543" s="250">
        <f t="shared" si="298"/>
        <v>0</v>
      </c>
      <c r="AE543" s="250">
        <f t="shared" si="298"/>
        <v>0</v>
      </c>
      <c r="AF543" s="250">
        <f t="shared" si="298"/>
        <v>0</v>
      </c>
      <c r="AG543" s="250">
        <f t="shared" si="298"/>
        <v>0</v>
      </c>
      <c r="AH543" s="250">
        <f t="shared" si="298"/>
        <v>0</v>
      </c>
      <c r="AI543" s="250">
        <f t="shared" si="298"/>
        <v>0</v>
      </c>
      <c r="AJ543" s="250">
        <f t="shared" si="298"/>
        <v>0</v>
      </c>
      <c r="AK543" s="250">
        <f t="shared" si="298"/>
        <v>0</v>
      </c>
      <c r="AL543" s="250">
        <f t="shared" si="298"/>
        <v>0</v>
      </c>
      <c r="AM543" s="250">
        <f t="shared" si="298"/>
        <v>0</v>
      </c>
      <c r="AN543" s="250">
        <f t="shared" si="298"/>
        <v>0</v>
      </c>
      <c r="AO543" s="250">
        <f t="shared" si="298"/>
        <v>0</v>
      </c>
      <c r="AP543" s="250">
        <f t="shared" si="298"/>
        <v>0</v>
      </c>
    </row>
    <row r="544" spans="1:42" x14ac:dyDescent="0.2">
      <c r="A544" s="37"/>
      <c r="B544" s="302"/>
    </row>
    <row r="545" spans="1:42" x14ac:dyDescent="0.2">
      <c r="A545" s="154" t="s">
        <v>98</v>
      </c>
      <c r="B545" s="358"/>
      <c r="C545" s="358"/>
      <c r="D545" s="358"/>
      <c r="E545" s="358"/>
      <c r="F545" s="358"/>
      <c r="G545" s="358"/>
      <c r="H545" s="358"/>
      <c r="I545" s="358"/>
      <c r="J545" s="358"/>
      <c r="K545" s="358"/>
      <c r="L545" s="358"/>
      <c r="M545" s="358"/>
      <c r="N545" s="358"/>
      <c r="O545" s="358"/>
      <c r="P545" s="358"/>
      <c r="Q545" s="358"/>
      <c r="R545" s="358"/>
      <c r="S545" s="358"/>
      <c r="T545" s="358"/>
      <c r="U545" s="358"/>
      <c r="V545" s="358"/>
      <c r="W545" s="358"/>
      <c r="X545" s="358"/>
      <c r="Y545" s="358"/>
      <c r="Z545" s="358"/>
      <c r="AA545" s="358"/>
      <c r="AB545" s="358"/>
      <c r="AC545" s="358"/>
      <c r="AD545" s="358"/>
      <c r="AE545" s="358"/>
      <c r="AF545" s="358"/>
      <c r="AG545" s="358"/>
      <c r="AH545" s="358"/>
      <c r="AI545" s="358"/>
      <c r="AJ545" s="358"/>
      <c r="AK545" s="358"/>
      <c r="AL545" s="358"/>
      <c r="AM545" s="358"/>
      <c r="AN545" s="358"/>
      <c r="AO545" s="358"/>
      <c r="AP545" s="358"/>
    </row>
    <row r="546" spans="1:42" x14ac:dyDescent="0.2">
      <c r="A546" s="31" t="s">
        <v>34</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36</v>
      </c>
      <c r="B547" s="276">
        <v>0</v>
      </c>
      <c r="C547" s="276">
        <f>B550</f>
        <v>-399751.06695533107</v>
      </c>
      <c r="D547" s="276">
        <f t="shared" ref="D547:AP547" si="299">C550</f>
        <v>-404488.08618610026</v>
      </c>
      <c r="E547" s="276">
        <f t="shared" si="299"/>
        <v>-409343.5308976387</v>
      </c>
      <c r="F547" s="276">
        <f t="shared" si="299"/>
        <v>-414320.3617269657</v>
      </c>
      <c r="G547" s="276">
        <f t="shared" si="299"/>
        <v>-419421.61332702567</v>
      </c>
      <c r="H547" s="276">
        <f t="shared" si="299"/>
        <v>-424650.39621708734</v>
      </c>
      <c r="I547" s="276">
        <f t="shared" si="299"/>
        <v>-430009.89867940044</v>
      </c>
      <c r="J547" s="276">
        <f t="shared" si="299"/>
        <v>-435503.3887032714</v>
      </c>
      <c r="K547" s="276">
        <f t="shared" si="299"/>
        <v>-441134.21597773908</v>
      </c>
      <c r="L547" s="276">
        <f t="shared" si="299"/>
        <v>-446905.81393406849</v>
      </c>
      <c r="M547" s="276">
        <f t="shared" si="299"/>
        <v>-452821.70183930616</v>
      </c>
      <c r="N547" s="276">
        <f t="shared" si="299"/>
        <v>-458885.48694217484</v>
      </c>
      <c r="O547" s="276">
        <f t="shared" si="299"/>
        <v>-537620.74242875818</v>
      </c>
      <c r="P547" s="276">
        <f t="shared" si="299"/>
        <v>-543991.5066524595</v>
      </c>
      <c r="Q547" s="276">
        <f t="shared" si="299"/>
        <v>-550521.53998175345</v>
      </c>
      <c r="R547" s="276">
        <f t="shared" si="299"/>
        <v>-557214.82414427958</v>
      </c>
      <c r="S547" s="276">
        <f t="shared" si="299"/>
        <v>-564075.44041086896</v>
      </c>
      <c r="T547" s="276">
        <f t="shared" si="299"/>
        <v>-571107.57208412292</v>
      </c>
      <c r="U547" s="276">
        <f t="shared" si="299"/>
        <v>0</v>
      </c>
      <c r="V547" s="276">
        <f t="shared" si="299"/>
        <v>0</v>
      </c>
      <c r="W547" s="276">
        <f t="shared" si="299"/>
        <v>0</v>
      </c>
      <c r="X547" s="276">
        <f t="shared" si="299"/>
        <v>0</v>
      </c>
      <c r="Y547" s="276">
        <f t="shared" si="299"/>
        <v>0</v>
      </c>
      <c r="Z547" s="276">
        <f t="shared" si="299"/>
        <v>0</v>
      </c>
      <c r="AA547" s="276">
        <f t="shared" si="299"/>
        <v>0</v>
      </c>
      <c r="AB547" s="276">
        <f t="shared" si="299"/>
        <v>0</v>
      </c>
      <c r="AC547" s="276">
        <f t="shared" si="299"/>
        <v>0</v>
      </c>
      <c r="AD547" s="276">
        <f t="shared" si="299"/>
        <v>0</v>
      </c>
      <c r="AE547" s="276">
        <f t="shared" si="299"/>
        <v>0</v>
      </c>
      <c r="AF547" s="276">
        <f t="shared" si="299"/>
        <v>0</v>
      </c>
      <c r="AG547" s="276">
        <f t="shared" si="299"/>
        <v>0</v>
      </c>
      <c r="AH547" s="276">
        <f t="shared" si="299"/>
        <v>0</v>
      </c>
      <c r="AI547" s="276">
        <f t="shared" si="299"/>
        <v>0</v>
      </c>
      <c r="AJ547" s="276">
        <f t="shared" si="299"/>
        <v>0</v>
      </c>
      <c r="AK547" s="276">
        <f t="shared" si="299"/>
        <v>0</v>
      </c>
      <c r="AL547" s="276">
        <f t="shared" si="299"/>
        <v>0</v>
      </c>
      <c r="AM547" s="276">
        <f t="shared" si="299"/>
        <v>0</v>
      </c>
      <c r="AN547" s="276">
        <f t="shared" si="299"/>
        <v>0</v>
      </c>
      <c r="AO547" s="276">
        <f t="shared" si="299"/>
        <v>0</v>
      </c>
      <c r="AP547" s="276">
        <f t="shared" si="299"/>
        <v>0</v>
      </c>
    </row>
    <row r="548" spans="1:42" x14ac:dyDescent="0.2">
      <c r="A548" s="7" t="s">
        <v>37</v>
      </c>
      <c r="B548" s="276">
        <f t="shared" ref="B548:AP548" si="300">IF(B2&lt;MIN(term_tenor,analysis_period),B550-B547,0)</f>
        <v>-399751.06695533107</v>
      </c>
      <c r="C548" s="276">
        <f t="shared" si="300"/>
        <v>-4737.0192307691905</v>
      </c>
      <c r="D548" s="276">
        <f t="shared" si="300"/>
        <v>-4855.4447115384392</v>
      </c>
      <c r="E548" s="276">
        <f t="shared" si="300"/>
        <v>-4976.8308293269947</v>
      </c>
      <c r="F548" s="276">
        <f t="shared" si="300"/>
        <v>-5101.2516000599717</v>
      </c>
      <c r="G548" s="276">
        <f t="shared" si="300"/>
        <v>-5228.7828900616732</v>
      </c>
      <c r="H548" s="276">
        <f t="shared" si="300"/>
        <v>-5359.502462313103</v>
      </c>
      <c r="I548" s="276">
        <f t="shared" si="300"/>
        <v>-5493.4900238709524</v>
      </c>
      <c r="J548" s="276">
        <f t="shared" si="300"/>
        <v>-5630.8272744676797</v>
      </c>
      <c r="K548" s="276">
        <f t="shared" si="300"/>
        <v>-5771.5979563294095</v>
      </c>
      <c r="L548" s="276">
        <f t="shared" si="300"/>
        <v>-5915.8879052376724</v>
      </c>
      <c r="M548" s="276">
        <f t="shared" si="300"/>
        <v>-6063.7851028686855</v>
      </c>
      <c r="N548" s="276">
        <f t="shared" si="300"/>
        <v>-78735.255486583337</v>
      </c>
      <c r="O548" s="276">
        <f t="shared" si="300"/>
        <v>-6370.7642237013206</v>
      </c>
      <c r="P548" s="276">
        <f t="shared" si="300"/>
        <v>-6530.0333292939467</v>
      </c>
      <c r="Q548" s="276">
        <f t="shared" si="300"/>
        <v>-6693.2841625261353</v>
      </c>
      <c r="R548" s="276">
        <f t="shared" si="300"/>
        <v>-6860.6162665893789</v>
      </c>
      <c r="S548" s="276">
        <f t="shared" si="300"/>
        <v>-7032.1316732539563</v>
      </c>
      <c r="T548" s="276">
        <f t="shared" si="300"/>
        <v>0</v>
      </c>
      <c r="U548" s="276">
        <f t="shared" si="300"/>
        <v>0</v>
      </c>
      <c r="V548" s="276">
        <f t="shared" si="300"/>
        <v>0</v>
      </c>
      <c r="W548" s="276">
        <f t="shared" si="300"/>
        <v>0</v>
      </c>
      <c r="X548" s="276">
        <f t="shared" si="300"/>
        <v>0</v>
      </c>
      <c r="Y548" s="276">
        <f t="shared" si="300"/>
        <v>0</v>
      </c>
      <c r="Z548" s="276">
        <f t="shared" si="300"/>
        <v>0</v>
      </c>
      <c r="AA548" s="276">
        <f t="shared" si="300"/>
        <v>0</v>
      </c>
      <c r="AB548" s="276">
        <f t="shared" si="300"/>
        <v>0</v>
      </c>
      <c r="AC548" s="276">
        <f t="shared" si="300"/>
        <v>0</v>
      </c>
      <c r="AD548" s="276">
        <f t="shared" si="300"/>
        <v>0</v>
      </c>
      <c r="AE548" s="276">
        <f t="shared" si="300"/>
        <v>0</v>
      </c>
      <c r="AF548" s="276">
        <f t="shared" si="300"/>
        <v>0</v>
      </c>
      <c r="AG548" s="276">
        <f t="shared" si="300"/>
        <v>0</v>
      </c>
      <c r="AH548" s="276">
        <f t="shared" si="300"/>
        <v>0</v>
      </c>
      <c r="AI548" s="276">
        <f t="shared" si="300"/>
        <v>0</v>
      </c>
      <c r="AJ548" s="276">
        <f t="shared" si="300"/>
        <v>0</v>
      </c>
      <c r="AK548" s="276">
        <f t="shared" si="300"/>
        <v>0</v>
      </c>
      <c r="AL548" s="276">
        <f t="shared" si="300"/>
        <v>0</v>
      </c>
      <c r="AM548" s="276">
        <f t="shared" si="300"/>
        <v>0</v>
      </c>
      <c r="AN548" s="276">
        <f t="shared" si="300"/>
        <v>0</v>
      </c>
      <c r="AO548" s="276">
        <f t="shared" si="300"/>
        <v>0</v>
      </c>
      <c r="AP548" s="276">
        <f t="shared" si="300"/>
        <v>0</v>
      </c>
    </row>
    <row r="549" spans="1:42" x14ac:dyDescent="0.2">
      <c r="A549" s="7" t="s">
        <v>43</v>
      </c>
      <c r="B549" s="277">
        <v>0</v>
      </c>
      <c r="C549" s="277">
        <f t="shared" ref="C549:AP549" si="301">IF(C$2=term_tenor,-C547,0)</f>
        <v>0</v>
      </c>
      <c r="D549" s="277">
        <f t="shared" si="301"/>
        <v>0</v>
      </c>
      <c r="E549" s="277">
        <f t="shared" si="301"/>
        <v>0</v>
      </c>
      <c r="F549" s="277">
        <f t="shared" si="301"/>
        <v>0</v>
      </c>
      <c r="G549" s="277">
        <f t="shared" si="301"/>
        <v>0</v>
      </c>
      <c r="H549" s="277">
        <f t="shared" si="301"/>
        <v>0</v>
      </c>
      <c r="I549" s="277">
        <f t="shared" si="301"/>
        <v>0</v>
      </c>
      <c r="J549" s="277">
        <f t="shared" si="301"/>
        <v>0</v>
      </c>
      <c r="K549" s="277">
        <f t="shared" si="301"/>
        <v>0</v>
      </c>
      <c r="L549" s="277">
        <f t="shared" si="301"/>
        <v>0</v>
      </c>
      <c r="M549" s="277">
        <f t="shared" si="301"/>
        <v>0</v>
      </c>
      <c r="N549" s="277">
        <f t="shared" si="301"/>
        <v>0</v>
      </c>
      <c r="O549" s="277">
        <f t="shared" si="301"/>
        <v>0</v>
      </c>
      <c r="P549" s="277">
        <f t="shared" si="301"/>
        <v>0</v>
      </c>
      <c r="Q549" s="277">
        <f t="shared" si="301"/>
        <v>0</v>
      </c>
      <c r="R549" s="277">
        <f t="shared" si="301"/>
        <v>0</v>
      </c>
      <c r="S549" s="277">
        <f t="shared" si="301"/>
        <v>0</v>
      </c>
      <c r="T549" s="277">
        <f t="shared" si="301"/>
        <v>571107.57208412292</v>
      </c>
      <c r="U549" s="277">
        <f t="shared" si="301"/>
        <v>0</v>
      </c>
      <c r="V549" s="277">
        <f t="shared" si="301"/>
        <v>0</v>
      </c>
      <c r="W549" s="277">
        <f t="shared" si="301"/>
        <v>0</v>
      </c>
      <c r="X549" s="277">
        <f t="shared" si="301"/>
        <v>0</v>
      </c>
      <c r="Y549" s="277">
        <f t="shared" si="301"/>
        <v>0</v>
      </c>
      <c r="Z549" s="277">
        <f t="shared" si="301"/>
        <v>0</v>
      </c>
      <c r="AA549" s="277">
        <f t="shared" si="301"/>
        <v>0</v>
      </c>
      <c r="AB549" s="277">
        <f t="shared" si="301"/>
        <v>0</v>
      </c>
      <c r="AC549" s="277">
        <f t="shared" si="301"/>
        <v>0</v>
      </c>
      <c r="AD549" s="277">
        <f t="shared" si="301"/>
        <v>0</v>
      </c>
      <c r="AE549" s="277">
        <f t="shared" si="301"/>
        <v>0</v>
      </c>
      <c r="AF549" s="277">
        <f t="shared" si="301"/>
        <v>0</v>
      </c>
      <c r="AG549" s="277">
        <f t="shared" si="301"/>
        <v>0</v>
      </c>
      <c r="AH549" s="277">
        <f t="shared" si="301"/>
        <v>0</v>
      </c>
      <c r="AI549" s="277">
        <f t="shared" si="301"/>
        <v>0</v>
      </c>
      <c r="AJ549" s="277">
        <f t="shared" si="301"/>
        <v>0</v>
      </c>
      <c r="AK549" s="277">
        <f t="shared" si="301"/>
        <v>0</v>
      </c>
      <c r="AL549" s="277">
        <f t="shared" si="301"/>
        <v>0</v>
      </c>
      <c r="AM549" s="277">
        <f t="shared" si="301"/>
        <v>0</v>
      </c>
      <c r="AN549" s="277">
        <f t="shared" si="301"/>
        <v>0</v>
      </c>
      <c r="AO549" s="277">
        <f t="shared" si="301"/>
        <v>0</v>
      </c>
      <c r="AP549" s="277">
        <f t="shared" si="301"/>
        <v>0</v>
      </c>
    </row>
    <row r="550" spans="1:42" x14ac:dyDescent="0.2">
      <c r="A550" s="7" t="s">
        <v>39</v>
      </c>
      <c r="B550" s="276">
        <f t="shared" ref="B550:AO550" si="302">IF(B2&lt;=MIN(term_tenor,analysis_period),(dscr_reserve_months/12)*C532,0)</f>
        <v>-399751.06695533107</v>
      </c>
      <c r="C550" s="276">
        <f t="shared" si="302"/>
        <v>-404488.08618610026</v>
      </c>
      <c r="D550" s="276">
        <f t="shared" si="302"/>
        <v>-409343.5308976387</v>
      </c>
      <c r="E550" s="276">
        <f t="shared" si="302"/>
        <v>-414320.3617269657</v>
      </c>
      <c r="F550" s="276">
        <f t="shared" si="302"/>
        <v>-419421.61332702567</v>
      </c>
      <c r="G550" s="276">
        <f t="shared" si="302"/>
        <v>-424650.39621708734</v>
      </c>
      <c r="H550" s="276">
        <f t="shared" si="302"/>
        <v>-430009.89867940044</v>
      </c>
      <c r="I550" s="276">
        <f t="shared" si="302"/>
        <v>-435503.3887032714</v>
      </c>
      <c r="J550" s="276">
        <f t="shared" si="302"/>
        <v>-441134.21597773908</v>
      </c>
      <c r="K550" s="276">
        <f t="shared" si="302"/>
        <v>-446905.81393406849</v>
      </c>
      <c r="L550" s="276">
        <f t="shared" si="302"/>
        <v>-452821.70183930616</v>
      </c>
      <c r="M550" s="276">
        <f t="shared" si="302"/>
        <v>-458885.48694217484</v>
      </c>
      <c r="N550" s="276">
        <f t="shared" si="302"/>
        <v>-537620.74242875818</v>
      </c>
      <c r="O550" s="276">
        <f t="shared" si="302"/>
        <v>-543991.5066524595</v>
      </c>
      <c r="P550" s="276">
        <f t="shared" si="302"/>
        <v>-550521.53998175345</v>
      </c>
      <c r="Q550" s="276">
        <f t="shared" si="302"/>
        <v>-557214.82414427958</v>
      </c>
      <c r="R550" s="276">
        <f t="shared" si="302"/>
        <v>-564075.44041086896</v>
      </c>
      <c r="S550" s="276">
        <f t="shared" si="302"/>
        <v>-571107.57208412292</v>
      </c>
      <c r="T550" s="276">
        <f t="shared" si="302"/>
        <v>0</v>
      </c>
      <c r="U550" s="276">
        <f t="shared" si="302"/>
        <v>0</v>
      </c>
      <c r="V550" s="276">
        <f t="shared" si="302"/>
        <v>0</v>
      </c>
      <c r="W550" s="276">
        <f t="shared" si="302"/>
        <v>0</v>
      </c>
      <c r="X550" s="276">
        <f t="shared" si="302"/>
        <v>0</v>
      </c>
      <c r="Y550" s="276">
        <f t="shared" si="302"/>
        <v>0</v>
      </c>
      <c r="Z550" s="276">
        <f t="shared" si="302"/>
        <v>0</v>
      </c>
      <c r="AA550" s="276">
        <f t="shared" si="302"/>
        <v>0</v>
      </c>
      <c r="AB550" s="276">
        <f t="shared" si="302"/>
        <v>0</v>
      </c>
      <c r="AC550" s="276">
        <f t="shared" si="302"/>
        <v>0</v>
      </c>
      <c r="AD550" s="276">
        <f t="shared" si="302"/>
        <v>0</v>
      </c>
      <c r="AE550" s="276">
        <f t="shared" si="302"/>
        <v>0</v>
      </c>
      <c r="AF550" s="276">
        <f t="shared" si="302"/>
        <v>0</v>
      </c>
      <c r="AG550" s="276">
        <f t="shared" si="302"/>
        <v>0</v>
      </c>
      <c r="AH550" s="276">
        <f t="shared" si="302"/>
        <v>0</v>
      </c>
      <c r="AI550" s="276">
        <f t="shared" si="302"/>
        <v>0</v>
      </c>
      <c r="AJ550" s="276">
        <f t="shared" si="302"/>
        <v>0</v>
      </c>
      <c r="AK550" s="276">
        <f t="shared" si="302"/>
        <v>0</v>
      </c>
      <c r="AL550" s="276">
        <f t="shared" si="302"/>
        <v>0</v>
      </c>
      <c r="AM550" s="276">
        <f t="shared" si="302"/>
        <v>0</v>
      </c>
      <c r="AN550" s="276">
        <f t="shared" si="302"/>
        <v>0</v>
      </c>
      <c r="AO550" s="276">
        <f t="shared" si="302"/>
        <v>0</v>
      </c>
      <c r="AP550" s="276">
        <f>IF(AP2&lt;=MIN(term_tenor,analysis_period),(dscr_reserve_months/12)*AQ535,0)</f>
        <v>0</v>
      </c>
    </row>
    <row r="551" spans="1:42" x14ac:dyDescent="0.2">
      <c r="B551" s="25"/>
      <c r="C551" s="25"/>
      <c r="D551" s="25"/>
      <c r="E551" s="25"/>
      <c r="F551" s="2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x14ac:dyDescent="0.2">
      <c r="A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36</v>
      </c>
      <c r="B553" s="276">
        <v>0</v>
      </c>
      <c r="C553" s="276">
        <f>B556</f>
        <v>246325</v>
      </c>
      <c r="D553" s="276">
        <f t="shared" ref="D553:AP553" si="303">C556</f>
        <v>252483.12499999994</v>
      </c>
      <c r="E553" s="276">
        <f t="shared" si="303"/>
        <v>258795.203125</v>
      </c>
      <c r="F553" s="276">
        <f t="shared" si="303"/>
        <v>265265.08320312493</v>
      </c>
      <c r="G553" s="276">
        <f t="shared" si="303"/>
        <v>271896.71028320305</v>
      </c>
      <c r="H553" s="276">
        <f t="shared" si="303"/>
        <v>278694.1280402831</v>
      </c>
      <c r="I553" s="276">
        <f t="shared" si="303"/>
        <v>285661.48124129017</v>
      </c>
      <c r="J553" s="276">
        <f t="shared" si="303"/>
        <v>292803.01827232243</v>
      </c>
      <c r="K553" s="276">
        <f t="shared" si="303"/>
        <v>300123.09372913046</v>
      </c>
      <c r="L553" s="276">
        <f t="shared" si="303"/>
        <v>307626.17107235867</v>
      </c>
      <c r="M553" s="276">
        <f t="shared" si="303"/>
        <v>315316.82534916769</v>
      </c>
      <c r="N553" s="276">
        <f t="shared" si="303"/>
        <v>323199.74598289689</v>
      </c>
      <c r="O553" s="276">
        <f t="shared" si="303"/>
        <v>331279.73963246925</v>
      </c>
      <c r="P553" s="276">
        <f t="shared" si="303"/>
        <v>339561.73312328092</v>
      </c>
      <c r="Q553" s="276">
        <f t="shared" si="303"/>
        <v>348050.776451363</v>
      </c>
      <c r="R553" s="276">
        <f t="shared" si="303"/>
        <v>356752.04586264706</v>
      </c>
      <c r="S553" s="276">
        <f t="shared" si="303"/>
        <v>365670.84700921323</v>
      </c>
      <c r="T553" s="276">
        <f t="shared" si="303"/>
        <v>374812.61818444345</v>
      </c>
      <c r="U553" s="276">
        <f t="shared" si="303"/>
        <v>384182.93363905459</v>
      </c>
      <c r="V553" s="276">
        <f t="shared" si="303"/>
        <v>393787.50698003097</v>
      </c>
      <c r="W553" s="276">
        <f t="shared" si="303"/>
        <v>403632.19465453166</v>
      </c>
      <c r="X553" s="276">
        <f t="shared" si="303"/>
        <v>413722.99952089495</v>
      </c>
      <c r="Y553" s="276">
        <f t="shared" si="303"/>
        <v>424066.07450891729</v>
      </c>
      <c r="Z553" s="276">
        <f t="shared" si="303"/>
        <v>434667.72637164022</v>
      </c>
      <c r="AA553" s="276">
        <f t="shared" si="303"/>
        <v>445534.41953093128</v>
      </c>
      <c r="AB553" s="276">
        <f t="shared" si="303"/>
        <v>0</v>
      </c>
      <c r="AC553" s="276">
        <f t="shared" si="303"/>
        <v>0</v>
      </c>
      <c r="AD553" s="276">
        <f t="shared" si="303"/>
        <v>0</v>
      </c>
      <c r="AE553" s="276">
        <f t="shared" si="303"/>
        <v>0</v>
      </c>
      <c r="AF553" s="276">
        <f t="shared" si="303"/>
        <v>0</v>
      </c>
      <c r="AG553" s="276">
        <f t="shared" si="303"/>
        <v>0</v>
      </c>
      <c r="AH553" s="276">
        <f t="shared" si="303"/>
        <v>0</v>
      </c>
      <c r="AI553" s="276">
        <f t="shared" si="303"/>
        <v>0</v>
      </c>
      <c r="AJ553" s="276">
        <f t="shared" si="303"/>
        <v>0</v>
      </c>
      <c r="AK553" s="276">
        <f t="shared" si="303"/>
        <v>0</v>
      </c>
      <c r="AL553" s="276">
        <f t="shared" si="303"/>
        <v>0</v>
      </c>
      <c r="AM553" s="276">
        <f t="shared" si="303"/>
        <v>0</v>
      </c>
      <c r="AN553" s="276">
        <f t="shared" si="303"/>
        <v>0</v>
      </c>
      <c r="AO553" s="276">
        <f t="shared" si="303"/>
        <v>0</v>
      </c>
      <c r="AP553" s="276">
        <f t="shared" si="303"/>
        <v>0</v>
      </c>
    </row>
    <row r="554" spans="1:42" x14ac:dyDescent="0.2">
      <c r="A554" s="7" t="s">
        <v>37</v>
      </c>
      <c r="B554" s="276">
        <f t="shared" ref="B554:AP554" si="304">IF(B$2&lt;analysis_period,B556-B553,0)</f>
        <v>246325</v>
      </c>
      <c r="C554" s="276">
        <f t="shared" si="304"/>
        <v>6158.1249999999418</v>
      </c>
      <c r="D554" s="276">
        <f t="shared" si="304"/>
        <v>6312.0781250000582</v>
      </c>
      <c r="E554" s="276">
        <f t="shared" si="304"/>
        <v>6469.8800781249302</v>
      </c>
      <c r="F554" s="276">
        <f t="shared" si="304"/>
        <v>6631.6270800781203</v>
      </c>
      <c r="G554" s="276">
        <f t="shared" si="304"/>
        <v>6797.417757080053</v>
      </c>
      <c r="H554" s="276">
        <f t="shared" si="304"/>
        <v>6967.353201007063</v>
      </c>
      <c r="I554" s="276">
        <f t="shared" si="304"/>
        <v>7141.5370310322614</v>
      </c>
      <c r="J554" s="276">
        <f t="shared" si="304"/>
        <v>7320.0754568080301</v>
      </c>
      <c r="K554" s="276">
        <f t="shared" si="304"/>
        <v>7503.0773432282149</v>
      </c>
      <c r="L554" s="276">
        <f t="shared" si="304"/>
        <v>7690.6542768090148</v>
      </c>
      <c r="M554" s="276">
        <f t="shared" si="304"/>
        <v>7882.920633729198</v>
      </c>
      <c r="N554" s="276">
        <f t="shared" si="304"/>
        <v>8079.9936495723668</v>
      </c>
      <c r="O554" s="276">
        <f t="shared" si="304"/>
        <v>8281.9934908116702</v>
      </c>
      <c r="P554" s="276">
        <f t="shared" si="304"/>
        <v>8489.0433280820725</v>
      </c>
      <c r="Q554" s="276">
        <f t="shared" si="304"/>
        <v>8701.2694112840691</v>
      </c>
      <c r="R554" s="276">
        <f t="shared" si="304"/>
        <v>8918.8011465661693</v>
      </c>
      <c r="S554" s="276">
        <f t="shared" si="304"/>
        <v>9141.771175230213</v>
      </c>
      <c r="T554" s="276">
        <f t="shared" si="304"/>
        <v>9370.3154546111473</v>
      </c>
      <c r="U554" s="276">
        <f t="shared" si="304"/>
        <v>9604.5733409763779</v>
      </c>
      <c r="V554" s="276">
        <f t="shared" si="304"/>
        <v>9844.6876745006884</v>
      </c>
      <c r="W554" s="276">
        <f t="shared" si="304"/>
        <v>10090.804866363294</v>
      </c>
      <c r="X554" s="276">
        <f t="shared" si="304"/>
        <v>10343.07498802233</v>
      </c>
      <c r="Y554" s="276">
        <f t="shared" si="304"/>
        <v>10601.651862722938</v>
      </c>
      <c r="Z554" s="276">
        <f t="shared" si="304"/>
        <v>10866.693159291055</v>
      </c>
      <c r="AA554" s="276">
        <f t="shared" si="304"/>
        <v>0</v>
      </c>
      <c r="AB554" s="276">
        <f t="shared" si="304"/>
        <v>0</v>
      </c>
      <c r="AC554" s="276">
        <f t="shared" si="304"/>
        <v>0</v>
      </c>
      <c r="AD554" s="276">
        <f t="shared" si="304"/>
        <v>0</v>
      </c>
      <c r="AE554" s="276">
        <f t="shared" si="304"/>
        <v>0</v>
      </c>
      <c r="AF554" s="276">
        <f t="shared" si="304"/>
        <v>0</v>
      </c>
      <c r="AG554" s="276">
        <f t="shared" si="304"/>
        <v>0</v>
      </c>
      <c r="AH554" s="276">
        <f t="shared" si="304"/>
        <v>0</v>
      </c>
      <c r="AI554" s="276">
        <f t="shared" si="304"/>
        <v>0</v>
      </c>
      <c r="AJ554" s="276">
        <f t="shared" si="304"/>
        <v>0</v>
      </c>
      <c r="AK554" s="276">
        <f t="shared" si="304"/>
        <v>0</v>
      </c>
      <c r="AL554" s="276">
        <f t="shared" si="304"/>
        <v>0</v>
      </c>
      <c r="AM554" s="276">
        <f t="shared" si="304"/>
        <v>0</v>
      </c>
      <c r="AN554" s="276">
        <f t="shared" si="304"/>
        <v>0</v>
      </c>
      <c r="AO554" s="276">
        <f t="shared" si="304"/>
        <v>0</v>
      </c>
      <c r="AP554" s="276">
        <f t="shared" si="304"/>
        <v>0</v>
      </c>
    </row>
    <row r="555" spans="1:42" x14ac:dyDescent="0.2">
      <c r="A555" s="7" t="s">
        <v>43</v>
      </c>
      <c r="B555" s="277">
        <v>0</v>
      </c>
      <c r="C555" s="277">
        <f t="shared" ref="C555:AP555" si="305">IF(C$2=analysis_period,-C553,0)</f>
        <v>0</v>
      </c>
      <c r="D555" s="277">
        <f t="shared" si="305"/>
        <v>0</v>
      </c>
      <c r="E555" s="277">
        <f t="shared" si="305"/>
        <v>0</v>
      </c>
      <c r="F555" s="277">
        <f t="shared" si="305"/>
        <v>0</v>
      </c>
      <c r="G555" s="277">
        <f t="shared" si="305"/>
        <v>0</v>
      </c>
      <c r="H555" s="277">
        <f t="shared" si="305"/>
        <v>0</v>
      </c>
      <c r="I555" s="277">
        <f t="shared" si="305"/>
        <v>0</v>
      </c>
      <c r="J555" s="277">
        <f t="shared" si="305"/>
        <v>0</v>
      </c>
      <c r="K555" s="277">
        <f t="shared" si="305"/>
        <v>0</v>
      </c>
      <c r="L555" s="277">
        <f t="shared" si="305"/>
        <v>0</v>
      </c>
      <c r="M555" s="277">
        <f t="shared" si="305"/>
        <v>0</v>
      </c>
      <c r="N555" s="277">
        <f t="shared" si="305"/>
        <v>0</v>
      </c>
      <c r="O555" s="277">
        <f t="shared" si="305"/>
        <v>0</v>
      </c>
      <c r="P555" s="277">
        <f t="shared" si="305"/>
        <v>0</v>
      </c>
      <c r="Q555" s="277">
        <f t="shared" si="305"/>
        <v>0</v>
      </c>
      <c r="R555" s="277">
        <f t="shared" si="305"/>
        <v>0</v>
      </c>
      <c r="S555" s="277">
        <f t="shared" si="305"/>
        <v>0</v>
      </c>
      <c r="T555" s="277">
        <f t="shared" si="305"/>
        <v>0</v>
      </c>
      <c r="U555" s="277">
        <f t="shared" si="305"/>
        <v>0</v>
      </c>
      <c r="V555" s="277">
        <f t="shared" si="305"/>
        <v>0</v>
      </c>
      <c r="W555" s="277">
        <f t="shared" si="305"/>
        <v>0</v>
      </c>
      <c r="X555" s="277">
        <f t="shared" si="305"/>
        <v>0</v>
      </c>
      <c r="Y555" s="277">
        <f t="shared" si="305"/>
        <v>0</v>
      </c>
      <c r="Z555" s="277">
        <f t="shared" si="305"/>
        <v>0</v>
      </c>
      <c r="AA555" s="277">
        <f t="shared" si="305"/>
        <v>-445534.41953093128</v>
      </c>
      <c r="AB555" s="277">
        <f t="shared" si="305"/>
        <v>0</v>
      </c>
      <c r="AC555" s="277">
        <f t="shared" si="305"/>
        <v>0</v>
      </c>
      <c r="AD555" s="277">
        <f t="shared" si="305"/>
        <v>0</v>
      </c>
      <c r="AE555" s="277">
        <f t="shared" si="305"/>
        <v>0</v>
      </c>
      <c r="AF555" s="277">
        <f t="shared" si="305"/>
        <v>0</v>
      </c>
      <c r="AG555" s="277">
        <f t="shared" si="305"/>
        <v>0</v>
      </c>
      <c r="AH555" s="277">
        <f t="shared" si="305"/>
        <v>0</v>
      </c>
      <c r="AI555" s="277">
        <f t="shared" si="305"/>
        <v>0</v>
      </c>
      <c r="AJ555" s="277">
        <f t="shared" si="305"/>
        <v>0</v>
      </c>
      <c r="AK555" s="277">
        <f t="shared" si="305"/>
        <v>0</v>
      </c>
      <c r="AL555" s="277">
        <f t="shared" si="305"/>
        <v>0</v>
      </c>
      <c r="AM555" s="277">
        <f t="shared" si="305"/>
        <v>0</v>
      </c>
      <c r="AN555" s="277">
        <f t="shared" si="305"/>
        <v>0</v>
      </c>
      <c r="AO555" s="277">
        <f t="shared" si="305"/>
        <v>0</v>
      </c>
      <c r="AP555" s="277">
        <f t="shared" si="305"/>
        <v>0</v>
      </c>
    </row>
    <row r="556" spans="1:42" s="21" customFormat="1" x14ac:dyDescent="0.2">
      <c r="A556" s="21" t="s">
        <v>39</v>
      </c>
      <c r="B556" s="270">
        <f t="shared" ref="B556:AP556" si="306">C$36*(months_working_reserve/12)</f>
        <v>246325</v>
      </c>
      <c r="C556" s="270">
        <f t="shared" si="306"/>
        <v>252483.12499999994</v>
      </c>
      <c r="D556" s="270">
        <f t="shared" si="306"/>
        <v>258795.203125</v>
      </c>
      <c r="E556" s="270">
        <f t="shared" si="306"/>
        <v>265265.08320312493</v>
      </c>
      <c r="F556" s="270">
        <f t="shared" si="306"/>
        <v>271896.71028320305</v>
      </c>
      <c r="G556" s="270">
        <f t="shared" si="306"/>
        <v>278694.1280402831</v>
      </c>
      <c r="H556" s="270">
        <f t="shared" si="306"/>
        <v>285661.48124129017</v>
      </c>
      <c r="I556" s="270">
        <f t="shared" si="306"/>
        <v>292803.01827232243</v>
      </c>
      <c r="J556" s="270">
        <f t="shared" si="306"/>
        <v>300123.09372913046</v>
      </c>
      <c r="K556" s="270">
        <f t="shared" si="306"/>
        <v>307626.17107235867</v>
      </c>
      <c r="L556" s="270">
        <f t="shared" si="306"/>
        <v>315316.82534916769</v>
      </c>
      <c r="M556" s="270">
        <f t="shared" si="306"/>
        <v>323199.74598289689</v>
      </c>
      <c r="N556" s="270">
        <f t="shared" si="306"/>
        <v>331279.73963246925</v>
      </c>
      <c r="O556" s="270">
        <f t="shared" si="306"/>
        <v>339561.73312328092</v>
      </c>
      <c r="P556" s="270">
        <f t="shared" si="306"/>
        <v>348050.776451363</v>
      </c>
      <c r="Q556" s="270">
        <f t="shared" si="306"/>
        <v>356752.04586264706</v>
      </c>
      <c r="R556" s="270">
        <f t="shared" si="306"/>
        <v>365670.84700921323</v>
      </c>
      <c r="S556" s="270">
        <f t="shared" si="306"/>
        <v>374812.61818444345</v>
      </c>
      <c r="T556" s="270">
        <f t="shared" si="306"/>
        <v>384182.93363905459</v>
      </c>
      <c r="U556" s="270">
        <f t="shared" si="306"/>
        <v>393787.50698003097</v>
      </c>
      <c r="V556" s="270">
        <f t="shared" si="306"/>
        <v>403632.19465453166</v>
      </c>
      <c r="W556" s="270">
        <f t="shared" si="306"/>
        <v>413722.99952089495</v>
      </c>
      <c r="X556" s="270">
        <f t="shared" si="306"/>
        <v>424066.07450891729</v>
      </c>
      <c r="Y556" s="270">
        <f t="shared" si="306"/>
        <v>434667.72637164022</v>
      </c>
      <c r="Z556" s="270">
        <f t="shared" si="306"/>
        <v>445534.41953093128</v>
      </c>
      <c r="AA556" s="270">
        <f t="shared" si="306"/>
        <v>0</v>
      </c>
      <c r="AB556" s="270">
        <f t="shared" si="306"/>
        <v>0</v>
      </c>
      <c r="AC556" s="270">
        <f t="shared" si="306"/>
        <v>0</v>
      </c>
      <c r="AD556" s="270">
        <f t="shared" si="306"/>
        <v>0</v>
      </c>
      <c r="AE556" s="270">
        <f t="shared" si="306"/>
        <v>0</v>
      </c>
      <c r="AF556" s="270">
        <f t="shared" si="306"/>
        <v>0</v>
      </c>
      <c r="AG556" s="270">
        <f t="shared" si="306"/>
        <v>0</v>
      </c>
      <c r="AH556" s="270">
        <f t="shared" si="306"/>
        <v>0</v>
      </c>
      <c r="AI556" s="270">
        <f t="shared" si="306"/>
        <v>0</v>
      </c>
      <c r="AJ556" s="270">
        <f t="shared" si="306"/>
        <v>0</v>
      </c>
      <c r="AK556" s="270">
        <f t="shared" si="306"/>
        <v>0</v>
      </c>
      <c r="AL556" s="270">
        <f t="shared" si="306"/>
        <v>0</v>
      </c>
      <c r="AM556" s="270">
        <f t="shared" si="306"/>
        <v>0</v>
      </c>
      <c r="AN556" s="270">
        <f t="shared" si="306"/>
        <v>0</v>
      </c>
      <c r="AO556" s="270">
        <f t="shared" si="306"/>
        <v>0</v>
      </c>
      <c r="AP556" s="270">
        <f t="shared" si="306"/>
        <v>0</v>
      </c>
    </row>
    <row r="557" spans="1:42" x14ac:dyDescent="0.2">
      <c r="B557" s="25"/>
      <c r="C557" s="25"/>
      <c r="D557" s="25"/>
      <c r="E557" s="25"/>
      <c r="F557" s="2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x14ac:dyDescent="0.2">
      <c r="A558" s="31" t="s">
        <v>135</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36</v>
      </c>
      <c r="B559" s="276">
        <v>0</v>
      </c>
      <c r="C559" s="276">
        <f>B562</f>
        <v>0</v>
      </c>
      <c r="D559" s="276">
        <f t="shared" ref="D559:AP559" si="307">C562</f>
        <v>546702.7740838608</v>
      </c>
      <c r="E559" s="276">
        <f t="shared" si="307"/>
        <v>1093405.5481677216</v>
      </c>
      <c r="F559" s="276">
        <f t="shared" si="307"/>
        <v>1640108.3222515825</v>
      </c>
      <c r="G559" s="276">
        <f t="shared" si="307"/>
        <v>2186811.0963354432</v>
      </c>
      <c r="H559" s="276">
        <f t="shared" si="307"/>
        <v>2733513.8704193039</v>
      </c>
      <c r="I559" s="276">
        <f t="shared" si="307"/>
        <v>3280216.6445031646</v>
      </c>
      <c r="J559" s="276">
        <f t="shared" si="307"/>
        <v>3826919.4185870253</v>
      </c>
      <c r="K559" s="276">
        <f t="shared" si="307"/>
        <v>4373622.1926708864</v>
      </c>
      <c r="L559" s="276">
        <f t="shared" si="307"/>
        <v>4920324.9667547476</v>
      </c>
      <c r="M559" s="276">
        <f t="shared" si="307"/>
        <v>5467027.7408386087</v>
      </c>
      <c r="N559" s="276">
        <f t="shared" si="307"/>
        <v>6013730.5149224699</v>
      </c>
      <c r="O559" s="276">
        <f t="shared" si="307"/>
        <v>0</v>
      </c>
      <c r="P559" s="276">
        <f t="shared" si="307"/>
        <v>735254.45104983298</v>
      </c>
      <c r="Q559" s="276">
        <f t="shared" si="307"/>
        <v>1470508.902099666</v>
      </c>
      <c r="R559" s="276">
        <f t="shared" si="307"/>
        <v>2205763.3531494988</v>
      </c>
      <c r="S559" s="276">
        <f t="shared" si="307"/>
        <v>2941017.8041993319</v>
      </c>
      <c r="T559" s="276">
        <f t="shared" si="307"/>
        <v>3676272.255249165</v>
      </c>
      <c r="U559" s="276">
        <f t="shared" si="307"/>
        <v>4411526.7062989976</v>
      </c>
      <c r="V559" s="276">
        <f t="shared" si="307"/>
        <v>5146781.1573488303</v>
      </c>
      <c r="W559" s="276">
        <f t="shared" si="307"/>
        <v>5882035.6083986629</v>
      </c>
      <c r="X559" s="276">
        <f t="shared" si="307"/>
        <v>6617290.0594484955</v>
      </c>
      <c r="Y559" s="276">
        <f t="shared" si="307"/>
        <v>7352544.5104983281</v>
      </c>
      <c r="Z559" s="276">
        <f t="shared" si="307"/>
        <v>8087798.9615481608</v>
      </c>
      <c r="AA559" s="276">
        <f t="shared" si="307"/>
        <v>0</v>
      </c>
      <c r="AB559" s="276">
        <f t="shared" si="307"/>
        <v>0</v>
      </c>
      <c r="AC559" s="276">
        <f t="shared" si="307"/>
        <v>0</v>
      </c>
      <c r="AD559" s="276">
        <f t="shared" si="307"/>
        <v>0</v>
      </c>
      <c r="AE559" s="276">
        <f t="shared" si="307"/>
        <v>0</v>
      </c>
      <c r="AF559" s="276">
        <f t="shared" si="307"/>
        <v>0</v>
      </c>
      <c r="AG559" s="276">
        <f t="shared" si="307"/>
        <v>0</v>
      </c>
      <c r="AH559" s="276">
        <f t="shared" si="307"/>
        <v>0</v>
      </c>
      <c r="AI559" s="276">
        <f t="shared" si="307"/>
        <v>0</v>
      </c>
      <c r="AJ559" s="276">
        <f t="shared" si="307"/>
        <v>0</v>
      </c>
      <c r="AK559" s="276">
        <f t="shared" si="307"/>
        <v>0</v>
      </c>
      <c r="AL559" s="276">
        <f t="shared" si="307"/>
        <v>0</v>
      </c>
      <c r="AM559" s="276">
        <f t="shared" si="307"/>
        <v>0</v>
      </c>
      <c r="AN559" s="276">
        <f t="shared" si="307"/>
        <v>0</v>
      </c>
      <c r="AO559" s="276">
        <f t="shared" si="307"/>
        <v>0</v>
      </c>
      <c r="AP559" s="276">
        <f t="shared" si="307"/>
        <v>0</v>
      </c>
    </row>
    <row r="560" spans="1:42" x14ac:dyDescent="0.2">
      <c r="A560" s="7" t="s">
        <v>101</v>
      </c>
      <c r="B560" s="276">
        <v>0</v>
      </c>
      <c r="C560" s="276">
        <f>C588</f>
        <v>546702.7740838608</v>
      </c>
      <c r="D560" s="276">
        <f t="shared" ref="D560:AP560" si="308">D588</f>
        <v>546702.7740838608</v>
      </c>
      <c r="E560" s="276">
        <f t="shared" si="308"/>
        <v>546702.7740838608</v>
      </c>
      <c r="F560" s="276">
        <f t="shared" si="308"/>
        <v>546702.7740838608</v>
      </c>
      <c r="G560" s="276">
        <f t="shared" si="308"/>
        <v>546702.7740838608</v>
      </c>
      <c r="H560" s="276">
        <f t="shared" si="308"/>
        <v>546702.7740838608</v>
      </c>
      <c r="I560" s="276">
        <f t="shared" si="308"/>
        <v>546702.7740838608</v>
      </c>
      <c r="J560" s="276">
        <f t="shared" si="308"/>
        <v>546702.7740838608</v>
      </c>
      <c r="K560" s="276">
        <f t="shared" si="308"/>
        <v>546702.7740838608</v>
      </c>
      <c r="L560" s="276">
        <f t="shared" si="308"/>
        <v>546702.7740838608</v>
      </c>
      <c r="M560" s="276">
        <f t="shared" si="308"/>
        <v>546702.7740838608</v>
      </c>
      <c r="N560" s="276">
        <f t="shared" si="308"/>
        <v>546702.7740838608</v>
      </c>
      <c r="O560" s="276">
        <f t="shared" si="308"/>
        <v>735254.45104983298</v>
      </c>
      <c r="P560" s="276">
        <f t="shared" si="308"/>
        <v>735254.45104983298</v>
      </c>
      <c r="Q560" s="276">
        <f t="shared" si="308"/>
        <v>735254.45104983298</v>
      </c>
      <c r="R560" s="276">
        <f t="shared" si="308"/>
        <v>735254.45104983298</v>
      </c>
      <c r="S560" s="276">
        <f t="shared" si="308"/>
        <v>735254.45104983298</v>
      </c>
      <c r="T560" s="276">
        <f t="shared" si="308"/>
        <v>735254.45104983298</v>
      </c>
      <c r="U560" s="276">
        <f t="shared" si="308"/>
        <v>735254.45104983298</v>
      </c>
      <c r="V560" s="276">
        <f t="shared" si="308"/>
        <v>735254.45104983298</v>
      </c>
      <c r="W560" s="276">
        <f t="shared" si="308"/>
        <v>735254.45104983298</v>
      </c>
      <c r="X560" s="276">
        <f t="shared" si="308"/>
        <v>735254.45104983298</v>
      </c>
      <c r="Y560" s="276">
        <f t="shared" si="308"/>
        <v>735254.45104983298</v>
      </c>
      <c r="Z560" s="276">
        <f t="shared" si="308"/>
        <v>735254.45104983298</v>
      </c>
      <c r="AA560" s="276">
        <f t="shared" si="308"/>
        <v>0</v>
      </c>
      <c r="AB560" s="276">
        <f t="shared" si="308"/>
        <v>0</v>
      </c>
      <c r="AC560" s="276">
        <f t="shared" si="308"/>
        <v>0</v>
      </c>
      <c r="AD560" s="276">
        <f t="shared" si="308"/>
        <v>0</v>
      </c>
      <c r="AE560" s="276">
        <f t="shared" si="308"/>
        <v>0</v>
      </c>
      <c r="AF560" s="276">
        <f t="shared" si="308"/>
        <v>0</v>
      </c>
      <c r="AG560" s="276">
        <f t="shared" si="308"/>
        <v>0</v>
      </c>
      <c r="AH560" s="276">
        <f t="shared" si="308"/>
        <v>0</v>
      </c>
      <c r="AI560" s="276">
        <f t="shared" si="308"/>
        <v>0</v>
      </c>
      <c r="AJ560" s="276">
        <f t="shared" si="308"/>
        <v>0</v>
      </c>
      <c r="AK560" s="276">
        <f t="shared" si="308"/>
        <v>0</v>
      </c>
      <c r="AL560" s="276">
        <f t="shared" si="308"/>
        <v>0</v>
      </c>
      <c r="AM560" s="276">
        <f t="shared" si="308"/>
        <v>0</v>
      </c>
      <c r="AN560" s="276">
        <f t="shared" si="308"/>
        <v>0</v>
      </c>
      <c r="AO560" s="276">
        <f t="shared" si="308"/>
        <v>0</v>
      </c>
      <c r="AP560" s="276">
        <f t="shared" si="308"/>
        <v>0</v>
      </c>
    </row>
    <row r="561" spans="1:42" x14ac:dyDescent="0.2">
      <c r="A561" s="7" t="s">
        <v>43</v>
      </c>
      <c r="B561" s="277">
        <v>0</v>
      </c>
      <c r="C561" s="277">
        <f>-C576</f>
        <v>0</v>
      </c>
      <c r="D561" s="277">
        <f t="shared" ref="D561:AP561" si="309">-D576</f>
        <v>0</v>
      </c>
      <c r="E561" s="277">
        <f t="shared" si="309"/>
        <v>0</v>
      </c>
      <c r="F561" s="277">
        <f t="shared" si="309"/>
        <v>0</v>
      </c>
      <c r="G561" s="277">
        <f t="shared" si="309"/>
        <v>0</v>
      </c>
      <c r="H561" s="277">
        <f t="shared" si="309"/>
        <v>0</v>
      </c>
      <c r="I561" s="277">
        <f t="shared" si="309"/>
        <v>0</v>
      </c>
      <c r="J561" s="277">
        <f t="shared" si="309"/>
        <v>0</v>
      </c>
      <c r="K561" s="277">
        <f t="shared" si="309"/>
        <v>0</v>
      </c>
      <c r="L561" s="277">
        <f t="shared" si="309"/>
        <v>0</v>
      </c>
      <c r="M561" s="277">
        <f t="shared" si="309"/>
        <v>0</v>
      </c>
      <c r="N561" s="277">
        <f t="shared" si="309"/>
        <v>-6560433.2890063301</v>
      </c>
      <c r="O561" s="277">
        <f t="shared" si="309"/>
        <v>0</v>
      </c>
      <c r="P561" s="277">
        <f t="shared" si="309"/>
        <v>0</v>
      </c>
      <c r="Q561" s="277">
        <f t="shared" si="309"/>
        <v>0</v>
      </c>
      <c r="R561" s="277">
        <f t="shared" si="309"/>
        <v>0</v>
      </c>
      <c r="S561" s="277">
        <f t="shared" si="309"/>
        <v>0</v>
      </c>
      <c r="T561" s="277">
        <f t="shared" si="309"/>
        <v>0</v>
      </c>
      <c r="U561" s="277">
        <f t="shared" si="309"/>
        <v>0</v>
      </c>
      <c r="V561" s="277">
        <f t="shared" si="309"/>
        <v>0</v>
      </c>
      <c r="W561" s="277">
        <f t="shared" si="309"/>
        <v>0</v>
      </c>
      <c r="X561" s="277">
        <f t="shared" si="309"/>
        <v>0</v>
      </c>
      <c r="Y561" s="277">
        <f t="shared" si="309"/>
        <v>0</v>
      </c>
      <c r="Z561" s="277">
        <f t="shared" si="309"/>
        <v>-8823053.4125979953</v>
      </c>
      <c r="AA561" s="277">
        <f t="shared" si="309"/>
        <v>0</v>
      </c>
      <c r="AB561" s="277">
        <f t="shared" si="309"/>
        <v>0</v>
      </c>
      <c r="AC561" s="277">
        <f t="shared" si="309"/>
        <v>0</v>
      </c>
      <c r="AD561" s="277">
        <f t="shared" si="309"/>
        <v>0</v>
      </c>
      <c r="AE561" s="277">
        <f t="shared" si="309"/>
        <v>0</v>
      </c>
      <c r="AF561" s="277">
        <f t="shared" si="309"/>
        <v>0</v>
      </c>
      <c r="AG561" s="277">
        <f t="shared" si="309"/>
        <v>0</v>
      </c>
      <c r="AH561" s="277">
        <f t="shared" si="309"/>
        <v>0</v>
      </c>
      <c r="AI561" s="277">
        <f t="shared" si="309"/>
        <v>0</v>
      </c>
      <c r="AJ561" s="277">
        <f t="shared" si="309"/>
        <v>0</v>
      </c>
      <c r="AK561" s="277">
        <f t="shared" si="309"/>
        <v>0</v>
      </c>
      <c r="AL561" s="277">
        <f t="shared" si="309"/>
        <v>0</v>
      </c>
      <c r="AM561" s="277">
        <f t="shared" si="309"/>
        <v>0</v>
      </c>
      <c r="AN561" s="277">
        <f t="shared" si="309"/>
        <v>0</v>
      </c>
      <c r="AO561" s="277">
        <f t="shared" si="309"/>
        <v>0</v>
      </c>
      <c r="AP561" s="277">
        <f t="shared" si="309"/>
        <v>0</v>
      </c>
    </row>
    <row r="562" spans="1:42" x14ac:dyDescent="0.2">
      <c r="A562" s="7" t="s">
        <v>39</v>
      </c>
      <c r="B562" s="276">
        <f>SUM(B559:B561)</f>
        <v>0</v>
      </c>
      <c r="C562" s="276">
        <f>SUM(C559:C561)</f>
        <v>546702.7740838608</v>
      </c>
      <c r="D562" s="276">
        <f t="shared" ref="D562:AP562" si="310">SUM(D559:D561)</f>
        <v>1093405.5481677216</v>
      </c>
      <c r="E562" s="276">
        <f t="shared" si="310"/>
        <v>1640108.3222515825</v>
      </c>
      <c r="F562" s="276">
        <f t="shared" si="310"/>
        <v>2186811.0963354432</v>
      </c>
      <c r="G562" s="276">
        <f t="shared" si="310"/>
        <v>2733513.8704193039</v>
      </c>
      <c r="H562" s="276">
        <f t="shared" si="310"/>
        <v>3280216.6445031646</v>
      </c>
      <c r="I562" s="276">
        <f t="shared" si="310"/>
        <v>3826919.4185870253</v>
      </c>
      <c r="J562" s="276">
        <f t="shared" si="310"/>
        <v>4373622.1926708864</v>
      </c>
      <c r="K562" s="276">
        <f t="shared" si="310"/>
        <v>4920324.9667547476</v>
      </c>
      <c r="L562" s="276">
        <f t="shared" si="310"/>
        <v>5467027.7408386087</v>
      </c>
      <c r="M562" s="276">
        <f t="shared" si="310"/>
        <v>6013730.5149224699</v>
      </c>
      <c r="N562" s="276">
        <f t="shared" si="310"/>
        <v>0</v>
      </c>
      <c r="O562" s="276">
        <f t="shared" si="310"/>
        <v>735254.45104983298</v>
      </c>
      <c r="P562" s="276">
        <f t="shared" si="310"/>
        <v>1470508.902099666</v>
      </c>
      <c r="Q562" s="276">
        <f t="shared" si="310"/>
        <v>2205763.3531494988</v>
      </c>
      <c r="R562" s="276">
        <f t="shared" si="310"/>
        <v>2941017.8041993319</v>
      </c>
      <c r="S562" s="276">
        <f t="shared" si="310"/>
        <v>3676272.255249165</v>
      </c>
      <c r="T562" s="276">
        <f t="shared" si="310"/>
        <v>4411526.7062989976</v>
      </c>
      <c r="U562" s="276">
        <f t="shared" si="310"/>
        <v>5146781.1573488303</v>
      </c>
      <c r="V562" s="276">
        <f t="shared" si="310"/>
        <v>5882035.6083986629</v>
      </c>
      <c r="W562" s="276">
        <f t="shared" si="310"/>
        <v>6617290.0594484955</v>
      </c>
      <c r="X562" s="276">
        <f t="shared" si="310"/>
        <v>7352544.5104983281</v>
      </c>
      <c r="Y562" s="276">
        <f t="shared" si="310"/>
        <v>8087798.9615481608</v>
      </c>
      <c r="Z562" s="276">
        <f t="shared" si="310"/>
        <v>0</v>
      </c>
      <c r="AA562" s="276">
        <f t="shared" si="310"/>
        <v>0</v>
      </c>
      <c r="AB562" s="276">
        <f t="shared" si="310"/>
        <v>0</v>
      </c>
      <c r="AC562" s="276">
        <f t="shared" si="310"/>
        <v>0</v>
      </c>
      <c r="AD562" s="276">
        <f t="shared" si="310"/>
        <v>0</v>
      </c>
      <c r="AE562" s="276">
        <f t="shared" si="310"/>
        <v>0</v>
      </c>
      <c r="AF562" s="276">
        <f t="shared" si="310"/>
        <v>0</v>
      </c>
      <c r="AG562" s="276">
        <f t="shared" si="310"/>
        <v>0</v>
      </c>
      <c r="AH562" s="276">
        <f t="shared" si="310"/>
        <v>0</v>
      </c>
      <c r="AI562" s="276">
        <f t="shared" si="310"/>
        <v>0</v>
      </c>
      <c r="AJ562" s="276">
        <f t="shared" si="310"/>
        <v>0</v>
      </c>
      <c r="AK562" s="276">
        <f t="shared" si="310"/>
        <v>0</v>
      </c>
      <c r="AL562" s="276">
        <f t="shared" si="310"/>
        <v>0</v>
      </c>
      <c r="AM562" s="276">
        <f t="shared" si="310"/>
        <v>0</v>
      </c>
      <c r="AN562" s="276">
        <f t="shared" si="310"/>
        <v>0</v>
      </c>
      <c r="AO562" s="276">
        <f t="shared" si="310"/>
        <v>0</v>
      </c>
      <c r="AP562" s="276">
        <f t="shared" si="310"/>
        <v>0</v>
      </c>
    </row>
    <row r="563" spans="1:42" x14ac:dyDescent="0.2">
      <c r="B563" s="25"/>
      <c r="C563" s="25"/>
      <c r="D563" s="25"/>
      <c r="E563" s="25"/>
      <c r="F563" s="2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x14ac:dyDescent="0.2">
      <c r="A564" s="7" t="s">
        <v>99</v>
      </c>
      <c r="B564" s="25"/>
      <c r="C564" s="25"/>
      <c r="D564" s="25"/>
      <c r="E564" s="25"/>
      <c r="F564" s="2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x14ac:dyDescent="0.2">
      <c r="A565" s="7" t="s">
        <v>100</v>
      </c>
      <c r="B565" s="25"/>
      <c r="C565" s="25"/>
      <c r="D565" s="25"/>
      <c r="E565" s="25"/>
      <c r="F565" s="2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x14ac:dyDescent="0.2">
      <c r="A566" s="7">
        <v>1</v>
      </c>
      <c r="B566" s="292">
        <f t="shared" ref="B566:B575" si="311">SUM(C566:AP566)</f>
        <v>6560433.2890063301</v>
      </c>
      <c r="C566" s="272">
        <f t="shared" ref="C566:AP566" si="312">IF(C$2&gt;analysis_period,0,IF(C$2=equip1_reserve_freq*$A566,equip1_reserve_cost*system_capacity*1000*(1+inflation_rate/100)^B$2,0))</f>
        <v>0</v>
      </c>
      <c r="D566" s="272">
        <f t="shared" si="312"/>
        <v>0</v>
      </c>
      <c r="E566" s="272">
        <f t="shared" si="312"/>
        <v>0</v>
      </c>
      <c r="F566" s="272">
        <f t="shared" si="312"/>
        <v>0</v>
      </c>
      <c r="G566" s="272">
        <f t="shared" si="312"/>
        <v>0</v>
      </c>
      <c r="H566" s="272">
        <f t="shared" si="312"/>
        <v>0</v>
      </c>
      <c r="I566" s="272">
        <f t="shared" si="312"/>
        <v>0</v>
      </c>
      <c r="J566" s="272">
        <f t="shared" si="312"/>
        <v>0</v>
      </c>
      <c r="K566" s="272">
        <f t="shared" si="312"/>
        <v>0</v>
      </c>
      <c r="L566" s="272">
        <f t="shared" si="312"/>
        <v>0</v>
      </c>
      <c r="M566" s="272">
        <f t="shared" si="312"/>
        <v>0</v>
      </c>
      <c r="N566" s="272">
        <f t="shared" si="312"/>
        <v>6560433.2890063301</v>
      </c>
      <c r="O566" s="272">
        <f t="shared" si="312"/>
        <v>0</v>
      </c>
      <c r="P566" s="272">
        <f t="shared" si="312"/>
        <v>0</v>
      </c>
      <c r="Q566" s="272">
        <f t="shared" si="312"/>
        <v>0</v>
      </c>
      <c r="R566" s="272">
        <f t="shared" si="312"/>
        <v>0</v>
      </c>
      <c r="S566" s="272">
        <f t="shared" si="312"/>
        <v>0</v>
      </c>
      <c r="T566" s="272">
        <f t="shared" si="312"/>
        <v>0</v>
      </c>
      <c r="U566" s="272">
        <f t="shared" si="312"/>
        <v>0</v>
      </c>
      <c r="V566" s="272">
        <f t="shared" si="312"/>
        <v>0</v>
      </c>
      <c r="W566" s="272">
        <f t="shared" si="312"/>
        <v>0</v>
      </c>
      <c r="X566" s="272">
        <f t="shared" si="312"/>
        <v>0</v>
      </c>
      <c r="Y566" s="272">
        <f t="shared" si="312"/>
        <v>0</v>
      </c>
      <c r="Z566" s="272">
        <f t="shared" si="312"/>
        <v>0</v>
      </c>
      <c r="AA566" s="272">
        <f t="shared" si="312"/>
        <v>0</v>
      </c>
      <c r="AB566" s="272">
        <f t="shared" si="312"/>
        <v>0</v>
      </c>
      <c r="AC566" s="272">
        <f t="shared" si="312"/>
        <v>0</v>
      </c>
      <c r="AD566" s="272">
        <f t="shared" si="312"/>
        <v>0</v>
      </c>
      <c r="AE566" s="272">
        <f t="shared" si="312"/>
        <v>0</v>
      </c>
      <c r="AF566" s="272">
        <f t="shared" si="312"/>
        <v>0</v>
      </c>
      <c r="AG566" s="272">
        <f t="shared" si="312"/>
        <v>0</v>
      </c>
      <c r="AH566" s="272">
        <f t="shared" si="312"/>
        <v>0</v>
      </c>
      <c r="AI566" s="272">
        <f t="shared" si="312"/>
        <v>0</v>
      </c>
      <c r="AJ566" s="272">
        <f t="shared" si="312"/>
        <v>0</v>
      </c>
      <c r="AK566" s="272">
        <f t="shared" si="312"/>
        <v>0</v>
      </c>
      <c r="AL566" s="272">
        <f t="shared" si="312"/>
        <v>0</v>
      </c>
      <c r="AM566" s="272">
        <f t="shared" si="312"/>
        <v>0</v>
      </c>
      <c r="AN566" s="272">
        <f t="shared" si="312"/>
        <v>0</v>
      </c>
      <c r="AO566" s="272">
        <f t="shared" si="312"/>
        <v>0</v>
      </c>
      <c r="AP566" s="272">
        <f t="shared" si="312"/>
        <v>0</v>
      </c>
    </row>
    <row r="567" spans="1:42" x14ac:dyDescent="0.2">
      <c r="A567" s="7">
        <f>A566+1</f>
        <v>2</v>
      </c>
      <c r="B567" s="292">
        <f t="shared" si="311"/>
        <v>8823053.4125979953</v>
      </c>
      <c r="C567" s="272">
        <f t="shared" ref="C567:AP567" si="313">IF(C$2&gt;analysis_period,0,IF(C$2=equip1_reserve_freq*$A567,equip1_reserve_cost*system_capacity*1000*(1+inflation_rate/100)^B$2,0))</f>
        <v>0</v>
      </c>
      <c r="D567" s="272">
        <f t="shared" si="313"/>
        <v>0</v>
      </c>
      <c r="E567" s="272">
        <f t="shared" si="313"/>
        <v>0</v>
      </c>
      <c r="F567" s="272">
        <f t="shared" si="313"/>
        <v>0</v>
      </c>
      <c r="G567" s="272">
        <f t="shared" si="313"/>
        <v>0</v>
      </c>
      <c r="H567" s="272">
        <f t="shared" si="313"/>
        <v>0</v>
      </c>
      <c r="I567" s="272">
        <f t="shared" si="313"/>
        <v>0</v>
      </c>
      <c r="J567" s="272">
        <f t="shared" si="313"/>
        <v>0</v>
      </c>
      <c r="K567" s="272">
        <f t="shared" si="313"/>
        <v>0</v>
      </c>
      <c r="L567" s="272">
        <f t="shared" si="313"/>
        <v>0</v>
      </c>
      <c r="M567" s="272">
        <f t="shared" si="313"/>
        <v>0</v>
      </c>
      <c r="N567" s="272">
        <f t="shared" si="313"/>
        <v>0</v>
      </c>
      <c r="O567" s="272">
        <f t="shared" si="313"/>
        <v>0</v>
      </c>
      <c r="P567" s="272">
        <f t="shared" si="313"/>
        <v>0</v>
      </c>
      <c r="Q567" s="272">
        <f t="shared" si="313"/>
        <v>0</v>
      </c>
      <c r="R567" s="272">
        <f t="shared" si="313"/>
        <v>0</v>
      </c>
      <c r="S567" s="272">
        <f t="shared" si="313"/>
        <v>0</v>
      </c>
      <c r="T567" s="272">
        <f t="shared" si="313"/>
        <v>0</v>
      </c>
      <c r="U567" s="272">
        <f t="shared" si="313"/>
        <v>0</v>
      </c>
      <c r="V567" s="272">
        <f t="shared" si="313"/>
        <v>0</v>
      </c>
      <c r="W567" s="272">
        <f t="shared" si="313"/>
        <v>0</v>
      </c>
      <c r="X567" s="272">
        <f t="shared" si="313"/>
        <v>0</v>
      </c>
      <c r="Y567" s="272">
        <f t="shared" si="313"/>
        <v>0</v>
      </c>
      <c r="Z567" s="272">
        <f t="shared" si="313"/>
        <v>8823053.4125979953</v>
      </c>
      <c r="AA567" s="272">
        <f t="shared" si="313"/>
        <v>0</v>
      </c>
      <c r="AB567" s="272">
        <f t="shared" si="313"/>
        <v>0</v>
      </c>
      <c r="AC567" s="272">
        <f t="shared" si="313"/>
        <v>0</v>
      </c>
      <c r="AD567" s="272">
        <f t="shared" si="313"/>
        <v>0</v>
      </c>
      <c r="AE567" s="272">
        <f t="shared" si="313"/>
        <v>0</v>
      </c>
      <c r="AF567" s="272">
        <f t="shared" si="313"/>
        <v>0</v>
      </c>
      <c r="AG567" s="272">
        <f t="shared" si="313"/>
        <v>0</v>
      </c>
      <c r="AH567" s="272">
        <f t="shared" si="313"/>
        <v>0</v>
      </c>
      <c r="AI567" s="272">
        <f t="shared" si="313"/>
        <v>0</v>
      </c>
      <c r="AJ567" s="272">
        <f t="shared" si="313"/>
        <v>0</v>
      </c>
      <c r="AK567" s="272">
        <f t="shared" si="313"/>
        <v>0</v>
      </c>
      <c r="AL567" s="272">
        <f t="shared" si="313"/>
        <v>0</v>
      </c>
      <c r="AM567" s="272">
        <f t="shared" si="313"/>
        <v>0</v>
      </c>
      <c r="AN567" s="272">
        <f t="shared" si="313"/>
        <v>0</v>
      </c>
      <c r="AO567" s="272">
        <f t="shared" si="313"/>
        <v>0</v>
      </c>
      <c r="AP567" s="272">
        <f t="shared" si="313"/>
        <v>0</v>
      </c>
    </row>
    <row r="568" spans="1:42" x14ac:dyDescent="0.2">
      <c r="A568" s="7">
        <f t="shared" ref="A568:A575" si="314">A567+1</f>
        <v>3</v>
      </c>
      <c r="B568" s="292">
        <f t="shared" si="311"/>
        <v>0</v>
      </c>
      <c r="C568" s="272">
        <f t="shared" ref="C568:AP568" si="315">IF(C$2&gt;analysis_period,0,IF(C$2=equip1_reserve_freq*$A568,equip1_reserve_cost*system_capacity*1000*(1+inflation_rate/100)^B$2,0))</f>
        <v>0</v>
      </c>
      <c r="D568" s="272">
        <f t="shared" si="315"/>
        <v>0</v>
      </c>
      <c r="E568" s="272">
        <f t="shared" si="315"/>
        <v>0</v>
      </c>
      <c r="F568" s="272">
        <f t="shared" si="315"/>
        <v>0</v>
      </c>
      <c r="G568" s="272">
        <f t="shared" si="315"/>
        <v>0</v>
      </c>
      <c r="H568" s="272">
        <f t="shared" si="315"/>
        <v>0</v>
      </c>
      <c r="I568" s="272">
        <f t="shared" si="315"/>
        <v>0</v>
      </c>
      <c r="J568" s="272">
        <f t="shared" si="315"/>
        <v>0</v>
      </c>
      <c r="K568" s="272">
        <f t="shared" si="315"/>
        <v>0</v>
      </c>
      <c r="L568" s="272">
        <f t="shared" si="315"/>
        <v>0</v>
      </c>
      <c r="M568" s="272">
        <f t="shared" si="315"/>
        <v>0</v>
      </c>
      <c r="N568" s="272">
        <f t="shared" si="315"/>
        <v>0</v>
      </c>
      <c r="O568" s="272">
        <f t="shared" si="315"/>
        <v>0</v>
      </c>
      <c r="P568" s="272">
        <f t="shared" si="315"/>
        <v>0</v>
      </c>
      <c r="Q568" s="272">
        <f t="shared" si="315"/>
        <v>0</v>
      </c>
      <c r="R568" s="272">
        <f t="shared" si="315"/>
        <v>0</v>
      </c>
      <c r="S568" s="272">
        <f t="shared" si="315"/>
        <v>0</v>
      </c>
      <c r="T568" s="272">
        <f t="shared" si="315"/>
        <v>0</v>
      </c>
      <c r="U568" s="272">
        <f t="shared" si="315"/>
        <v>0</v>
      </c>
      <c r="V568" s="272">
        <f t="shared" si="315"/>
        <v>0</v>
      </c>
      <c r="W568" s="272">
        <f t="shared" si="315"/>
        <v>0</v>
      </c>
      <c r="X568" s="272">
        <f t="shared" si="315"/>
        <v>0</v>
      </c>
      <c r="Y568" s="272">
        <f t="shared" si="315"/>
        <v>0</v>
      </c>
      <c r="Z568" s="272">
        <f t="shared" si="315"/>
        <v>0</v>
      </c>
      <c r="AA568" s="272">
        <f t="shared" si="315"/>
        <v>0</v>
      </c>
      <c r="AB568" s="272">
        <f t="shared" si="315"/>
        <v>0</v>
      </c>
      <c r="AC568" s="272">
        <f t="shared" si="315"/>
        <v>0</v>
      </c>
      <c r="AD568" s="272">
        <f t="shared" si="315"/>
        <v>0</v>
      </c>
      <c r="AE568" s="272">
        <f t="shared" si="315"/>
        <v>0</v>
      </c>
      <c r="AF568" s="272">
        <f t="shared" si="315"/>
        <v>0</v>
      </c>
      <c r="AG568" s="272">
        <f t="shared" si="315"/>
        <v>0</v>
      </c>
      <c r="AH568" s="272">
        <f t="shared" si="315"/>
        <v>0</v>
      </c>
      <c r="AI568" s="272">
        <f t="shared" si="315"/>
        <v>0</v>
      </c>
      <c r="AJ568" s="272">
        <f t="shared" si="315"/>
        <v>0</v>
      </c>
      <c r="AK568" s="272">
        <f t="shared" si="315"/>
        <v>0</v>
      </c>
      <c r="AL568" s="272">
        <f t="shared" si="315"/>
        <v>0</v>
      </c>
      <c r="AM568" s="272">
        <f t="shared" si="315"/>
        <v>0</v>
      </c>
      <c r="AN568" s="272">
        <f t="shared" si="315"/>
        <v>0</v>
      </c>
      <c r="AO568" s="272">
        <f t="shared" si="315"/>
        <v>0</v>
      </c>
      <c r="AP568" s="272">
        <f t="shared" si="315"/>
        <v>0</v>
      </c>
    </row>
    <row r="569" spans="1:42" x14ac:dyDescent="0.2">
      <c r="A569" s="7">
        <f t="shared" si="314"/>
        <v>4</v>
      </c>
      <c r="B569" s="292">
        <f t="shared" si="311"/>
        <v>0</v>
      </c>
      <c r="C569" s="272">
        <f t="shared" ref="C569:AP569" si="316">IF(C$2&gt;analysis_period,0,IF(C$2=equip1_reserve_freq*$A569,equip1_reserve_cost*system_capacity*1000*(1+inflation_rate/100)^B$2,0))</f>
        <v>0</v>
      </c>
      <c r="D569" s="272">
        <f t="shared" si="316"/>
        <v>0</v>
      </c>
      <c r="E569" s="272">
        <f t="shared" si="316"/>
        <v>0</v>
      </c>
      <c r="F569" s="272">
        <f t="shared" si="316"/>
        <v>0</v>
      </c>
      <c r="G569" s="272">
        <f t="shared" si="316"/>
        <v>0</v>
      </c>
      <c r="H569" s="272">
        <f t="shared" si="316"/>
        <v>0</v>
      </c>
      <c r="I569" s="272">
        <f t="shared" si="316"/>
        <v>0</v>
      </c>
      <c r="J569" s="272">
        <f t="shared" si="316"/>
        <v>0</v>
      </c>
      <c r="K569" s="272">
        <f t="shared" si="316"/>
        <v>0</v>
      </c>
      <c r="L569" s="272">
        <f t="shared" si="316"/>
        <v>0</v>
      </c>
      <c r="M569" s="272">
        <f t="shared" si="316"/>
        <v>0</v>
      </c>
      <c r="N569" s="272">
        <f t="shared" si="316"/>
        <v>0</v>
      </c>
      <c r="O569" s="272">
        <f t="shared" si="316"/>
        <v>0</v>
      </c>
      <c r="P569" s="272">
        <f t="shared" si="316"/>
        <v>0</v>
      </c>
      <c r="Q569" s="272">
        <f t="shared" si="316"/>
        <v>0</v>
      </c>
      <c r="R569" s="272">
        <f t="shared" si="316"/>
        <v>0</v>
      </c>
      <c r="S569" s="272">
        <f t="shared" si="316"/>
        <v>0</v>
      </c>
      <c r="T569" s="272">
        <f t="shared" si="316"/>
        <v>0</v>
      </c>
      <c r="U569" s="272">
        <f t="shared" si="316"/>
        <v>0</v>
      </c>
      <c r="V569" s="272">
        <f t="shared" si="316"/>
        <v>0</v>
      </c>
      <c r="W569" s="272">
        <f t="shared" si="316"/>
        <v>0</v>
      </c>
      <c r="X569" s="272">
        <f t="shared" si="316"/>
        <v>0</v>
      </c>
      <c r="Y569" s="272">
        <f t="shared" si="316"/>
        <v>0</v>
      </c>
      <c r="Z569" s="272">
        <f t="shared" si="316"/>
        <v>0</v>
      </c>
      <c r="AA569" s="272">
        <f t="shared" si="316"/>
        <v>0</v>
      </c>
      <c r="AB569" s="272">
        <f t="shared" si="316"/>
        <v>0</v>
      </c>
      <c r="AC569" s="272">
        <f t="shared" si="316"/>
        <v>0</v>
      </c>
      <c r="AD569" s="272">
        <f t="shared" si="316"/>
        <v>0</v>
      </c>
      <c r="AE569" s="272">
        <f t="shared" si="316"/>
        <v>0</v>
      </c>
      <c r="AF569" s="272">
        <f t="shared" si="316"/>
        <v>0</v>
      </c>
      <c r="AG569" s="272">
        <f t="shared" si="316"/>
        <v>0</v>
      </c>
      <c r="AH569" s="272">
        <f t="shared" si="316"/>
        <v>0</v>
      </c>
      <c r="AI569" s="272">
        <f t="shared" si="316"/>
        <v>0</v>
      </c>
      <c r="AJ569" s="272">
        <f t="shared" si="316"/>
        <v>0</v>
      </c>
      <c r="AK569" s="272">
        <f t="shared" si="316"/>
        <v>0</v>
      </c>
      <c r="AL569" s="272">
        <f t="shared" si="316"/>
        <v>0</v>
      </c>
      <c r="AM569" s="272">
        <f t="shared" si="316"/>
        <v>0</v>
      </c>
      <c r="AN569" s="272">
        <f t="shared" si="316"/>
        <v>0</v>
      </c>
      <c r="AO569" s="272">
        <f t="shared" si="316"/>
        <v>0</v>
      </c>
      <c r="AP569" s="272">
        <f t="shared" si="316"/>
        <v>0</v>
      </c>
    </row>
    <row r="570" spans="1:42" x14ac:dyDescent="0.2">
      <c r="A570" s="7">
        <f t="shared" si="314"/>
        <v>5</v>
      </c>
      <c r="B570" s="292">
        <f t="shared" si="311"/>
        <v>0</v>
      </c>
      <c r="C570" s="272">
        <f t="shared" ref="C570:AP570" si="317">IF(C$2&gt;analysis_period,0,IF(C$2=equip1_reserve_freq*$A570,equip1_reserve_cost*system_capacity*1000*(1+inflation_rate/100)^B$2,0))</f>
        <v>0</v>
      </c>
      <c r="D570" s="272">
        <f t="shared" si="317"/>
        <v>0</v>
      </c>
      <c r="E570" s="272">
        <f t="shared" si="317"/>
        <v>0</v>
      </c>
      <c r="F570" s="272">
        <f t="shared" si="317"/>
        <v>0</v>
      </c>
      <c r="G570" s="272">
        <f t="shared" si="317"/>
        <v>0</v>
      </c>
      <c r="H570" s="272">
        <f t="shared" si="317"/>
        <v>0</v>
      </c>
      <c r="I570" s="272">
        <f t="shared" si="317"/>
        <v>0</v>
      </c>
      <c r="J570" s="272">
        <f t="shared" si="317"/>
        <v>0</v>
      </c>
      <c r="K570" s="272">
        <f t="shared" si="317"/>
        <v>0</v>
      </c>
      <c r="L570" s="272">
        <f t="shared" si="317"/>
        <v>0</v>
      </c>
      <c r="M570" s="272">
        <f t="shared" si="317"/>
        <v>0</v>
      </c>
      <c r="N570" s="272">
        <f t="shared" si="317"/>
        <v>0</v>
      </c>
      <c r="O570" s="272">
        <f t="shared" si="317"/>
        <v>0</v>
      </c>
      <c r="P570" s="272">
        <f t="shared" si="317"/>
        <v>0</v>
      </c>
      <c r="Q570" s="272">
        <f t="shared" si="317"/>
        <v>0</v>
      </c>
      <c r="R570" s="272">
        <f t="shared" si="317"/>
        <v>0</v>
      </c>
      <c r="S570" s="272">
        <f t="shared" si="317"/>
        <v>0</v>
      </c>
      <c r="T570" s="272">
        <f t="shared" si="317"/>
        <v>0</v>
      </c>
      <c r="U570" s="272">
        <f t="shared" si="317"/>
        <v>0</v>
      </c>
      <c r="V570" s="272">
        <f t="shared" si="317"/>
        <v>0</v>
      </c>
      <c r="W570" s="272">
        <f t="shared" si="317"/>
        <v>0</v>
      </c>
      <c r="X570" s="272">
        <f t="shared" si="317"/>
        <v>0</v>
      </c>
      <c r="Y570" s="272">
        <f t="shared" si="317"/>
        <v>0</v>
      </c>
      <c r="Z570" s="272">
        <f t="shared" si="317"/>
        <v>0</v>
      </c>
      <c r="AA570" s="272">
        <f t="shared" si="317"/>
        <v>0</v>
      </c>
      <c r="AB570" s="272">
        <f t="shared" si="317"/>
        <v>0</v>
      </c>
      <c r="AC570" s="272">
        <f t="shared" si="317"/>
        <v>0</v>
      </c>
      <c r="AD570" s="272">
        <f t="shared" si="317"/>
        <v>0</v>
      </c>
      <c r="AE570" s="272">
        <f t="shared" si="317"/>
        <v>0</v>
      </c>
      <c r="AF570" s="272">
        <f t="shared" si="317"/>
        <v>0</v>
      </c>
      <c r="AG570" s="272">
        <f t="shared" si="317"/>
        <v>0</v>
      </c>
      <c r="AH570" s="272">
        <f t="shared" si="317"/>
        <v>0</v>
      </c>
      <c r="AI570" s="272">
        <f t="shared" si="317"/>
        <v>0</v>
      </c>
      <c r="AJ570" s="272">
        <f t="shared" si="317"/>
        <v>0</v>
      </c>
      <c r="AK570" s="272">
        <f t="shared" si="317"/>
        <v>0</v>
      </c>
      <c r="AL570" s="272">
        <f t="shared" si="317"/>
        <v>0</v>
      </c>
      <c r="AM570" s="272">
        <f t="shared" si="317"/>
        <v>0</v>
      </c>
      <c r="AN570" s="272">
        <f t="shared" si="317"/>
        <v>0</v>
      </c>
      <c r="AO570" s="272">
        <f t="shared" si="317"/>
        <v>0</v>
      </c>
      <c r="AP570" s="272">
        <f t="shared" si="317"/>
        <v>0</v>
      </c>
    </row>
    <row r="571" spans="1:42" x14ac:dyDescent="0.2">
      <c r="A571" s="7">
        <f t="shared" si="314"/>
        <v>6</v>
      </c>
      <c r="B571" s="292">
        <f t="shared" si="311"/>
        <v>0</v>
      </c>
      <c r="C571" s="272">
        <f t="shared" ref="C571:AP571" si="318">IF(C$2&gt;analysis_period,0,IF(C$2=equip1_reserve_freq*$A571,equip1_reserve_cost*system_capacity*1000*(1+inflation_rate/100)^B$2,0))</f>
        <v>0</v>
      </c>
      <c r="D571" s="272">
        <f t="shared" si="318"/>
        <v>0</v>
      </c>
      <c r="E571" s="272">
        <f t="shared" si="318"/>
        <v>0</v>
      </c>
      <c r="F571" s="272">
        <f t="shared" si="318"/>
        <v>0</v>
      </c>
      <c r="G571" s="272">
        <f t="shared" si="318"/>
        <v>0</v>
      </c>
      <c r="H571" s="272">
        <f t="shared" si="318"/>
        <v>0</v>
      </c>
      <c r="I571" s="272">
        <f t="shared" si="318"/>
        <v>0</v>
      </c>
      <c r="J571" s="272">
        <f t="shared" si="318"/>
        <v>0</v>
      </c>
      <c r="K571" s="272">
        <f t="shared" si="318"/>
        <v>0</v>
      </c>
      <c r="L571" s="272">
        <f t="shared" si="318"/>
        <v>0</v>
      </c>
      <c r="M571" s="272">
        <f t="shared" si="318"/>
        <v>0</v>
      </c>
      <c r="N571" s="272">
        <f t="shared" si="318"/>
        <v>0</v>
      </c>
      <c r="O571" s="272">
        <f t="shared" si="318"/>
        <v>0</v>
      </c>
      <c r="P571" s="272">
        <f t="shared" si="318"/>
        <v>0</v>
      </c>
      <c r="Q571" s="272">
        <f t="shared" si="318"/>
        <v>0</v>
      </c>
      <c r="R571" s="272">
        <f t="shared" si="318"/>
        <v>0</v>
      </c>
      <c r="S571" s="272">
        <f t="shared" si="318"/>
        <v>0</v>
      </c>
      <c r="T571" s="272">
        <f t="shared" si="318"/>
        <v>0</v>
      </c>
      <c r="U571" s="272">
        <f t="shared" si="318"/>
        <v>0</v>
      </c>
      <c r="V571" s="272">
        <f t="shared" si="318"/>
        <v>0</v>
      </c>
      <c r="W571" s="272">
        <f t="shared" si="318"/>
        <v>0</v>
      </c>
      <c r="X571" s="272">
        <f t="shared" si="318"/>
        <v>0</v>
      </c>
      <c r="Y571" s="272">
        <f t="shared" si="318"/>
        <v>0</v>
      </c>
      <c r="Z571" s="272">
        <f t="shared" si="318"/>
        <v>0</v>
      </c>
      <c r="AA571" s="272">
        <f t="shared" si="318"/>
        <v>0</v>
      </c>
      <c r="AB571" s="272">
        <f t="shared" si="318"/>
        <v>0</v>
      </c>
      <c r="AC571" s="272">
        <f t="shared" si="318"/>
        <v>0</v>
      </c>
      <c r="AD571" s="272">
        <f t="shared" si="318"/>
        <v>0</v>
      </c>
      <c r="AE571" s="272">
        <f t="shared" si="318"/>
        <v>0</v>
      </c>
      <c r="AF571" s="272">
        <f t="shared" si="318"/>
        <v>0</v>
      </c>
      <c r="AG571" s="272">
        <f t="shared" si="318"/>
        <v>0</v>
      </c>
      <c r="AH571" s="272">
        <f t="shared" si="318"/>
        <v>0</v>
      </c>
      <c r="AI571" s="272">
        <f t="shared" si="318"/>
        <v>0</v>
      </c>
      <c r="AJ571" s="272">
        <f t="shared" si="318"/>
        <v>0</v>
      </c>
      <c r="AK571" s="272">
        <f t="shared" si="318"/>
        <v>0</v>
      </c>
      <c r="AL571" s="272">
        <f t="shared" si="318"/>
        <v>0</v>
      </c>
      <c r="AM571" s="272">
        <f t="shared" si="318"/>
        <v>0</v>
      </c>
      <c r="AN571" s="272">
        <f t="shared" si="318"/>
        <v>0</v>
      </c>
      <c r="AO571" s="272">
        <f t="shared" si="318"/>
        <v>0</v>
      </c>
      <c r="AP571" s="272">
        <f t="shared" si="318"/>
        <v>0</v>
      </c>
    </row>
    <row r="572" spans="1:42" x14ac:dyDescent="0.2">
      <c r="A572" s="7">
        <f t="shared" si="314"/>
        <v>7</v>
      </c>
      <c r="B572" s="292">
        <f t="shared" si="311"/>
        <v>0</v>
      </c>
      <c r="C572" s="272">
        <f t="shared" ref="C572:AP572" si="319">IF(C$2&gt;analysis_period,0,IF(C$2=equip1_reserve_freq*$A572,equip1_reserve_cost*system_capacity*1000*(1+inflation_rate/100)^B$2,0))</f>
        <v>0</v>
      </c>
      <c r="D572" s="272">
        <f t="shared" si="319"/>
        <v>0</v>
      </c>
      <c r="E572" s="272">
        <f t="shared" si="319"/>
        <v>0</v>
      </c>
      <c r="F572" s="272">
        <f t="shared" si="319"/>
        <v>0</v>
      </c>
      <c r="G572" s="272">
        <f t="shared" si="319"/>
        <v>0</v>
      </c>
      <c r="H572" s="272">
        <f t="shared" si="319"/>
        <v>0</v>
      </c>
      <c r="I572" s="272">
        <f t="shared" si="319"/>
        <v>0</v>
      </c>
      <c r="J572" s="272">
        <f t="shared" si="319"/>
        <v>0</v>
      </c>
      <c r="K572" s="272">
        <f t="shared" si="319"/>
        <v>0</v>
      </c>
      <c r="L572" s="272">
        <f t="shared" si="319"/>
        <v>0</v>
      </c>
      <c r="M572" s="272">
        <f t="shared" si="319"/>
        <v>0</v>
      </c>
      <c r="N572" s="272">
        <f t="shared" si="319"/>
        <v>0</v>
      </c>
      <c r="O572" s="272">
        <f t="shared" si="319"/>
        <v>0</v>
      </c>
      <c r="P572" s="272">
        <f t="shared" si="319"/>
        <v>0</v>
      </c>
      <c r="Q572" s="272">
        <f t="shared" si="319"/>
        <v>0</v>
      </c>
      <c r="R572" s="272">
        <f t="shared" si="319"/>
        <v>0</v>
      </c>
      <c r="S572" s="272">
        <f t="shared" si="319"/>
        <v>0</v>
      </c>
      <c r="T572" s="272">
        <f t="shared" si="319"/>
        <v>0</v>
      </c>
      <c r="U572" s="272">
        <f t="shared" si="319"/>
        <v>0</v>
      </c>
      <c r="V572" s="272">
        <f t="shared" si="319"/>
        <v>0</v>
      </c>
      <c r="W572" s="272">
        <f t="shared" si="319"/>
        <v>0</v>
      </c>
      <c r="X572" s="272">
        <f t="shared" si="319"/>
        <v>0</v>
      </c>
      <c r="Y572" s="272">
        <f t="shared" si="319"/>
        <v>0</v>
      </c>
      <c r="Z572" s="272">
        <f t="shared" si="319"/>
        <v>0</v>
      </c>
      <c r="AA572" s="272">
        <f t="shared" si="319"/>
        <v>0</v>
      </c>
      <c r="AB572" s="272">
        <f t="shared" si="319"/>
        <v>0</v>
      </c>
      <c r="AC572" s="272">
        <f t="shared" si="319"/>
        <v>0</v>
      </c>
      <c r="AD572" s="272">
        <f t="shared" si="319"/>
        <v>0</v>
      </c>
      <c r="AE572" s="272">
        <f t="shared" si="319"/>
        <v>0</v>
      </c>
      <c r="AF572" s="272">
        <f t="shared" si="319"/>
        <v>0</v>
      </c>
      <c r="AG572" s="272">
        <f t="shared" si="319"/>
        <v>0</v>
      </c>
      <c r="AH572" s="272">
        <f t="shared" si="319"/>
        <v>0</v>
      </c>
      <c r="AI572" s="272">
        <f t="shared" si="319"/>
        <v>0</v>
      </c>
      <c r="AJ572" s="272">
        <f t="shared" si="319"/>
        <v>0</v>
      </c>
      <c r="AK572" s="272">
        <f t="shared" si="319"/>
        <v>0</v>
      </c>
      <c r="AL572" s="272">
        <f t="shared" si="319"/>
        <v>0</v>
      </c>
      <c r="AM572" s="272">
        <f t="shared" si="319"/>
        <v>0</v>
      </c>
      <c r="AN572" s="272">
        <f t="shared" si="319"/>
        <v>0</v>
      </c>
      <c r="AO572" s="272">
        <f t="shared" si="319"/>
        <v>0</v>
      </c>
      <c r="AP572" s="272">
        <f t="shared" si="319"/>
        <v>0</v>
      </c>
    </row>
    <row r="573" spans="1:42" x14ac:dyDescent="0.2">
      <c r="A573" s="7">
        <f t="shared" si="314"/>
        <v>8</v>
      </c>
      <c r="B573" s="292">
        <f t="shared" si="311"/>
        <v>0</v>
      </c>
      <c r="C573" s="272">
        <f t="shared" ref="C573:AP573" si="320">IF(C$2&gt;analysis_period,0,IF(C$2=equip1_reserve_freq*$A573,equip1_reserve_cost*system_capacity*1000*(1+inflation_rate/100)^B$2,0))</f>
        <v>0</v>
      </c>
      <c r="D573" s="272">
        <f t="shared" si="320"/>
        <v>0</v>
      </c>
      <c r="E573" s="272">
        <f t="shared" si="320"/>
        <v>0</v>
      </c>
      <c r="F573" s="272">
        <f t="shared" si="320"/>
        <v>0</v>
      </c>
      <c r="G573" s="272">
        <f t="shared" si="320"/>
        <v>0</v>
      </c>
      <c r="H573" s="272">
        <f t="shared" si="320"/>
        <v>0</v>
      </c>
      <c r="I573" s="272">
        <f t="shared" si="320"/>
        <v>0</v>
      </c>
      <c r="J573" s="272">
        <f t="shared" si="320"/>
        <v>0</v>
      </c>
      <c r="K573" s="272">
        <f t="shared" si="320"/>
        <v>0</v>
      </c>
      <c r="L573" s="272">
        <f t="shared" si="320"/>
        <v>0</v>
      </c>
      <c r="M573" s="272">
        <f t="shared" si="320"/>
        <v>0</v>
      </c>
      <c r="N573" s="272">
        <f t="shared" si="320"/>
        <v>0</v>
      </c>
      <c r="O573" s="272">
        <f t="shared" si="320"/>
        <v>0</v>
      </c>
      <c r="P573" s="272">
        <f t="shared" si="320"/>
        <v>0</v>
      </c>
      <c r="Q573" s="272">
        <f t="shared" si="320"/>
        <v>0</v>
      </c>
      <c r="R573" s="272">
        <f t="shared" si="320"/>
        <v>0</v>
      </c>
      <c r="S573" s="272">
        <f t="shared" si="320"/>
        <v>0</v>
      </c>
      <c r="T573" s="272">
        <f t="shared" si="320"/>
        <v>0</v>
      </c>
      <c r="U573" s="272">
        <f t="shared" si="320"/>
        <v>0</v>
      </c>
      <c r="V573" s="272">
        <f t="shared" si="320"/>
        <v>0</v>
      </c>
      <c r="W573" s="272">
        <f t="shared" si="320"/>
        <v>0</v>
      </c>
      <c r="X573" s="272">
        <f t="shared" si="320"/>
        <v>0</v>
      </c>
      <c r="Y573" s="272">
        <f t="shared" si="320"/>
        <v>0</v>
      </c>
      <c r="Z573" s="272">
        <f t="shared" si="320"/>
        <v>0</v>
      </c>
      <c r="AA573" s="272">
        <f t="shared" si="320"/>
        <v>0</v>
      </c>
      <c r="AB573" s="272">
        <f t="shared" si="320"/>
        <v>0</v>
      </c>
      <c r="AC573" s="272">
        <f t="shared" si="320"/>
        <v>0</v>
      </c>
      <c r="AD573" s="272">
        <f t="shared" si="320"/>
        <v>0</v>
      </c>
      <c r="AE573" s="272">
        <f t="shared" si="320"/>
        <v>0</v>
      </c>
      <c r="AF573" s="272">
        <f t="shared" si="320"/>
        <v>0</v>
      </c>
      <c r="AG573" s="272">
        <f t="shared" si="320"/>
        <v>0</v>
      </c>
      <c r="AH573" s="272">
        <f t="shared" si="320"/>
        <v>0</v>
      </c>
      <c r="AI573" s="272">
        <f t="shared" si="320"/>
        <v>0</v>
      </c>
      <c r="AJ573" s="272">
        <f t="shared" si="320"/>
        <v>0</v>
      </c>
      <c r="AK573" s="272">
        <f t="shared" si="320"/>
        <v>0</v>
      </c>
      <c r="AL573" s="272">
        <f t="shared" si="320"/>
        <v>0</v>
      </c>
      <c r="AM573" s="272">
        <f t="shared" si="320"/>
        <v>0</v>
      </c>
      <c r="AN573" s="272">
        <f t="shared" si="320"/>
        <v>0</v>
      </c>
      <c r="AO573" s="272">
        <f t="shared" si="320"/>
        <v>0</v>
      </c>
      <c r="AP573" s="272">
        <f t="shared" si="320"/>
        <v>0</v>
      </c>
    </row>
    <row r="574" spans="1:42" x14ac:dyDescent="0.2">
      <c r="A574" s="7">
        <f>A573+1</f>
        <v>9</v>
      </c>
      <c r="B574" s="292">
        <f t="shared" si="311"/>
        <v>0</v>
      </c>
      <c r="C574" s="272">
        <f t="shared" ref="C574:AP574" si="321">IF(C$2&gt;analysis_period,0,IF(C$2=equip1_reserve_freq*$A574,equip1_reserve_cost*system_capacity*1000*(1+inflation_rate/100)^B$2,0))</f>
        <v>0</v>
      </c>
      <c r="D574" s="272">
        <f t="shared" si="321"/>
        <v>0</v>
      </c>
      <c r="E574" s="272">
        <f t="shared" si="321"/>
        <v>0</v>
      </c>
      <c r="F574" s="272">
        <f t="shared" si="321"/>
        <v>0</v>
      </c>
      <c r="G574" s="272">
        <f t="shared" si="321"/>
        <v>0</v>
      </c>
      <c r="H574" s="272">
        <f t="shared" si="321"/>
        <v>0</v>
      </c>
      <c r="I574" s="272">
        <f t="shared" si="321"/>
        <v>0</v>
      </c>
      <c r="J574" s="272">
        <f t="shared" si="321"/>
        <v>0</v>
      </c>
      <c r="K574" s="272">
        <f t="shared" si="321"/>
        <v>0</v>
      </c>
      <c r="L574" s="272">
        <f t="shared" si="321"/>
        <v>0</v>
      </c>
      <c r="M574" s="272">
        <f t="shared" si="321"/>
        <v>0</v>
      </c>
      <c r="N574" s="272">
        <f t="shared" si="321"/>
        <v>0</v>
      </c>
      <c r="O574" s="272">
        <f t="shared" si="321"/>
        <v>0</v>
      </c>
      <c r="P574" s="272">
        <f t="shared" si="321"/>
        <v>0</v>
      </c>
      <c r="Q574" s="272">
        <f t="shared" si="321"/>
        <v>0</v>
      </c>
      <c r="R574" s="272">
        <f t="shared" si="321"/>
        <v>0</v>
      </c>
      <c r="S574" s="272">
        <f t="shared" si="321"/>
        <v>0</v>
      </c>
      <c r="T574" s="272">
        <f t="shared" si="321"/>
        <v>0</v>
      </c>
      <c r="U574" s="272">
        <f t="shared" si="321"/>
        <v>0</v>
      </c>
      <c r="V574" s="272">
        <f t="shared" si="321"/>
        <v>0</v>
      </c>
      <c r="W574" s="272">
        <f t="shared" si="321"/>
        <v>0</v>
      </c>
      <c r="X574" s="272">
        <f t="shared" si="321"/>
        <v>0</v>
      </c>
      <c r="Y574" s="272">
        <f t="shared" si="321"/>
        <v>0</v>
      </c>
      <c r="Z574" s="272">
        <f t="shared" si="321"/>
        <v>0</v>
      </c>
      <c r="AA574" s="272">
        <f t="shared" si="321"/>
        <v>0</v>
      </c>
      <c r="AB574" s="272">
        <f t="shared" si="321"/>
        <v>0</v>
      </c>
      <c r="AC574" s="272">
        <f t="shared" si="321"/>
        <v>0</v>
      </c>
      <c r="AD574" s="272">
        <f t="shared" si="321"/>
        <v>0</v>
      </c>
      <c r="AE574" s="272">
        <f t="shared" si="321"/>
        <v>0</v>
      </c>
      <c r="AF574" s="272">
        <f t="shared" si="321"/>
        <v>0</v>
      </c>
      <c r="AG574" s="272">
        <f t="shared" si="321"/>
        <v>0</v>
      </c>
      <c r="AH574" s="272">
        <f t="shared" si="321"/>
        <v>0</v>
      </c>
      <c r="AI574" s="272">
        <f t="shared" si="321"/>
        <v>0</v>
      </c>
      <c r="AJ574" s="272">
        <f t="shared" si="321"/>
        <v>0</v>
      </c>
      <c r="AK574" s="272">
        <f t="shared" si="321"/>
        <v>0</v>
      </c>
      <c r="AL574" s="272">
        <f t="shared" si="321"/>
        <v>0</v>
      </c>
      <c r="AM574" s="272">
        <f t="shared" si="321"/>
        <v>0</v>
      </c>
      <c r="AN574" s="272">
        <f t="shared" si="321"/>
        <v>0</v>
      </c>
      <c r="AO574" s="272">
        <f t="shared" si="321"/>
        <v>0</v>
      </c>
      <c r="AP574" s="272">
        <f t="shared" si="321"/>
        <v>0</v>
      </c>
    </row>
    <row r="575" spans="1:42" x14ac:dyDescent="0.2">
      <c r="A575" s="7">
        <f t="shared" si="314"/>
        <v>10</v>
      </c>
      <c r="B575" s="292">
        <f t="shared" si="311"/>
        <v>0</v>
      </c>
      <c r="C575" s="272">
        <f t="shared" ref="C575:AP575" si="322">IF(C$2&gt;analysis_period,0,IF(C$2=equip1_reserve_freq*$A575,equip1_reserve_cost*system_capacity*1000*(1+inflation_rate/100)^B$2,0))</f>
        <v>0</v>
      </c>
      <c r="D575" s="272">
        <f t="shared" si="322"/>
        <v>0</v>
      </c>
      <c r="E575" s="272">
        <f t="shared" si="322"/>
        <v>0</v>
      </c>
      <c r="F575" s="272">
        <f t="shared" si="322"/>
        <v>0</v>
      </c>
      <c r="G575" s="272">
        <f t="shared" si="322"/>
        <v>0</v>
      </c>
      <c r="H575" s="272">
        <f t="shared" si="322"/>
        <v>0</v>
      </c>
      <c r="I575" s="272">
        <f t="shared" si="322"/>
        <v>0</v>
      </c>
      <c r="J575" s="272">
        <f t="shared" si="322"/>
        <v>0</v>
      </c>
      <c r="K575" s="272">
        <f t="shared" si="322"/>
        <v>0</v>
      </c>
      <c r="L575" s="272">
        <f t="shared" si="322"/>
        <v>0</v>
      </c>
      <c r="M575" s="272">
        <f t="shared" si="322"/>
        <v>0</v>
      </c>
      <c r="N575" s="272">
        <f t="shared" si="322"/>
        <v>0</v>
      </c>
      <c r="O575" s="272">
        <f t="shared" si="322"/>
        <v>0</v>
      </c>
      <c r="P575" s="272">
        <f t="shared" si="322"/>
        <v>0</v>
      </c>
      <c r="Q575" s="272">
        <f t="shared" si="322"/>
        <v>0</v>
      </c>
      <c r="R575" s="272">
        <f t="shared" si="322"/>
        <v>0</v>
      </c>
      <c r="S575" s="272">
        <f t="shared" si="322"/>
        <v>0</v>
      </c>
      <c r="T575" s="272">
        <f t="shared" si="322"/>
        <v>0</v>
      </c>
      <c r="U575" s="272">
        <f t="shared" si="322"/>
        <v>0</v>
      </c>
      <c r="V575" s="272">
        <f t="shared" si="322"/>
        <v>0</v>
      </c>
      <c r="W575" s="272">
        <f t="shared" si="322"/>
        <v>0</v>
      </c>
      <c r="X575" s="272">
        <f t="shared" si="322"/>
        <v>0</v>
      </c>
      <c r="Y575" s="272">
        <f t="shared" si="322"/>
        <v>0</v>
      </c>
      <c r="Z575" s="272">
        <f t="shared" si="322"/>
        <v>0</v>
      </c>
      <c r="AA575" s="272">
        <f t="shared" si="322"/>
        <v>0</v>
      </c>
      <c r="AB575" s="272">
        <f t="shared" si="322"/>
        <v>0</v>
      </c>
      <c r="AC575" s="272">
        <f t="shared" si="322"/>
        <v>0</v>
      </c>
      <c r="AD575" s="272">
        <f t="shared" si="322"/>
        <v>0</v>
      </c>
      <c r="AE575" s="272">
        <f t="shared" si="322"/>
        <v>0</v>
      </c>
      <c r="AF575" s="272">
        <f t="shared" si="322"/>
        <v>0</v>
      </c>
      <c r="AG575" s="272">
        <f t="shared" si="322"/>
        <v>0</v>
      </c>
      <c r="AH575" s="272">
        <f t="shared" si="322"/>
        <v>0</v>
      </c>
      <c r="AI575" s="272">
        <f t="shared" si="322"/>
        <v>0</v>
      </c>
      <c r="AJ575" s="272">
        <f t="shared" si="322"/>
        <v>0</v>
      </c>
      <c r="AK575" s="272">
        <f t="shared" si="322"/>
        <v>0</v>
      </c>
      <c r="AL575" s="272">
        <f t="shared" si="322"/>
        <v>0</v>
      </c>
      <c r="AM575" s="272">
        <f t="shared" si="322"/>
        <v>0</v>
      </c>
      <c r="AN575" s="272">
        <f t="shared" si="322"/>
        <v>0</v>
      </c>
      <c r="AO575" s="272">
        <f t="shared" si="322"/>
        <v>0</v>
      </c>
      <c r="AP575" s="272">
        <f t="shared" si="322"/>
        <v>0</v>
      </c>
    </row>
    <row r="576" spans="1:42" x14ac:dyDescent="0.2">
      <c r="A576" s="44" t="s">
        <v>18</v>
      </c>
      <c r="B576" s="34"/>
      <c r="C576" s="276">
        <f>SUM(C566:C575)</f>
        <v>0</v>
      </c>
      <c r="D576" s="276">
        <f t="shared" ref="D576:AD576" si="323">SUM(D566:D575)</f>
        <v>0</v>
      </c>
      <c r="E576" s="276">
        <f t="shared" si="323"/>
        <v>0</v>
      </c>
      <c r="F576" s="276">
        <f t="shared" si="323"/>
        <v>0</v>
      </c>
      <c r="G576" s="276">
        <f t="shared" si="323"/>
        <v>0</v>
      </c>
      <c r="H576" s="276">
        <f t="shared" si="323"/>
        <v>0</v>
      </c>
      <c r="I576" s="276">
        <f t="shared" si="323"/>
        <v>0</v>
      </c>
      <c r="J576" s="276">
        <f t="shared" si="323"/>
        <v>0</v>
      </c>
      <c r="K576" s="276">
        <f t="shared" si="323"/>
        <v>0</v>
      </c>
      <c r="L576" s="276">
        <f t="shared" si="323"/>
        <v>0</v>
      </c>
      <c r="M576" s="276">
        <f t="shared" si="323"/>
        <v>0</v>
      </c>
      <c r="N576" s="276">
        <f t="shared" si="323"/>
        <v>6560433.2890063301</v>
      </c>
      <c r="O576" s="276">
        <f t="shared" si="323"/>
        <v>0</v>
      </c>
      <c r="P576" s="276">
        <f t="shared" si="323"/>
        <v>0</v>
      </c>
      <c r="Q576" s="276">
        <f t="shared" si="323"/>
        <v>0</v>
      </c>
      <c r="R576" s="276">
        <f t="shared" si="323"/>
        <v>0</v>
      </c>
      <c r="S576" s="276">
        <f t="shared" si="323"/>
        <v>0</v>
      </c>
      <c r="T576" s="276">
        <f t="shared" si="323"/>
        <v>0</v>
      </c>
      <c r="U576" s="276">
        <f t="shared" si="323"/>
        <v>0</v>
      </c>
      <c r="V576" s="276">
        <f t="shared" si="323"/>
        <v>0</v>
      </c>
      <c r="W576" s="276">
        <f t="shared" si="323"/>
        <v>0</v>
      </c>
      <c r="X576" s="276">
        <f t="shared" si="323"/>
        <v>0</v>
      </c>
      <c r="Y576" s="276">
        <f t="shared" si="323"/>
        <v>0</v>
      </c>
      <c r="Z576" s="276">
        <f t="shared" si="323"/>
        <v>8823053.4125979953</v>
      </c>
      <c r="AA576" s="276">
        <f t="shared" si="323"/>
        <v>0</v>
      </c>
      <c r="AB576" s="276">
        <f t="shared" si="323"/>
        <v>0</v>
      </c>
      <c r="AC576" s="276">
        <f t="shared" si="323"/>
        <v>0</v>
      </c>
      <c r="AD576" s="276">
        <f t="shared" si="323"/>
        <v>0</v>
      </c>
      <c r="AE576" s="276">
        <f t="shared" ref="AE576" si="324">SUM(AE566:AE575)</f>
        <v>0</v>
      </c>
      <c r="AF576" s="276">
        <f t="shared" ref="AF576:AP576" si="325">SUM(AF566:AF575)</f>
        <v>0</v>
      </c>
      <c r="AG576" s="276">
        <f t="shared" si="325"/>
        <v>0</v>
      </c>
      <c r="AH576" s="276">
        <f t="shared" si="325"/>
        <v>0</v>
      </c>
      <c r="AI576" s="276">
        <f t="shared" si="325"/>
        <v>0</v>
      </c>
      <c r="AJ576" s="276">
        <f t="shared" si="325"/>
        <v>0</v>
      </c>
      <c r="AK576" s="276">
        <f t="shared" si="325"/>
        <v>0</v>
      </c>
      <c r="AL576" s="276">
        <f t="shared" si="325"/>
        <v>0</v>
      </c>
      <c r="AM576" s="276">
        <f t="shared" si="325"/>
        <v>0</v>
      </c>
      <c r="AN576" s="276">
        <f t="shared" si="325"/>
        <v>0</v>
      </c>
      <c r="AO576" s="276">
        <f t="shared" si="325"/>
        <v>0</v>
      </c>
      <c r="AP576" s="276">
        <f t="shared" si="325"/>
        <v>0</v>
      </c>
    </row>
    <row r="577" spans="1:42" x14ac:dyDescent="0.2">
      <c r="A577" s="7" t="s">
        <v>102</v>
      </c>
      <c r="B577" s="25"/>
      <c r="C577" s="25"/>
      <c r="D577" s="25"/>
      <c r="E577" s="25"/>
      <c r="F577" s="2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x14ac:dyDescent="0.2">
      <c r="A578" s="7">
        <v>1</v>
      </c>
      <c r="B578" s="292">
        <f t="shared" ref="B578:B587" si="326">SUM(C578:AP578)</f>
        <v>6560433.289006331</v>
      </c>
      <c r="C578" s="276">
        <f t="shared" ref="C578:AP578" si="327">IF(C$2&lt;=equip1_reserve_freq*$A$566,$B$566/(equip1_reserve_freq),0)</f>
        <v>546702.7740838608</v>
      </c>
      <c r="D578" s="276">
        <f t="shared" si="327"/>
        <v>546702.7740838608</v>
      </c>
      <c r="E578" s="276">
        <f t="shared" si="327"/>
        <v>546702.7740838608</v>
      </c>
      <c r="F578" s="276">
        <f t="shared" si="327"/>
        <v>546702.7740838608</v>
      </c>
      <c r="G578" s="276">
        <f t="shared" si="327"/>
        <v>546702.7740838608</v>
      </c>
      <c r="H578" s="276">
        <f t="shared" si="327"/>
        <v>546702.7740838608</v>
      </c>
      <c r="I578" s="276">
        <f t="shared" si="327"/>
        <v>546702.7740838608</v>
      </c>
      <c r="J578" s="276">
        <f t="shared" si="327"/>
        <v>546702.7740838608</v>
      </c>
      <c r="K578" s="276">
        <f t="shared" si="327"/>
        <v>546702.7740838608</v>
      </c>
      <c r="L578" s="276">
        <f t="shared" si="327"/>
        <v>546702.7740838608</v>
      </c>
      <c r="M578" s="276">
        <f t="shared" si="327"/>
        <v>546702.7740838608</v>
      </c>
      <c r="N578" s="276">
        <f t="shared" si="327"/>
        <v>546702.7740838608</v>
      </c>
      <c r="O578" s="276">
        <f t="shared" si="327"/>
        <v>0</v>
      </c>
      <c r="P578" s="276">
        <f t="shared" si="327"/>
        <v>0</v>
      </c>
      <c r="Q578" s="276">
        <f t="shared" si="327"/>
        <v>0</v>
      </c>
      <c r="R578" s="276">
        <f t="shared" si="327"/>
        <v>0</v>
      </c>
      <c r="S578" s="276">
        <f t="shared" si="327"/>
        <v>0</v>
      </c>
      <c r="T578" s="276">
        <f t="shared" si="327"/>
        <v>0</v>
      </c>
      <c r="U578" s="276">
        <f t="shared" si="327"/>
        <v>0</v>
      </c>
      <c r="V578" s="276">
        <f t="shared" si="327"/>
        <v>0</v>
      </c>
      <c r="W578" s="276">
        <f t="shared" si="327"/>
        <v>0</v>
      </c>
      <c r="X578" s="276">
        <f t="shared" si="327"/>
        <v>0</v>
      </c>
      <c r="Y578" s="276">
        <f t="shared" si="327"/>
        <v>0</v>
      </c>
      <c r="Z578" s="276">
        <f t="shared" si="327"/>
        <v>0</v>
      </c>
      <c r="AA578" s="276">
        <f t="shared" si="327"/>
        <v>0</v>
      </c>
      <c r="AB578" s="276">
        <f t="shared" si="327"/>
        <v>0</v>
      </c>
      <c r="AC578" s="276">
        <f t="shared" si="327"/>
        <v>0</v>
      </c>
      <c r="AD578" s="276">
        <f t="shared" si="327"/>
        <v>0</v>
      </c>
      <c r="AE578" s="276">
        <f t="shared" si="327"/>
        <v>0</v>
      </c>
      <c r="AF578" s="276">
        <f t="shared" si="327"/>
        <v>0</v>
      </c>
      <c r="AG578" s="276">
        <f t="shared" si="327"/>
        <v>0</v>
      </c>
      <c r="AH578" s="276">
        <f t="shared" si="327"/>
        <v>0</v>
      </c>
      <c r="AI578" s="276">
        <f t="shared" si="327"/>
        <v>0</v>
      </c>
      <c r="AJ578" s="276">
        <f t="shared" si="327"/>
        <v>0</v>
      </c>
      <c r="AK578" s="276">
        <f t="shared" si="327"/>
        <v>0</v>
      </c>
      <c r="AL578" s="276">
        <f t="shared" si="327"/>
        <v>0</v>
      </c>
      <c r="AM578" s="276">
        <f t="shared" si="327"/>
        <v>0</v>
      </c>
      <c r="AN578" s="276">
        <f t="shared" si="327"/>
        <v>0</v>
      </c>
      <c r="AO578" s="276">
        <f t="shared" si="327"/>
        <v>0</v>
      </c>
      <c r="AP578" s="276">
        <f t="shared" si="327"/>
        <v>0</v>
      </c>
    </row>
    <row r="579" spans="1:42" x14ac:dyDescent="0.2">
      <c r="A579" s="7">
        <f>A578+1</f>
        <v>2</v>
      </c>
      <c r="B579" s="292">
        <f t="shared" si="326"/>
        <v>8823053.4125979934</v>
      </c>
      <c r="C579" s="294">
        <f t="shared" ref="C579:AP579" si="328">IF(AND(C$2&gt;equip1_reserve_freq*$A566,C$2&lt;=equip1_reserve_freq*$A567),$B567/(equip1_reserve_freq),0)</f>
        <v>0</v>
      </c>
      <c r="D579" s="272">
        <f t="shared" si="328"/>
        <v>0</v>
      </c>
      <c r="E579" s="272">
        <f t="shared" si="328"/>
        <v>0</v>
      </c>
      <c r="F579" s="272">
        <f t="shared" si="328"/>
        <v>0</v>
      </c>
      <c r="G579" s="272">
        <f t="shared" si="328"/>
        <v>0</v>
      </c>
      <c r="H579" s="272">
        <f t="shared" si="328"/>
        <v>0</v>
      </c>
      <c r="I579" s="272">
        <f t="shared" si="328"/>
        <v>0</v>
      </c>
      <c r="J579" s="272">
        <f t="shared" si="328"/>
        <v>0</v>
      </c>
      <c r="K579" s="272">
        <f t="shared" si="328"/>
        <v>0</v>
      </c>
      <c r="L579" s="272">
        <f t="shared" si="328"/>
        <v>0</v>
      </c>
      <c r="M579" s="272">
        <f t="shared" si="328"/>
        <v>0</v>
      </c>
      <c r="N579" s="272">
        <f t="shared" si="328"/>
        <v>0</v>
      </c>
      <c r="O579" s="272">
        <f t="shared" si="328"/>
        <v>735254.45104983298</v>
      </c>
      <c r="P579" s="272">
        <f t="shared" si="328"/>
        <v>735254.45104983298</v>
      </c>
      <c r="Q579" s="272">
        <f t="shared" si="328"/>
        <v>735254.45104983298</v>
      </c>
      <c r="R579" s="272">
        <f t="shared" si="328"/>
        <v>735254.45104983298</v>
      </c>
      <c r="S579" s="272">
        <f t="shared" si="328"/>
        <v>735254.45104983298</v>
      </c>
      <c r="T579" s="272">
        <f t="shared" si="328"/>
        <v>735254.45104983298</v>
      </c>
      <c r="U579" s="272">
        <f t="shared" si="328"/>
        <v>735254.45104983298</v>
      </c>
      <c r="V579" s="272">
        <f t="shared" si="328"/>
        <v>735254.45104983298</v>
      </c>
      <c r="W579" s="272">
        <f t="shared" si="328"/>
        <v>735254.45104983298</v>
      </c>
      <c r="X579" s="272">
        <f t="shared" si="328"/>
        <v>735254.45104983298</v>
      </c>
      <c r="Y579" s="272">
        <f t="shared" si="328"/>
        <v>735254.45104983298</v>
      </c>
      <c r="Z579" s="272">
        <f t="shared" si="328"/>
        <v>735254.45104983298</v>
      </c>
      <c r="AA579" s="272">
        <f t="shared" si="328"/>
        <v>0</v>
      </c>
      <c r="AB579" s="272">
        <f t="shared" si="328"/>
        <v>0</v>
      </c>
      <c r="AC579" s="272">
        <f t="shared" si="328"/>
        <v>0</v>
      </c>
      <c r="AD579" s="272">
        <f t="shared" si="328"/>
        <v>0</v>
      </c>
      <c r="AE579" s="272">
        <f t="shared" si="328"/>
        <v>0</v>
      </c>
      <c r="AF579" s="272">
        <f t="shared" si="328"/>
        <v>0</v>
      </c>
      <c r="AG579" s="272">
        <f t="shared" si="328"/>
        <v>0</v>
      </c>
      <c r="AH579" s="272">
        <f t="shared" si="328"/>
        <v>0</v>
      </c>
      <c r="AI579" s="272">
        <f t="shared" si="328"/>
        <v>0</v>
      </c>
      <c r="AJ579" s="272">
        <f t="shared" si="328"/>
        <v>0</v>
      </c>
      <c r="AK579" s="272">
        <f t="shared" si="328"/>
        <v>0</v>
      </c>
      <c r="AL579" s="272">
        <f t="shared" si="328"/>
        <v>0</v>
      </c>
      <c r="AM579" s="272">
        <f t="shared" si="328"/>
        <v>0</v>
      </c>
      <c r="AN579" s="272">
        <f t="shared" si="328"/>
        <v>0</v>
      </c>
      <c r="AO579" s="272">
        <f t="shared" si="328"/>
        <v>0</v>
      </c>
      <c r="AP579" s="272">
        <f t="shared" si="328"/>
        <v>0</v>
      </c>
    </row>
    <row r="580" spans="1:42" x14ac:dyDescent="0.2">
      <c r="A580" s="7">
        <f t="shared" ref="A580:A585" si="329">A579+1</f>
        <v>3</v>
      </c>
      <c r="B580" s="292">
        <f t="shared" si="326"/>
        <v>0</v>
      </c>
      <c r="C580" s="294">
        <f t="shared" ref="C580:AP580" si="330">IF(AND(C$2&gt;equip1_reserve_freq*$A567,C$2&lt;=equip1_reserve_freq*$A568),$B568/(equip1_reserve_freq),0)</f>
        <v>0</v>
      </c>
      <c r="D580" s="272">
        <f t="shared" si="330"/>
        <v>0</v>
      </c>
      <c r="E580" s="272">
        <f t="shared" si="330"/>
        <v>0</v>
      </c>
      <c r="F580" s="272">
        <f t="shared" si="330"/>
        <v>0</v>
      </c>
      <c r="G580" s="272">
        <f t="shared" si="330"/>
        <v>0</v>
      </c>
      <c r="H580" s="272">
        <f t="shared" si="330"/>
        <v>0</v>
      </c>
      <c r="I580" s="272">
        <f t="shared" si="330"/>
        <v>0</v>
      </c>
      <c r="J580" s="272">
        <f t="shared" si="330"/>
        <v>0</v>
      </c>
      <c r="K580" s="272">
        <f t="shared" si="330"/>
        <v>0</v>
      </c>
      <c r="L580" s="272">
        <f t="shared" si="330"/>
        <v>0</v>
      </c>
      <c r="M580" s="272">
        <f t="shared" si="330"/>
        <v>0</v>
      </c>
      <c r="N580" s="272">
        <f t="shared" si="330"/>
        <v>0</v>
      </c>
      <c r="O580" s="272">
        <f t="shared" si="330"/>
        <v>0</v>
      </c>
      <c r="P580" s="272">
        <f t="shared" si="330"/>
        <v>0</v>
      </c>
      <c r="Q580" s="272">
        <f t="shared" si="330"/>
        <v>0</v>
      </c>
      <c r="R580" s="272">
        <f t="shared" si="330"/>
        <v>0</v>
      </c>
      <c r="S580" s="272">
        <f t="shared" si="330"/>
        <v>0</v>
      </c>
      <c r="T580" s="272">
        <f t="shared" si="330"/>
        <v>0</v>
      </c>
      <c r="U580" s="272">
        <f t="shared" si="330"/>
        <v>0</v>
      </c>
      <c r="V580" s="272">
        <f t="shared" si="330"/>
        <v>0</v>
      </c>
      <c r="W580" s="272">
        <f t="shared" si="330"/>
        <v>0</v>
      </c>
      <c r="X580" s="272">
        <f t="shared" si="330"/>
        <v>0</v>
      </c>
      <c r="Y580" s="272">
        <f t="shared" si="330"/>
        <v>0</v>
      </c>
      <c r="Z580" s="272">
        <f t="shared" si="330"/>
        <v>0</v>
      </c>
      <c r="AA580" s="272">
        <f t="shared" si="330"/>
        <v>0</v>
      </c>
      <c r="AB580" s="272">
        <f t="shared" si="330"/>
        <v>0</v>
      </c>
      <c r="AC580" s="272">
        <f t="shared" si="330"/>
        <v>0</v>
      </c>
      <c r="AD580" s="272">
        <f t="shared" si="330"/>
        <v>0</v>
      </c>
      <c r="AE580" s="272">
        <f t="shared" si="330"/>
        <v>0</v>
      </c>
      <c r="AF580" s="272">
        <f t="shared" si="330"/>
        <v>0</v>
      </c>
      <c r="AG580" s="272">
        <f t="shared" si="330"/>
        <v>0</v>
      </c>
      <c r="AH580" s="272">
        <f t="shared" si="330"/>
        <v>0</v>
      </c>
      <c r="AI580" s="272">
        <f t="shared" si="330"/>
        <v>0</v>
      </c>
      <c r="AJ580" s="272">
        <f t="shared" si="330"/>
        <v>0</v>
      </c>
      <c r="AK580" s="272">
        <f t="shared" si="330"/>
        <v>0</v>
      </c>
      <c r="AL580" s="272">
        <f t="shared" si="330"/>
        <v>0</v>
      </c>
      <c r="AM580" s="272">
        <f t="shared" si="330"/>
        <v>0</v>
      </c>
      <c r="AN580" s="272">
        <f t="shared" si="330"/>
        <v>0</v>
      </c>
      <c r="AO580" s="272">
        <f t="shared" si="330"/>
        <v>0</v>
      </c>
      <c r="AP580" s="272">
        <f t="shared" si="330"/>
        <v>0</v>
      </c>
    </row>
    <row r="581" spans="1:42" x14ac:dyDescent="0.2">
      <c r="A581" s="7">
        <f t="shared" si="329"/>
        <v>4</v>
      </c>
      <c r="B581" s="292">
        <f t="shared" si="326"/>
        <v>0</v>
      </c>
      <c r="C581" s="294">
        <f t="shared" ref="C581:AP581" si="331">IF(AND(C$2&gt;equip1_reserve_freq*$A568,C$2&lt;=equip1_reserve_freq*$A569),$B569/(equip1_reserve_freq),0)</f>
        <v>0</v>
      </c>
      <c r="D581" s="272">
        <f t="shared" si="331"/>
        <v>0</v>
      </c>
      <c r="E581" s="272">
        <f t="shared" si="331"/>
        <v>0</v>
      </c>
      <c r="F581" s="272">
        <f t="shared" si="331"/>
        <v>0</v>
      </c>
      <c r="G581" s="272">
        <f t="shared" si="331"/>
        <v>0</v>
      </c>
      <c r="H581" s="272">
        <f t="shared" si="331"/>
        <v>0</v>
      </c>
      <c r="I581" s="272">
        <f t="shared" si="331"/>
        <v>0</v>
      </c>
      <c r="J581" s="272">
        <f t="shared" si="331"/>
        <v>0</v>
      </c>
      <c r="K581" s="272">
        <f t="shared" si="331"/>
        <v>0</v>
      </c>
      <c r="L581" s="272">
        <f t="shared" si="331"/>
        <v>0</v>
      </c>
      <c r="M581" s="272">
        <f t="shared" si="331"/>
        <v>0</v>
      </c>
      <c r="N581" s="272">
        <f t="shared" si="331"/>
        <v>0</v>
      </c>
      <c r="O581" s="272">
        <f t="shared" si="331"/>
        <v>0</v>
      </c>
      <c r="P581" s="272">
        <f t="shared" si="331"/>
        <v>0</v>
      </c>
      <c r="Q581" s="272">
        <f t="shared" si="331"/>
        <v>0</v>
      </c>
      <c r="R581" s="272">
        <f t="shared" si="331"/>
        <v>0</v>
      </c>
      <c r="S581" s="272">
        <f t="shared" si="331"/>
        <v>0</v>
      </c>
      <c r="T581" s="272">
        <f t="shared" si="331"/>
        <v>0</v>
      </c>
      <c r="U581" s="272">
        <f t="shared" si="331"/>
        <v>0</v>
      </c>
      <c r="V581" s="272">
        <f t="shared" si="331"/>
        <v>0</v>
      </c>
      <c r="W581" s="272">
        <f t="shared" si="331"/>
        <v>0</v>
      </c>
      <c r="X581" s="272">
        <f t="shared" si="331"/>
        <v>0</v>
      </c>
      <c r="Y581" s="272">
        <f t="shared" si="331"/>
        <v>0</v>
      </c>
      <c r="Z581" s="272">
        <f t="shared" si="331"/>
        <v>0</v>
      </c>
      <c r="AA581" s="272">
        <f t="shared" si="331"/>
        <v>0</v>
      </c>
      <c r="AB581" s="272">
        <f t="shared" si="331"/>
        <v>0</v>
      </c>
      <c r="AC581" s="272">
        <f t="shared" si="331"/>
        <v>0</v>
      </c>
      <c r="AD581" s="272">
        <f t="shared" si="331"/>
        <v>0</v>
      </c>
      <c r="AE581" s="272">
        <f t="shared" si="331"/>
        <v>0</v>
      </c>
      <c r="AF581" s="272">
        <f t="shared" si="331"/>
        <v>0</v>
      </c>
      <c r="AG581" s="272">
        <f t="shared" si="331"/>
        <v>0</v>
      </c>
      <c r="AH581" s="272">
        <f t="shared" si="331"/>
        <v>0</v>
      </c>
      <c r="AI581" s="272">
        <f t="shared" si="331"/>
        <v>0</v>
      </c>
      <c r="AJ581" s="272">
        <f t="shared" si="331"/>
        <v>0</v>
      </c>
      <c r="AK581" s="272">
        <f t="shared" si="331"/>
        <v>0</v>
      </c>
      <c r="AL581" s="272">
        <f t="shared" si="331"/>
        <v>0</v>
      </c>
      <c r="AM581" s="272">
        <f t="shared" si="331"/>
        <v>0</v>
      </c>
      <c r="AN581" s="272">
        <f t="shared" si="331"/>
        <v>0</v>
      </c>
      <c r="AO581" s="272">
        <f t="shared" si="331"/>
        <v>0</v>
      </c>
      <c r="AP581" s="272">
        <f t="shared" si="331"/>
        <v>0</v>
      </c>
    </row>
    <row r="582" spans="1:42" x14ac:dyDescent="0.2">
      <c r="A582" s="7">
        <f t="shared" si="329"/>
        <v>5</v>
      </c>
      <c r="B582" s="292">
        <f t="shared" si="326"/>
        <v>0</v>
      </c>
      <c r="C582" s="294">
        <f t="shared" ref="C582:AP582" si="332">IF(AND(C$2&gt;equip1_reserve_freq*$A569,C$2&lt;=equip1_reserve_freq*$A570),$B570/(equip1_reserve_freq),0)</f>
        <v>0</v>
      </c>
      <c r="D582" s="272">
        <f t="shared" si="332"/>
        <v>0</v>
      </c>
      <c r="E582" s="272">
        <f t="shared" si="332"/>
        <v>0</v>
      </c>
      <c r="F582" s="272">
        <f t="shared" si="332"/>
        <v>0</v>
      </c>
      <c r="G582" s="272">
        <f t="shared" si="332"/>
        <v>0</v>
      </c>
      <c r="H582" s="272">
        <f t="shared" si="332"/>
        <v>0</v>
      </c>
      <c r="I582" s="272">
        <f t="shared" si="332"/>
        <v>0</v>
      </c>
      <c r="J582" s="272">
        <f t="shared" si="332"/>
        <v>0</v>
      </c>
      <c r="K582" s="272">
        <f t="shared" si="332"/>
        <v>0</v>
      </c>
      <c r="L582" s="272">
        <f t="shared" si="332"/>
        <v>0</v>
      </c>
      <c r="M582" s="272">
        <f t="shared" si="332"/>
        <v>0</v>
      </c>
      <c r="N582" s="272">
        <f t="shared" si="332"/>
        <v>0</v>
      </c>
      <c r="O582" s="272">
        <f t="shared" si="332"/>
        <v>0</v>
      </c>
      <c r="P582" s="272">
        <f t="shared" si="332"/>
        <v>0</v>
      </c>
      <c r="Q582" s="272">
        <f t="shared" si="332"/>
        <v>0</v>
      </c>
      <c r="R582" s="272">
        <f t="shared" si="332"/>
        <v>0</v>
      </c>
      <c r="S582" s="272">
        <f t="shared" si="332"/>
        <v>0</v>
      </c>
      <c r="T582" s="272">
        <f t="shared" si="332"/>
        <v>0</v>
      </c>
      <c r="U582" s="272">
        <f t="shared" si="332"/>
        <v>0</v>
      </c>
      <c r="V582" s="272">
        <f t="shared" si="332"/>
        <v>0</v>
      </c>
      <c r="W582" s="272">
        <f t="shared" si="332"/>
        <v>0</v>
      </c>
      <c r="X582" s="272">
        <f t="shared" si="332"/>
        <v>0</v>
      </c>
      <c r="Y582" s="272">
        <f t="shared" si="332"/>
        <v>0</v>
      </c>
      <c r="Z582" s="272">
        <f t="shared" si="332"/>
        <v>0</v>
      </c>
      <c r="AA582" s="272">
        <f t="shared" si="332"/>
        <v>0</v>
      </c>
      <c r="AB582" s="272">
        <f t="shared" si="332"/>
        <v>0</v>
      </c>
      <c r="AC582" s="272">
        <f t="shared" si="332"/>
        <v>0</v>
      </c>
      <c r="AD582" s="272">
        <f t="shared" si="332"/>
        <v>0</v>
      </c>
      <c r="AE582" s="272">
        <f t="shared" si="332"/>
        <v>0</v>
      </c>
      <c r="AF582" s="272">
        <f t="shared" si="332"/>
        <v>0</v>
      </c>
      <c r="AG582" s="272">
        <f t="shared" si="332"/>
        <v>0</v>
      </c>
      <c r="AH582" s="272">
        <f t="shared" si="332"/>
        <v>0</v>
      </c>
      <c r="AI582" s="272">
        <f t="shared" si="332"/>
        <v>0</v>
      </c>
      <c r="AJ582" s="272">
        <f t="shared" si="332"/>
        <v>0</v>
      </c>
      <c r="AK582" s="272">
        <f t="shared" si="332"/>
        <v>0</v>
      </c>
      <c r="AL582" s="272">
        <f t="shared" si="332"/>
        <v>0</v>
      </c>
      <c r="AM582" s="272">
        <f t="shared" si="332"/>
        <v>0</v>
      </c>
      <c r="AN582" s="272">
        <f t="shared" si="332"/>
        <v>0</v>
      </c>
      <c r="AO582" s="272">
        <f t="shared" si="332"/>
        <v>0</v>
      </c>
      <c r="AP582" s="272">
        <f t="shared" si="332"/>
        <v>0</v>
      </c>
    </row>
    <row r="583" spans="1:42" x14ac:dyDescent="0.2">
      <c r="A583" s="7">
        <f t="shared" si="329"/>
        <v>6</v>
      </c>
      <c r="B583" s="292">
        <f t="shared" si="326"/>
        <v>0</v>
      </c>
      <c r="C583" s="294">
        <f t="shared" ref="C583:AP583" si="333">IF(AND(C$2&gt;equip1_reserve_freq*$A570,C$2&lt;=equip1_reserve_freq*$A571),$B571/(equip1_reserve_freq),0)</f>
        <v>0</v>
      </c>
      <c r="D583" s="272">
        <f t="shared" si="333"/>
        <v>0</v>
      </c>
      <c r="E583" s="272">
        <f t="shared" si="333"/>
        <v>0</v>
      </c>
      <c r="F583" s="272">
        <f t="shared" si="333"/>
        <v>0</v>
      </c>
      <c r="G583" s="272">
        <f t="shared" si="333"/>
        <v>0</v>
      </c>
      <c r="H583" s="272">
        <f t="shared" si="333"/>
        <v>0</v>
      </c>
      <c r="I583" s="272">
        <f t="shared" si="333"/>
        <v>0</v>
      </c>
      <c r="J583" s="272">
        <f t="shared" si="333"/>
        <v>0</v>
      </c>
      <c r="K583" s="272">
        <f t="shared" si="333"/>
        <v>0</v>
      </c>
      <c r="L583" s="272">
        <f t="shared" si="333"/>
        <v>0</v>
      </c>
      <c r="M583" s="272">
        <f t="shared" si="333"/>
        <v>0</v>
      </c>
      <c r="N583" s="272">
        <f t="shared" si="333"/>
        <v>0</v>
      </c>
      <c r="O583" s="272">
        <f t="shared" si="333"/>
        <v>0</v>
      </c>
      <c r="P583" s="272">
        <f t="shared" si="333"/>
        <v>0</v>
      </c>
      <c r="Q583" s="272">
        <f t="shared" si="333"/>
        <v>0</v>
      </c>
      <c r="R583" s="272">
        <f t="shared" si="333"/>
        <v>0</v>
      </c>
      <c r="S583" s="272">
        <f t="shared" si="333"/>
        <v>0</v>
      </c>
      <c r="T583" s="272">
        <f t="shared" si="333"/>
        <v>0</v>
      </c>
      <c r="U583" s="272">
        <f t="shared" si="333"/>
        <v>0</v>
      </c>
      <c r="V583" s="272">
        <f t="shared" si="333"/>
        <v>0</v>
      </c>
      <c r="W583" s="272">
        <f t="shared" si="333"/>
        <v>0</v>
      </c>
      <c r="X583" s="272">
        <f t="shared" si="333"/>
        <v>0</v>
      </c>
      <c r="Y583" s="272">
        <f t="shared" si="333"/>
        <v>0</v>
      </c>
      <c r="Z583" s="272">
        <f t="shared" si="333"/>
        <v>0</v>
      </c>
      <c r="AA583" s="272">
        <f t="shared" si="333"/>
        <v>0</v>
      </c>
      <c r="AB583" s="272">
        <f t="shared" si="333"/>
        <v>0</v>
      </c>
      <c r="AC583" s="272">
        <f t="shared" si="333"/>
        <v>0</v>
      </c>
      <c r="AD583" s="272">
        <f t="shared" si="333"/>
        <v>0</v>
      </c>
      <c r="AE583" s="272">
        <f t="shared" si="333"/>
        <v>0</v>
      </c>
      <c r="AF583" s="272">
        <f t="shared" si="333"/>
        <v>0</v>
      </c>
      <c r="AG583" s="272">
        <f t="shared" si="333"/>
        <v>0</v>
      </c>
      <c r="AH583" s="272">
        <f t="shared" si="333"/>
        <v>0</v>
      </c>
      <c r="AI583" s="272">
        <f t="shared" si="333"/>
        <v>0</v>
      </c>
      <c r="AJ583" s="272">
        <f t="shared" si="333"/>
        <v>0</v>
      </c>
      <c r="AK583" s="272">
        <f t="shared" si="333"/>
        <v>0</v>
      </c>
      <c r="AL583" s="272">
        <f t="shared" si="333"/>
        <v>0</v>
      </c>
      <c r="AM583" s="272">
        <f t="shared" si="333"/>
        <v>0</v>
      </c>
      <c r="AN583" s="272">
        <f t="shared" si="333"/>
        <v>0</v>
      </c>
      <c r="AO583" s="272">
        <f t="shared" si="333"/>
        <v>0</v>
      </c>
      <c r="AP583" s="272">
        <f t="shared" si="333"/>
        <v>0</v>
      </c>
    </row>
    <row r="584" spans="1:42" x14ac:dyDescent="0.2">
      <c r="A584" s="7">
        <f t="shared" si="329"/>
        <v>7</v>
      </c>
      <c r="B584" s="292">
        <f t="shared" si="326"/>
        <v>0</v>
      </c>
      <c r="C584" s="294">
        <f t="shared" ref="C584:AP584" si="334">IF(AND(C$2&gt;equip1_reserve_freq*$A571,C$2&lt;=equip1_reserve_freq*$A572),$B572/(equip1_reserve_freq),0)</f>
        <v>0</v>
      </c>
      <c r="D584" s="272">
        <f t="shared" si="334"/>
        <v>0</v>
      </c>
      <c r="E584" s="272">
        <f t="shared" si="334"/>
        <v>0</v>
      </c>
      <c r="F584" s="272">
        <f t="shared" si="334"/>
        <v>0</v>
      </c>
      <c r="G584" s="272">
        <f t="shared" si="334"/>
        <v>0</v>
      </c>
      <c r="H584" s="272">
        <f t="shared" si="334"/>
        <v>0</v>
      </c>
      <c r="I584" s="272">
        <f t="shared" si="334"/>
        <v>0</v>
      </c>
      <c r="J584" s="272">
        <f t="shared" si="334"/>
        <v>0</v>
      </c>
      <c r="K584" s="272">
        <f t="shared" si="334"/>
        <v>0</v>
      </c>
      <c r="L584" s="272">
        <f t="shared" si="334"/>
        <v>0</v>
      </c>
      <c r="M584" s="272">
        <f t="shared" si="334"/>
        <v>0</v>
      </c>
      <c r="N584" s="272">
        <f t="shared" si="334"/>
        <v>0</v>
      </c>
      <c r="O584" s="272">
        <f t="shared" si="334"/>
        <v>0</v>
      </c>
      <c r="P584" s="272">
        <f t="shared" si="334"/>
        <v>0</v>
      </c>
      <c r="Q584" s="272">
        <f t="shared" si="334"/>
        <v>0</v>
      </c>
      <c r="R584" s="272">
        <f t="shared" si="334"/>
        <v>0</v>
      </c>
      <c r="S584" s="272">
        <f t="shared" si="334"/>
        <v>0</v>
      </c>
      <c r="T584" s="272">
        <f t="shared" si="334"/>
        <v>0</v>
      </c>
      <c r="U584" s="272">
        <f t="shared" si="334"/>
        <v>0</v>
      </c>
      <c r="V584" s="272">
        <f t="shared" si="334"/>
        <v>0</v>
      </c>
      <c r="W584" s="272">
        <f t="shared" si="334"/>
        <v>0</v>
      </c>
      <c r="X584" s="272">
        <f t="shared" si="334"/>
        <v>0</v>
      </c>
      <c r="Y584" s="272">
        <f t="shared" si="334"/>
        <v>0</v>
      </c>
      <c r="Z584" s="272">
        <f t="shared" si="334"/>
        <v>0</v>
      </c>
      <c r="AA584" s="272">
        <f t="shared" si="334"/>
        <v>0</v>
      </c>
      <c r="AB584" s="272">
        <f t="shared" si="334"/>
        <v>0</v>
      </c>
      <c r="AC584" s="272">
        <f t="shared" si="334"/>
        <v>0</v>
      </c>
      <c r="AD584" s="272">
        <f t="shared" si="334"/>
        <v>0</v>
      </c>
      <c r="AE584" s="272">
        <f t="shared" si="334"/>
        <v>0</v>
      </c>
      <c r="AF584" s="272">
        <f t="shared" si="334"/>
        <v>0</v>
      </c>
      <c r="AG584" s="272">
        <f t="shared" si="334"/>
        <v>0</v>
      </c>
      <c r="AH584" s="272">
        <f t="shared" si="334"/>
        <v>0</v>
      </c>
      <c r="AI584" s="272">
        <f t="shared" si="334"/>
        <v>0</v>
      </c>
      <c r="AJ584" s="272">
        <f t="shared" si="334"/>
        <v>0</v>
      </c>
      <c r="AK584" s="272">
        <f t="shared" si="334"/>
        <v>0</v>
      </c>
      <c r="AL584" s="272">
        <f t="shared" si="334"/>
        <v>0</v>
      </c>
      <c r="AM584" s="272">
        <f t="shared" si="334"/>
        <v>0</v>
      </c>
      <c r="AN584" s="272">
        <f t="shared" si="334"/>
        <v>0</v>
      </c>
      <c r="AO584" s="272">
        <f t="shared" si="334"/>
        <v>0</v>
      </c>
      <c r="AP584" s="272">
        <f t="shared" si="334"/>
        <v>0</v>
      </c>
    </row>
    <row r="585" spans="1:42" x14ac:dyDescent="0.2">
      <c r="A585" s="7">
        <f t="shared" si="329"/>
        <v>8</v>
      </c>
      <c r="B585" s="292">
        <f t="shared" si="326"/>
        <v>0</v>
      </c>
      <c r="C585" s="294">
        <f t="shared" ref="C585:AP585" si="335">IF(AND(C$2&gt;equip1_reserve_freq*$A572,C$2&lt;=equip1_reserve_freq*$A573),$B573/(equip1_reserve_freq),0)</f>
        <v>0</v>
      </c>
      <c r="D585" s="272">
        <f t="shared" si="335"/>
        <v>0</v>
      </c>
      <c r="E585" s="272">
        <f t="shared" si="335"/>
        <v>0</v>
      </c>
      <c r="F585" s="272">
        <f t="shared" si="335"/>
        <v>0</v>
      </c>
      <c r="G585" s="272">
        <f t="shared" si="335"/>
        <v>0</v>
      </c>
      <c r="H585" s="272">
        <f t="shared" si="335"/>
        <v>0</v>
      </c>
      <c r="I585" s="272">
        <f t="shared" si="335"/>
        <v>0</v>
      </c>
      <c r="J585" s="272">
        <f t="shared" si="335"/>
        <v>0</v>
      </c>
      <c r="K585" s="272">
        <f t="shared" si="335"/>
        <v>0</v>
      </c>
      <c r="L585" s="272">
        <f t="shared" si="335"/>
        <v>0</v>
      </c>
      <c r="M585" s="272">
        <f t="shared" si="335"/>
        <v>0</v>
      </c>
      <c r="N585" s="272">
        <f t="shared" si="335"/>
        <v>0</v>
      </c>
      <c r="O585" s="272">
        <f t="shared" si="335"/>
        <v>0</v>
      </c>
      <c r="P585" s="272">
        <f t="shared" si="335"/>
        <v>0</v>
      </c>
      <c r="Q585" s="272">
        <f t="shared" si="335"/>
        <v>0</v>
      </c>
      <c r="R585" s="272">
        <f t="shared" si="335"/>
        <v>0</v>
      </c>
      <c r="S585" s="272">
        <f t="shared" si="335"/>
        <v>0</v>
      </c>
      <c r="T585" s="272">
        <f t="shared" si="335"/>
        <v>0</v>
      </c>
      <c r="U585" s="272">
        <f t="shared" si="335"/>
        <v>0</v>
      </c>
      <c r="V585" s="272">
        <f t="shared" si="335"/>
        <v>0</v>
      </c>
      <c r="W585" s="272">
        <f t="shared" si="335"/>
        <v>0</v>
      </c>
      <c r="X585" s="272">
        <f t="shared" si="335"/>
        <v>0</v>
      </c>
      <c r="Y585" s="272">
        <f t="shared" si="335"/>
        <v>0</v>
      </c>
      <c r="Z585" s="272">
        <f t="shared" si="335"/>
        <v>0</v>
      </c>
      <c r="AA585" s="272">
        <f t="shared" si="335"/>
        <v>0</v>
      </c>
      <c r="AB585" s="272">
        <f t="shared" si="335"/>
        <v>0</v>
      </c>
      <c r="AC585" s="272">
        <f t="shared" si="335"/>
        <v>0</v>
      </c>
      <c r="AD585" s="272">
        <f t="shared" si="335"/>
        <v>0</v>
      </c>
      <c r="AE585" s="272">
        <f t="shared" si="335"/>
        <v>0</v>
      </c>
      <c r="AF585" s="272">
        <f t="shared" si="335"/>
        <v>0</v>
      </c>
      <c r="AG585" s="272">
        <f t="shared" si="335"/>
        <v>0</v>
      </c>
      <c r="AH585" s="272">
        <f t="shared" si="335"/>
        <v>0</v>
      </c>
      <c r="AI585" s="272">
        <f t="shared" si="335"/>
        <v>0</v>
      </c>
      <c r="AJ585" s="272">
        <f t="shared" si="335"/>
        <v>0</v>
      </c>
      <c r="AK585" s="272">
        <f t="shared" si="335"/>
        <v>0</v>
      </c>
      <c r="AL585" s="272">
        <f t="shared" si="335"/>
        <v>0</v>
      </c>
      <c r="AM585" s="272">
        <f t="shared" si="335"/>
        <v>0</v>
      </c>
      <c r="AN585" s="272">
        <f t="shared" si="335"/>
        <v>0</v>
      </c>
      <c r="AO585" s="272">
        <f t="shared" si="335"/>
        <v>0</v>
      </c>
      <c r="AP585" s="272">
        <f t="shared" si="335"/>
        <v>0</v>
      </c>
    </row>
    <row r="586" spans="1:42" x14ac:dyDescent="0.2">
      <c r="A586" s="7">
        <f>A585+1</f>
        <v>9</v>
      </c>
      <c r="B586" s="292">
        <f t="shared" si="326"/>
        <v>0</v>
      </c>
      <c r="C586" s="294">
        <f t="shared" ref="C586:AP586" si="336">IF(AND(C$2&gt;equip1_reserve_freq*$A573,C$2&lt;=equip1_reserve_freq*$A574),$B574/(equip1_reserve_freq),0)</f>
        <v>0</v>
      </c>
      <c r="D586" s="272">
        <f t="shared" si="336"/>
        <v>0</v>
      </c>
      <c r="E586" s="272">
        <f t="shared" si="336"/>
        <v>0</v>
      </c>
      <c r="F586" s="272">
        <f t="shared" si="336"/>
        <v>0</v>
      </c>
      <c r="G586" s="272">
        <f t="shared" si="336"/>
        <v>0</v>
      </c>
      <c r="H586" s="272">
        <f t="shared" si="336"/>
        <v>0</v>
      </c>
      <c r="I586" s="272">
        <f t="shared" si="336"/>
        <v>0</v>
      </c>
      <c r="J586" s="272">
        <f t="shared" si="336"/>
        <v>0</v>
      </c>
      <c r="K586" s="272">
        <f t="shared" si="336"/>
        <v>0</v>
      </c>
      <c r="L586" s="272">
        <f t="shared" si="336"/>
        <v>0</v>
      </c>
      <c r="M586" s="272">
        <f t="shared" si="336"/>
        <v>0</v>
      </c>
      <c r="N586" s="272">
        <f t="shared" si="336"/>
        <v>0</v>
      </c>
      <c r="O586" s="272">
        <f t="shared" si="336"/>
        <v>0</v>
      </c>
      <c r="P586" s="272">
        <f t="shared" si="336"/>
        <v>0</v>
      </c>
      <c r="Q586" s="272">
        <f t="shared" si="336"/>
        <v>0</v>
      </c>
      <c r="R586" s="272">
        <f t="shared" si="336"/>
        <v>0</v>
      </c>
      <c r="S586" s="272">
        <f t="shared" si="336"/>
        <v>0</v>
      </c>
      <c r="T586" s="272">
        <f t="shared" si="336"/>
        <v>0</v>
      </c>
      <c r="U586" s="272">
        <f t="shared" si="336"/>
        <v>0</v>
      </c>
      <c r="V586" s="272">
        <f t="shared" si="336"/>
        <v>0</v>
      </c>
      <c r="W586" s="272">
        <f t="shared" si="336"/>
        <v>0</v>
      </c>
      <c r="X586" s="272">
        <f t="shared" si="336"/>
        <v>0</v>
      </c>
      <c r="Y586" s="272">
        <f t="shared" si="336"/>
        <v>0</v>
      </c>
      <c r="Z586" s="272">
        <f t="shared" si="336"/>
        <v>0</v>
      </c>
      <c r="AA586" s="272">
        <f t="shared" si="336"/>
        <v>0</v>
      </c>
      <c r="AB586" s="272">
        <f t="shared" si="336"/>
        <v>0</v>
      </c>
      <c r="AC586" s="272">
        <f t="shared" si="336"/>
        <v>0</v>
      </c>
      <c r="AD586" s="272">
        <f t="shared" si="336"/>
        <v>0</v>
      </c>
      <c r="AE586" s="272">
        <f t="shared" si="336"/>
        <v>0</v>
      </c>
      <c r="AF586" s="272">
        <f t="shared" si="336"/>
        <v>0</v>
      </c>
      <c r="AG586" s="272">
        <f t="shared" si="336"/>
        <v>0</v>
      </c>
      <c r="AH586" s="272">
        <f t="shared" si="336"/>
        <v>0</v>
      </c>
      <c r="AI586" s="272">
        <f t="shared" si="336"/>
        <v>0</v>
      </c>
      <c r="AJ586" s="272">
        <f t="shared" si="336"/>
        <v>0</v>
      </c>
      <c r="AK586" s="272">
        <f t="shared" si="336"/>
        <v>0</v>
      </c>
      <c r="AL586" s="272">
        <f t="shared" si="336"/>
        <v>0</v>
      </c>
      <c r="AM586" s="272">
        <f t="shared" si="336"/>
        <v>0</v>
      </c>
      <c r="AN586" s="272">
        <f t="shared" si="336"/>
        <v>0</v>
      </c>
      <c r="AO586" s="272">
        <f t="shared" si="336"/>
        <v>0</v>
      </c>
      <c r="AP586" s="272">
        <f t="shared" si="336"/>
        <v>0</v>
      </c>
    </row>
    <row r="587" spans="1:42" x14ac:dyDescent="0.2">
      <c r="A587" s="7">
        <f t="shared" ref="A587" si="337">A586+1</f>
        <v>10</v>
      </c>
      <c r="B587" s="292">
        <f t="shared" si="326"/>
        <v>0</v>
      </c>
      <c r="C587" s="293">
        <f t="shared" ref="C587:AP587" si="338">IF(AND(C$2&gt;equip1_reserve_freq*$A574,C$2&lt;=equip1_reserve_freq*$A575),$B575/(equip1_reserve_freq),0)</f>
        <v>0</v>
      </c>
      <c r="D587" s="277">
        <f t="shared" si="338"/>
        <v>0</v>
      </c>
      <c r="E587" s="277">
        <f t="shared" si="338"/>
        <v>0</v>
      </c>
      <c r="F587" s="277">
        <f t="shared" si="338"/>
        <v>0</v>
      </c>
      <c r="G587" s="277">
        <f t="shared" si="338"/>
        <v>0</v>
      </c>
      <c r="H587" s="277">
        <f t="shared" si="338"/>
        <v>0</v>
      </c>
      <c r="I587" s="277">
        <f t="shared" si="338"/>
        <v>0</v>
      </c>
      <c r="J587" s="277">
        <f t="shared" si="338"/>
        <v>0</v>
      </c>
      <c r="K587" s="277">
        <f t="shared" si="338"/>
        <v>0</v>
      </c>
      <c r="L587" s="277">
        <f t="shared" si="338"/>
        <v>0</v>
      </c>
      <c r="M587" s="277">
        <f t="shared" si="338"/>
        <v>0</v>
      </c>
      <c r="N587" s="277">
        <f t="shared" si="338"/>
        <v>0</v>
      </c>
      <c r="O587" s="277">
        <f t="shared" si="338"/>
        <v>0</v>
      </c>
      <c r="P587" s="277">
        <f t="shared" si="338"/>
        <v>0</v>
      </c>
      <c r="Q587" s="277">
        <f t="shared" si="338"/>
        <v>0</v>
      </c>
      <c r="R587" s="277">
        <f t="shared" si="338"/>
        <v>0</v>
      </c>
      <c r="S587" s="277">
        <f t="shared" si="338"/>
        <v>0</v>
      </c>
      <c r="T587" s="277">
        <f t="shared" si="338"/>
        <v>0</v>
      </c>
      <c r="U587" s="277">
        <f t="shared" si="338"/>
        <v>0</v>
      </c>
      <c r="V587" s="277">
        <f t="shared" si="338"/>
        <v>0</v>
      </c>
      <c r="W587" s="277">
        <f t="shared" si="338"/>
        <v>0</v>
      </c>
      <c r="X587" s="277">
        <f t="shared" si="338"/>
        <v>0</v>
      </c>
      <c r="Y587" s="277">
        <f t="shared" si="338"/>
        <v>0</v>
      </c>
      <c r="Z587" s="277">
        <f t="shared" si="338"/>
        <v>0</v>
      </c>
      <c r="AA587" s="277">
        <f t="shared" si="338"/>
        <v>0</v>
      </c>
      <c r="AB587" s="277">
        <f t="shared" si="338"/>
        <v>0</v>
      </c>
      <c r="AC587" s="277">
        <f t="shared" si="338"/>
        <v>0</v>
      </c>
      <c r="AD587" s="277">
        <f t="shared" si="338"/>
        <v>0</v>
      </c>
      <c r="AE587" s="277">
        <f t="shared" si="338"/>
        <v>0</v>
      </c>
      <c r="AF587" s="277">
        <f t="shared" si="338"/>
        <v>0</v>
      </c>
      <c r="AG587" s="277">
        <f t="shared" si="338"/>
        <v>0</v>
      </c>
      <c r="AH587" s="277">
        <f t="shared" si="338"/>
        <v>0</v>
      </c>
      <c r="AI587" s="277">
        <f t="shared" si="338"/>
        <v>0</v>
      </c>
      <c r="AJ587" s="277">
        <f t="shared" si="338"/>
        <v>0</v>
      </c>
      <c r="AK587" s="277">
        <f t="shared" si="338"/>
        <v>0</v>
      </c>
      <c r="AL587" s="277">
        <f t="shared" si="338"/>
        <v>0</v>
      </c>
      <c r="AM587" s="277">
        <f t="shared" si="338"/>
        <v>0</v>
      </c>
      <c r="AN587" s="277">
        <f t="shared" si="338"/>
        <v>0</v>
      </c>
      <c r="AO587" s="277">
        <f t="shared" si="338"/>
        <v>0</v>
      </c>
      <c r="AP587" s="277">
        <f t="shared" si="338"/>
        <v>0</v>
      </c>
    </row>
    <row r="588" spans="1:42" x14ac:dyDescent="0.2">
      <c r="A588" s="44" t="s">
        <v>18</v>
      </c>
      <c r="B588" s="34"/>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1" t="s">
        <v>136</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36</v>
      </c>
      <c r="B591" s="276">
        <v>0</v>
      </c>
      <c r="C591" s="276">
        <f>B594</f>
        <v>0</v>
      </c>
      <c r="D591" s="276">
        <f t="shared" ref="D591:AP591" si="340">C594</f>
        <v>0</v>
      </c>
      <c r="E591" s="276">
        <f t="shared" si="340"/>
        <v>0</v>
      </c>
      <c r="F591" s="276">
        <f t="shared" si="340"/>
        <v>0</v>
      </c>
      <c r="G591" s="276">
        <f t="shared" si="340"/>
        <v>0</v>
      </c>
      <c r="H591" s="276">
        <f t="shared" si="340"/>
        <v>0</v>
      </c>
      <c r="I591" s="276">
        <f t="shared" si="340"/>
        <v>0</v>
      </c>
      <c r="J591" s="276">
        <f t="shared" si="340"/>
        <v>0</v>
      </c>
      <c r="K591" s="276">
        <f t="shared" si="340"/>
        <v>0</v>
      </c>
      <c r="L591" s="276">
        <f t="shared" si="340"/>
        <v>0</v>
      </c>
      <c r="M591" s="276">
        <f t="shared" si="340"/>
        <v>0</v>
      </c>
      <c r="N591" s="276">
        <f t="shared" si="340"/>
        <v>0</v>
      </c>
      <c r="O591" s="276">
        <f t="shared" si="340"/>
        <v>0</v>
      </c>
      <c r="P591" s="276">
        <f t="shared" si="340"/>
        <v>0</v>
      </c>
      <c r="Q591" s="276">
        <f t="shared" si="340"/>
        <v>0</v>
      </c>
      <c r="R591" s="276">
        <f t="shared" si="340"/>
        <v>0</v>
      </c>
      <c r="S591" s="276">
        <f t="shared" si="340"/>
        <v>0</v>
      </c>
      <c r="T591" s="276">
        <f t="shared" si="340"/>
        <v>0</v>
      </c>
      <c r="U591" s="276">
        <f t="shared" si="340"/>
        <v>0</v>
      </c>
      <c r="V591" s="276">
        <f t="shared" si="340"/>
        <v>0</v>
      </c>
      <c r="W591" s="276">
        <f t="shared" si="340"/>
        <v>0</v>
      </c>
      <c r="X591" s="276">
        <f t="shared" si="340"/>
        <v>0</v>
      </c>
      <c r="Y591" s="276">
        <f t="shared" si="340"/>
        <v>0</v>
      </c>
      <c r="Z591" s="276">
        <f t="shared" si="340"/>
        <v>0</v>
      </c>
      <c r="AA591" s="276">
        <f t="shared" si="340"/>
        <v>0</v>
      </c>
      <c r="AB591" s="276">
        <f t="shared" si="340"/>
        <v>0</v>
      </c>
      <c r="AC591" s="276">
        <f t="shared" si="340"/>
        <v>0</v>
      </c>
      <c r="AD591" s="276">
        <f t="shared" si="340"/>
        <v>0</v>
      </c>
      <c r="AE591" s="276">
        <f t="shared" si="340"/>
        <v>0</v>
      </c>
      <c r="AF591" s="276">
        <f t="shared" si="340"/>
        <v>0</v>
      </c>
      <c r="AG591" s="276">
        <f t="shared" si="340"/>
        <v>0</v>
      </c>
      <c r="AH591" s="276">
        <f t="shared" si="340"/>
        <v>0</v>
      </c>
      <c r="AI591" s="276">
        <f t="shared" si="340"/>
        <v>0</v>
      </c>
      <c r="AJ591" s="276">
        <f t="shared" si="340"/>
        <v>0</v>
      </c>
      <c r="AK591" s="276">
        <f t="shared" si="340"/>
        <v>0</v>
      </c>
      <c r="AL591" s="276">
        <f t="shared" si="340"/>
        <v>0</v>
      </c>
      <c r="AM591" s="276">
        <f t="shared" si="340"/>
        <v>0</v>
      </c>
      <c r="AN591" s="276">
        <f t="shared" si="340"/>
        <v>0</v>
      </c>
      <c r="AO591" s="276">
        <f t="shared" si="340"/>
        <v>0</v>
      </c>
      <c r="AP591" s="276">
        <f t="shared" si="340"/>
        <v>0</v>
      </c>
    </row>
    <row r="592" spans="1:42" x14ac:dyDescent="0.2">
      <c r="A592" s="7" t="s">
        <v>101</v>
      </c>
      <c r="B592" s="276">
        <v>0</v>
      </c>
      <c r="C592" s="276">
        <f>C620</f>
        <v>0</v>
      </c>
      <c r="D592" s="276">
        <f t="shared" ref="D592:AP592" si="341">D620</f>
        <v>0</v>
      </c>
      <c r="E592" s="276">
        <f t="shared" si="341"/>
        <v>0</v>
      </c>
      <c r="F592" s="276">
        <f t="shared" si="341"/>
        <v>0</v>
      </c>
      <c r="G592" s="276">
        <f t="shared" si="341"/>
        <v>0</v>
      </c>
      <c r="H592" s="276">
        <f t="shared" si="341"/>
        <v>0</v>
      </c>
      <c r="I592" s="276">
        <f t="shared" si="341"/>
        <v>0</v>
      </c>
      <c r="J592" s="276">
        <f t="shared" si="341"/>
        <v>0</v>
      </c>
      <c r="K592" s="276">
        <f t="shared" si="341"/>
        <v>0</v>
      </c>
      <c r="L592" s="276">
        <f t="shared" si="341"/>
        <v>0</v>
      </c>
      <c r="M592" s="276">
        <f t="shared" si="341"/>
        <v>0</v>
      </c>
      <c r="N592" s="276">
        <f t="shared" si="341"/>
        <v>0</v>
      </c>
      <c r="O592" s="276">
        <f t="shared" si="341"/>
        <v>0</v>
      </c>
      <c r="P592" s="276">
        <f t="shared" si="341"/>
        <v>0</v>
      </c>
      <c r="Q592" s="276">
        <f t="shared" si="341"/>
        <v>0</v>
      </c>
      <c r="R592" s="276">
        <f t="shared" si="341"/>
        <v>0</v>
      </c>
      <c r="S592" s="276">
        <f t="shared" si="341"/>
        <v>0</v>
      </c>
      <c r="T592" s="276">
        <f t="shared" si="341"/>
        <v>0</v>
      </c>
      <c r="U592" s="276">
        <f t="shared" si="341"/>
        <v>0</v>
      </c>
      <c r="V592" s="276">
        <f t="shared" si="341"/>
        <v>0</v>
      </c>
      <c r="W592" s="276">
        <f t="shared" si="341"/>
        <v>0</v>
      </c>
      <c r="X592" s="276">
        <f t="shared" si="341"/>
        <v>0</v>
      </c>
      <c r="Y592" s="276">
        <f t="shared" si="341"/>
        <v>0</v>
      </c>
      <c r="Z592" s="276">
        <f t="shared" si="341"/>
        <v>0</v>
      </c>
      <c r="AA592" s="276">
        <f t="shared" si="341"/>
        <v>0</v>
      </c>
      <c r="AB592" s="276">
        <f t="shared" si="341"/>
        <v>0</v>
      </c>
      <c r="AC592" s="276">
        <f t="shared" si="341"/>
        <v>0</v>
      </c>
      <c r="AD592" s="276">
        <f t="shared" si="341"/>
        <v>0</v>
      </c>
      <c r="AE592" s="276">
        <f t="shared" si="341"/>
        <v>0</v>
      </c>
      <c r="AF592" s="276">
        <f t="shared" si="341"/>
        <v>0</v>
      </c>
      <c r="AG592" s="276">
        <f t="shared" si="341"/>
        <v>0</v>
      </c>
      <c r="AH592" s="276">
        <f t="shared" si="341"/>
        <v>0</v>
      </c>
      <c r="AI592" s="276">
        <f t="shared" si="341"/>
        <v>0</v>
      </c>
      <c r="AJ592" s="276">
        <f t="shared" si="341"/>
        <v>0</v>
      </c>
      <c r="AK592" s="276">
        <f t="shared" si="341"/>
        <v>0</v>
      </c>
      <c r="AL592" s="276">
        <f t="shared" si="341"/>
        <v>0</v>
      </c>
      <c r="AM592" s="276">
        <f t="shared" si="341"/>
        <v>0</v>
      </c>
      <c r="AN592" s="276">
        <f t="shared" si="341"/>
        <v>0</v>
      </c>
      <c r="AO592" s="276">
        <f t="shared" si="341"/>
        <v>0</v>
      </c>
      <c r="AP592" s="276">
        <f t="shared" si="341"/>
        <v>0</v>
      </c>
    </row>
    <row r="593" spans="1:42" x14ac:dyDescent="0.2">
      <c r="A593" s="7" t="s">
        <v>43</v>
      </c>
      <c r="B593" s="277">
        <v>0</v>
      </c>
      <c r="C593" s="277">
        <f>-C608</f>
        <v>0</v>
      </c>
      <c r="D593" s="277">
        <f t="shared" ref="D593:AP593" si="342">-D608</f>
        <v>0</v>
      </c>
      <c r="E593" s="277">
        <f t="shared" si="342"/>
        <v>0</v>
      </c>
      <c r="F593" s="277">
        <f t="shared" si="342"/>
        <v>0</v>
      </c>
      <c r="G593" s="277">
        <f t="shared" si="342"/>
        <v>0</v>
      </c>
      <c r="H593" s="277">
        <f t="shared" si="342"/>
        <v>0</v>
      </c>
      <c r="I593" s="277">
        <f t="shared" si="342"/>
        <v>0</v>
      </c>
      <c r="J593" s="277">
        <f t="shared" si="342"/>
        <v>0</v>
      </c>
      <c r="K593" s="277">
        <f t="shared" si="342"/>
        <v>0</v>
      </c>
      <c r="L593" s="277">
        <f t="shared" si="342"/>
        <v>0</v>
      </c>
      <c r="M593" s="277">
        <f t="shared" si="342"/>
        <v>0</v>
      </c>
      <c r="N593" s="277">
        <f t="shared" si="342"/>
        <v>0</v>
      </c>
      <c r="O593" s="277">
        <f t="shared" si="342"/>
        <v>0</v>
      </c>
      <c r="P593" s="277">
        <f t="shared" si="342"/>
        <v>0</v>
      </c>
      <c r="Q593" s="277">
        <f t="shared" si="342"/>
        <v>0</v>
      </c>
      <c r="R593" s="277">
        <f t="shared" si="342"/>
        <v>0</v>
      </c>
      <c r="S593" s="277">
        <f t="shared" si="342"/>
        <v>0</v>
      </c>
      <c r="T593" s="277">
        <f t="shared" si="342"/>
        <v>0</v>
      </c>
      <c r="U593" s="277">
        <f t="shared" si="342"/>
        <v>0</v>
      </c>
      <c r="V593" s="277">
        <f t="shared" si="342"/>
        <v>0</v>
      </c>
      <c r="W593" s="277">
        <f t="shared" si="342"/>
        <v>0</v>
      </c>
      <c r="X593" s="277">
        <f t="shared" si="342"/>
        <v>0</v>
      </c>
      <c r="Y593" s="277">
        <f t="shared" si="342"/>
        <v>0</v>
      </c>
      <c r="Z593" s="277">
        <f t="shared" si="342"/>
        <v>0</v>
      </c>
      <c r="AA593" s="277">
        <f t="shared" si="342"/>
        <v>0</v>
      </c>
      <c r="AB593" s="277">
        <f t="shared" si="342"/>
        <v>0</v>
      </c>
      <c r="AC593" s="277">
        <f t="shared" si="342"/>
        <v>0</v>
      </c>
      <c r="AD593" s="277">
        <f t="shared" si="342"/>
        <v>0</v>
      </c>
      <c r="AE593" s="277">
        <f t="shared" si="342"/>
        <v>0</v>
      </c>
      <c r="AF593" s="277">
        <f t="shared" si="342"/>
        <v>0</v>
      </c>
      <c r="AG593" s="277">
        <f t="shared" si="342"/>
        <v>0</v>
      </c>
      <c r="AH593" s="277">
        <f t="shared" si="342"/>
        <v>0</v>
      </c>
      <c r="AI593" s="277">
        <f t="shared" si="342"/>
        <v>0</v>
      </c>
      <c r="AJ593" s="277">
        <f t="shared" si="342"/>
        <v>0</v>
      </c>
      <c r="AK593" s="277">
        <f t="shared" si="342"/>
        <v>0</v>
      </c>
      <c r="AL593" s="277">
        <f t="shared" si="342"/>
        <v>0</v>
      </c>
      <c r="AM593" s="277">
        <f t="shared" si="342"/>
        <v>0</v>
      </c>
      <c r="AN593" s="277">
        <f t="shared" si="342"/>
        <v>0</v>
      </c>
      <c r="AO593" s="277">
        <f t="shared" si="342"/>
        <v>0</v>
      </c>
      <c r="AP593" s="277">
        <f t="shared" si="342"/>
        <v>0</v>
      </c>
    </row>
    <row r="594" spans="1:42" x14ac:dyDescent="0.2">
      <c r="A594" s="7" t="s">
        <v>39</v>
      </c>
      <c r="B594" s="276">
        <f>SUM(B591:B593)</f>
        <v>0</v>
      </c>
      <c r="C594" s="276">
        <f>SUM(C591:C593)</f>
        <v>0</v>
      </c>
      <c r="D594" s="276">
        <f t="shared" ref="D594:AP594" si="343">SUM(D591:D593)</f>
        <v>0</v>
      </c>
      <c r="E594" s="276">
        <f t="shared" si="343"/>
        <v>0</v>
      </c>
      <c r="F594" s="276">
        <f t="shared" si="343"/>
        <v>0</v>
      </c>
      <c r="G594" s="276">
        <f t="shared" si="343"/>
        <v>0</v>
      </c>
      <c r="H594" s="276">
        <f t="shared" si="343"/>
        <v>0</v>
      </c>
      <c r="I594" s="276">
        <f t="shared" si="343"/>
        <v>0</v>
      </c>
      <c r="J594" s="276">
        <f t="shared" si="343"/>
        <v>0</v>
      </c>
      <c r="K594" s="276">
        <f t="shared" si="343"/>
        <v>0</v>
      </c>
      <c r="L594" s="276">
        <f t="shared" si="343"/>
        <v>0</v>
      </c>
      <c r="M594" s="276">
        <f t="shared" si="343"/>
        <v>0</v>
      </c>
      <c r="N594" s="276">
        <f t="shared" si="343"/>
        <v>0</v>
      </c>
      <c r="O594" s="276">
        <f t="shared" si="343"/>
        <v>0</v>
      </c>
      <c r="P594" s="276">
        <f t="shared" si="343"/>
        <v>0</v>
      </c>
      <c r="Q594" s="276">
        <f t="shared" si="343"/>
        <v>0</v>
      </c>
      <c r="R594" s="276">
        <f t="shared" si="343"/>
        <v>0</v>
      </c>
      <c r="S594" s="276">
        <f t="shared" si="343"/>
        <v>0</v>
      </c>
      <c r="T594" s="276">
        <f t="shared" si="343"/>
        <v>0</v>
      </c>
      <c r="U594" s="276">
        <f t="shared" si="343"/>
        <v>0</v>
      </c>
      <c r="V594" s="276">
        <f t="shared" si="343"/>
        <v>0</v>
      </c>
      <c r="W594" s="276">
        <f t="shared" si="343"/>
        <v>0</v>
      </c>
      <c r="X594" s="276">
        <f t="shared" si="343"/>
        <v>0</v>
      </c>
      <c r="Y594" s="276">
        <f t="shared" si="343"/>
        <v>0</v>
      </c>
      <c r="Z594" s="276">
        <f t="shared" si="343"/>
        <v>0</v>
      </c>
      <c r="AA594" s="276">
        <f t="shared" si="343"/>
        <v>0</v>
      </c>
      <c r="AB594" s="276">
        <f t="shared" si="343"/>
        <v>0</v>
      </c>
      <c r="AC594" s="276">
        <f t="shared" si="343"/>
        <v>0</v>
      </c>
      <c r="AD594" s="276">
        <f t="shared" si="343"/>
        <v>0</v>
      </c>
      <c r="AE594" s="276">
        <f t="shared" si="343"/>
        <v>0</v>
      </c>
      <c r="AF594" s="276">
        <f t="shared" si="343"/>
        <v>0</v>
      </c>
      <c r="AG594" s="276">
        <f t="shared" si="343"/>
        <v>0</v>
      </c>
      <c r="AH594" s="276">
        <f t="shared" si="343"/>
        <v>0</v>
      </c>
      <c r="AI594" s="276">
        <f t="shared" si="343"/>
        <v>0</v>
      </c>
      <c r="AJ594" s="276">
        <f t="shared" si="343"/>
        <v>0</v>
      </c>
      <c r="AK594" s="276">
        <f t="shared" si="343"/>
        <v>0</v>
      </c>
      <c r="AL594" s="276">
        <f t="shared" si="343"/>
        <v>0</v>
      </c>
      <c r="AM594" s="276">
        <f t="shared" si="343"/>
        <v>0</v>
      </c>
      <c r="AN594" s="276">
        <f t="shared" si="343"/>
        <v>0</v>
      </c>
      <c r="AO594" s="276">
        <f t="shared" si="343"/>
        <v>0</v>
      </c>
      <c r="AP594" s="276">
        <f t="shared" si="343"/>
        <v>0</v>
      </c>
    </row>
    <row r="595" spans="1:42" s="168" customFormat="1" x14ac:dyDescent="0.2">
      <c r="A595" s="7"/>
      <c r="G595" s="262"/>
      <c r="H595" s="262"/>
      <c r="I595" s="262"/>
      <c r="J595" s="262"/>
      <c r="K595" s="262"/>
      <c r="L595" s="262"/>
      <c r="M595" s="262"/>
      <c r="N595" s="262"/>
      <c r="O595" s="262"/>
      <c r="P595" s="262"/>
      <c r="Q595" s="262"/>
      <c r="R595" s="262"/>
      <c r="S595" s="262"/>
      <c r="T595" s="262"/>
      <c r="U595" s="262"/>
      <c r="V595" s="262"/>
      <c r="W595" s="262"/>
      <c r="X595" s="262"/>
      <c r="Y595" s="262"/>
      <c r="Z595" s="262"/>
      <c r="AA595" s="262"/>
      <c r="AB595" s="262"/>
      <c r="AC595" s="262"/>
      <c r="AD595" s="262"/>
      <c r="AE595" s="262"/>
      <c r="AF595" s="262"/>
      <c r="AG595" s="262"/>
      <c r="AH595" s="262"/>
      <c r="AI595" s="262"/>
      <c r="AJ595" s="262"/>
      <c r="AK595" s="262"/>
      <c r="AL595" s="262"/>
      <c r="AM595" s="262"/>
      <c r="AN595" s="262"/>
      <c r="AO595" s="262"/>
      <c r="AP595" s="262"/>
    </row>
    <row r="596" spans="1:42" s="168" customFormat="1" x14ac:dyDescent="0.2">
      <c r="A596" s="7" t="s">
        <v>99</v>
      </c>
      <c r="G596" s="262"/>
      <c r="H596" s="262"/>
      <c r="I596" s="262"/>
      <c r="J596" s="262"/>
      <c r="K596" s="262"/>
      <c r="L596" s="262"/>
      <c r="M596" s="262"/>
      <c r="N596" s="262"/>
      <c r="O596" s="262"/>
      <c r="P596" s="262"/>
      <c r="Q596" s="262"/>
      <c r="R596" s="262"/>
      <c r="S596" s="262"/>
      <c r="T596" s="262"/>
      <c r="U596" s="262"/>
      <c r="V596" s="262"/>
      <c r="W596" s="262"/>
      <c r="X596" s="262"/>
      <c r="Y596" s="262"/>
      <c r="Z596" s="262"/>
      <c r="AA596" s="262"/>
      <c r="AB596" s="262"/>
      <c r="AC596" s="262"/>
      <c r="AD596" s="262"/>
      <c r="AE596" s="262"/>
      <c r="AF596" s="262"/>
      <c r="AG596" s="262"/>
      <c r="AH596" s="262"/>
      <c r="AI596" s="262"/>
      <c r="AJ596" s="262"/>
      <c r="AK596" s="262"/>
      <c r="AL596" s="262"/>
      <c r="AM596" s="262"/>
      <c r="AN596" s="262"/>
      <c r="AO596" s="262"/>
      <c r="AP596" s="262"/>
    </row>
    <row r="597" spans="1:42" s="168" customFormat="1" x14ac:dyDescent="0.2">
      <c r="A597" s="7" t="s">
        <v>100</v>
      </c>
      <c r="G597" s="262"/>
      <c r="H597" s="262"/>
      <c r="I597" s="262"/>
      <c r="J597" s="262"/>
      <c r="K597" s="262"/>
      <c r="L597" s="262"/>
      <c r="M597" s="262"/>
      <c r="N597" s="262"/>
      <c r="O597" s="262"/>
      <c r="P597" s="262"/>
      <c r="Q597" s="262"/>
      <c r="R597" s="262"/>
      <c r="S597" s="262"/>
      <c r="T597" s="262"/>
      <c r="U597" s="262"/>
      <c r="V597" s="262"/>
      <c r="W597" s="262"/>
      <c r="X597" s="262"/>
      <c r="Y597" s="262"/>
      <c r="Z597" s="262"/>
      <c r="AA597" s="262"/>
      <c r="AB597" s="262"/>
      <c r="AC597" s="262"/>
      <c r="AD597" s="262"/>
      <c r="AE597" s="262"/>
      <c r="AF597" s="262"/>
      <c r="AG597" s="262"/>
      <c r="AH597" s="262"/>
      <c r="AI597" s="262"/>
      <c r="AJ597" s="262"/>
      <c r="AK597" s="262"/>
      <c r="AL597" s="262"/>
      <c r="AM597" s="262"/>
      <c r="AN597" s="262"/>
      <c r="AO597" s="262"/>
      <c r="AP597" s="262"/>
    </row>
    <row r="598" spans="1:42" x14ac:dyDescent="0.2">
      <c r="A598" s="7">
        <v>1</v>
      </c>
      <c r="B598" s="292">
        <f t="shared" ref="B598:B607" si="344">SUM(C598:AP598)</f>
        <v>0</v>
      </c>
      <c r="C598" s="272">
        <f t="shared" ref="C598:AP598" si="345">IF(C$2&gt;analysis_period,0,IF(C$2=equip2_reserve_freq*$A598,equip2_reserve_cost*system_capacity*1000*(1+inflation_rate/100)^B$2,0))</f>
        <v>0</v>
      </c>
      <c r="D598" s="272">
        <f t="shared" si="345"/>
        <v>0</v>
      </c>
      <c r="E598" s="272">
        <f t="shared" si="345"/>
        <v>0</v>
      </c>
      <c r="F598" s="272">
        <f t="shared" si="345"/>
        <v>0</v>
      </c>
      <c r="G598" s="272">
        <f t="shared" si="345"/>
        <v>0</v>
      </c>
      <c r="H598" s="272">
        <f t="shared" si="345"/>
        <v>0</v>
      </c>
      <c r="I598" s="272">
        <f t="shared" si="345"/>
        <v>0</v>
      </c>
      <c r="J598" s="272">
        <f t="shared" si="345"/>
        <v>0</v>
      </c>
      <c r="K598" s="272">
        <f t="shared" si="345"/>
        <v>0</v>
      </c>
      <c r="L598" s="272">
        <f t="shared" si="345"/>
        <v>0</v>
      </c>
      <c r="M598" s="272">
        <f t="shared" si="345"/>
        <v>0</v>
      </c>
      <c r="N598" s="272">
        <f t="shared" si="345"/>
        <v>0</v>
      </c>
      <c r="O598" s="272">
        <f t="shared" si="345"/>
        <v>0</v>
      </c>
      <c r="P598" s="272">
        <f t="shared" si="345"/>
        <v>0</v>
      </c>
      <c r="Q598" s="272">
        <f t="shared" si="345"/>
        <v>0</v>
      </c>
      <c r="R598" s="272">
        <f t="shared" si="345"/>
        <v>0</v>
      </c>
      <c r="S598" s="272">
        <f t="shared" si="345"/>
        <v>0</v>
      </c>
      <c r="T598" s="272">
        <f t="shared" si="345"/>
        <v>0</v>
      </c>
      <c r="U598" s="272">
        <f t="shared" si="345"/>
        <v>0</v>
      </c>
      <c r="V598" s="272">
        <f t="shared" si="345"/>
        <v>0</v>
      </c>
      <c r="W598" s="272">
        <f t="shared" si="345"/>
        <v>0</v>
      </c>
      <c r="X598" s="272">
        <f t="shared" si="345"/>
        <v>0</v>
      </c>
      <c r="Y598" s="272">
        <f t="shared" si="345"/>
        <v>0</v>
      </c>
      <c r="Z598" s="272">
        <f t="shared" si="345"/>
        <v>0</v>
      </c>
      <c r="AA598" s="272">
        <f t="shared" si="345"/>
        <v>0</v>
      </c>
      <c r="AB598" s="272">
        <f t="shared" si="345"/>
        <v>0</v>
      </c>
      <c r="AC598" s="272">
        <f t="shared" si="345"/>
        <v>0</v>
      </c>
      <c r="AD598" s="272">
        <f t="shared" si="345"/>
        <v>0</v>
      </c>
      <c r="AE598" s="272">
        <f t="shared" si="345"/>
        <v>0</v>
      </c>
      <c r="AF598" s="272">
        <f t="shared" si="345"/>
        <v>0</v>
      </c>
      <c r="AG598" s="272">
        <f t="shared" si="345"/>
        <v>0</v>
      </c>
      <c r="AH598" s="272">
        <f t="shared" si="345"/>
        <v>0</v>
      </c>
      <c r="AI598" s="272">
        <f t="shared" si="345"/>
        <v>0</v>
      </c>
      <c r="AJ598" s="272">
        <f t="shared" si="345"/>
        <v>0</v>
      </c>
      <c r="AK598" s="272">
        <f t="shared" si="345"/>
        <v>0</v>
      </c>
      <c r="AL598" s="272">
        <f t="shared" si="345"/>
        <v>0</v>
      </c>
      <c r="AM598" s="272">
        <f t="shared" si="345"/>
        <v>0</v>
      </c>
      <c r="AN598" s="272">
        <f t="shared" si="345"/>
        <v>0</v>
      </c>
      <c r="AO598" s="272">
        <f t="shared" si="345"/>
        <v>0</v>
      </c>
      <c r="AP598" s="272">
        <f t="shared" si="345"/>
        <v>0</v>
      </c>
    </row>
    <row r="599" spans="1:42" x14ac:dyDescent="0.2">
      <c r="A599" s="7">
        <f>A598+1</f>
        <v>2</v>
      </c>
      <c r="B599" s="292">
        <f t="shared" si="344"/>
        <v>0</v>
      </c>
      <c r="C599" s="272">
        <f t="shared" ref="C599:AP599" si="346">IF(C$2&gt;analysis_period,0,IF(C$2=equip2_reserve_freq*$A599,equip2_reserve_cost*system_capacity*1000*(1+inflation_rate/100)^B$2,0))</f>
        <v>0</v>
      </c>
      <c r="D599" s="272">
        <f t="shared" si="346"/>
        <v>0</v>
      </c>
      <c r="E599" s="272">
        <f t="shared" si="346"/>
        <v>0</v>
      </c>
      <c r="F599" s="272">
        <f t="shared" si="346"/>
        <v>0</v>
      </c>
      <c r="G599" s="272">
        <f t="shared" si="346"/>
        <v>0</v>
      </c>
      <c r="H599" s="272">
        <f t="shared" si="346"/>
        <v>0</v>
      </c>
      <c r="I599" s="272">
        <f t="shared" si="346"/>
        <v>0</v>
      </c>
      <c r="J599" s="272">
        <f t="shared" si="346"/>
        <v>0</v>
      </c>
      <c r="K599" s="272">
        <f t="shared" si="346"/>
        <v>0</v>
      </c>
      <c r="L599" s="272">
        <f t="shared" si="346"/>
        <v>0</v>
      </c>
      <c r="M599" s="272">
        <f t="shared" si="346"/>
        <v>0</v>
      </c>
      <c r="N599" s="272">
        <f t="shared" si="346"/>
        <v>0</v>
      </c>
      <c r="O599" s="272">
        <f t="shared" si="346"/>
        <v>0</v>
      </c>
      <c r="P599" s="272">
        <f t="shared" si="346"/>
        <v>0</v>
      </c>
      <c r="Q599" s="272">
        <f t="shared" si="346"/>
        <v>0</v>
      </c>
      <c r="R599" s="272">
        <f t="shared" si="346"/>
        <v>0</v>
      </c>
      <c r="S599" s="272">
        <f t="shared" si="346"/>
        <v>0</v>
      </c>
      <c r="T599" s="272">
        <f t="shared" si="346"/>
        <v>0</v>
      </c>
      <c r="U599" s="272">
        <f t="shared" si="346"/>
        <v>0</v>
      </c>
      <c r="V599" s="272">
        <f t="shared" si="346"/>
        <v>0</v>
      </c>
      <c r="W599" s="272">
        <f t="shared" si="346"/>
        <v>0</v>
      </c>
      <c r="X599" s="272">
        <f t="shared" si="346"/>
        <v>0</v>
      </c>
      <c r="Y599" s="272">
        <f t="shared" si="346"/>
        <v>0</v>
      </c>
      <c r="Z599" s="272">
        <f t="shared" si="346"/>
        <v>0</v>
      </c>
      <c r="AA599" s="272">
        <f t="shared" si="346"/>
        <v>0</v>
      </c>
      <c r="AB599" s="272">
        <f t="shared" si="346"/>
        <v>0</v>
      </c>
      <c r="AC599" s="272">
        <f t="shared" si="346"/>
        <v>0</v>
      </c>
      <c r="AD599" s="272">
        <f t="shared" si="346"/>
        <v>0</v>
      </c>
      <c r="AE599" s="272">
        <f t="shared" si="346"/>
        <v>0</v>
      </c>
      <c r="AF599" s="272">
        <f t="shared" si="346"/>
        <v>0</v>
      </c>
      <c r="AG599" s="272">
        <f t="shared" si="346"/>
        <v>0</v>
      </c>
      <c r="AH599" s="272">
        <f t="shared" si="346"/>
        <v>0</v>
      </c>
      <c r="AI599" s="272">
        <f t="shared" si="346"/>
        <v>0</v>
      </c>
      <c r="AJ599" s="272">
        <f t="shared" si="346"/>
        <v>0</v>
      </c>
      <c r="AK599" s="272">
        <f t="shared" si="346"/>
        <v>0</v>
      </c>
      <c r="AL599" s="272">
        <f t="shared" si="346"/>
        <v>0</v>
      </c>
      <c r="AM599" s="272">
        <f t="shared" si="346"/>
        <v>0</v>
      </c>
      <c r="AN599" s="272">
        <f t="shared" si="346"/>
        <v>0</v>
      </c>
      <c r="AO599" s="272">
        <f t="shared" si="346"/>
        <v>0</v>
      </c>
      <c r="AP599" s="272">
        <f t="shared" si="346"/>
        <v>0</v>
      </c>
    </row>
    <row r="600" spans="1:42" x14ac:dyDescent="0.2">
      <c r="A600" s="7">
        <f t="shared" ref="A600:A607" si="347">A599+1</f>
        <v>3</v>
      </c>
      <c r="B600" s="292">
        <f t="shared" si="344"/>
        <v>0</v>
      </c>
      <c r="C600" s="272">
        <f t="shared" ref="C600:AP600" si="348">IF(C$2&gt;analysis_period,0,IF(C$2=equip2_reserve_freq*$A600,equip2_reserve_cost*system_capacity*1000*(1+inflation_rate/100)^B$2,0))</f>
        <v>0</v>
      </c>
      <c r="D600" s="272">
        <f t="shared" si="348"/>
        <v>0</v>
      </c>
      <c r="E600" s="272">
        <f t="shared" si="348"/>
        <v>0</v>
      </c>
      <c r="F600" s="272">
        <f t="shared" si="348"/>
        <v>0</v>
      </c>
      <c r="G600" s="272">
        <f t="shared" si="348"/>
        <v>0</v>
      </c>
      <c r="H600" s="272">
        <f t="shared" si="348"/>
        <v>0</v>
      </c>
      <c r="I600" s="272">
        <f t="shared" si="348"/>
        <v>0</v>
      </c>
      <c r="J600" s="272">
        <f t="shared" si="348"/>
        <v>0</v>
      </c>
      <c r="K600" s="272">
        <f t="shared" si="348"/>
        <v>0</v>
      </c>
      <c r="L600" s="272">
        <f t="shared" si="348"/>
        <v>0</v>
      </c>
      <c r="M600" s="272">
        <f t="shared" si="348"/>
        <v>0</v>
      </c>
      <c r="N600" s="272">
        <f t="shared" si="348"/>
        <v>0</v>
      </c>
      <c r="O600" s="272">
        <f t="shared" si="348"/>
        <v>0</v>
      </c>
      <c r="P600" s="272">
        <f t="shared" si="348"/>
        <v>0</v>
      </c>
      <c r="Q600" s="272">
        <f t="shared" si="348"/>
        <v>0</v>
      </c>
      <c r="R600" s="272">
        <f t="shared" si="348"/>
        <v>0</v>
      </c>
      <c r="S600" s="272">
        <f t="shared" si="348"/>
        <v>0</v>
      </c>
      <c r="T600" s="272">
        <f t="shared" si="348"/>
        <v>0</v>
      </c>
      <c r="U600" s="272">
        <f t="shared" si="348"/>
        <v>0</v>
      </c>
      <c r="V600" s="272">
        <f t="shared" si="348"/>
        <v>0</v>
      </c>
      <c r="W600" s="272">
        <f t="shared" si="348"/>
        <v>0</v>
      </c>
      <c r="X600" s="272">
        <f t="shared" si="348"/>
        <v>0</v>
      </c>
      <c r="Y600" s="272">
        <f t="shared" si="348"/>
        <v>0</v>
      </c>
      <c r="Z600" s="272">
        <f t="shared" si="348"/>
        <v>0</v>
      </c>
      <c r="AA600" s="272">
        <f t="shared" si="348"/>
        <v>0</v>
      </c>
      <c r="AB600" s="272">
        <f t="shared" si="348"/>
        <v>0</v>
      </c>
      <c r="AC600" s="272">
        <f t="shared" si="348"/>
        <v>0</v>
      </c>
      <c r="AD600" s="272">
        <f t="shared" si="348"/>
        <v>0</v>
      </c>
      <c r="AE600" s="272">
        <f t="shared" si="348"/>
        <v>0</v>
      </c>
      <c r="AF600" s="272">
        <f t="shared" si="348"/>
        <v>0</v>
      </c>
      <c r="AG600" s="272">
        <f t="shared" si="348"/>
        <v>0</v>
      </c>
      <c r="AH600" s="272">
        <f t="shared" si="348"/>
        <v>0</v>
      </c>
      <c r="AI600" s="272">
        <f t="shared" si="348"/>
        <v>0</v>
      </c>
      <c r="AJ600" s="272">
        <f t="shared" si="348"/>
        <v>0</v>
      </c>
      <c r="AK600" s="272">
        <f t="shared" si="348"/>
        <v>0</v>
      </c>
      <c r="AL600" s="272">
        <f t="shared" si="348"/>
        <v>0</v>
      </c>
      <c r="AM600" s="272">
        <f t="shared" si="348"/>
        <v>0</v>
      </c>
      <c r="AN600" s="272">
        <f t="shared" si="348"/>
        <v>0</v>
      </c>
      <c r="AO600" s="272">
        <f t="shared" si="348"/>
        <v>0</v>
      </c>
      <c r="AP600" s="272">
        <f t="shared" si="348"/>
        <v>0</v>
      </c>
    </row>
    <row r="601" spans="1:42" x14ac:dyDescent="0.2">
      <c r="A601" s="7">
        <f t="shared" si="347"/>
        <v>4</v>
      </c>
      <c r="B601" s="292">
        <f t="shared" si="344"/>
        <v>0</v>
      </c>
      <c r="C601" s="272">
        <f t="shared" ref="C601:AP601" si="349">IF(C$2&gt;analysis_period,0,IF(C$2=equip2_reserve_freq*$A601,equip2_reserve_cost*system_capacity*1000*(1+inflation_rate/100)^B$2,0))</f>
        <v>0</v>
      </c>
      <c r="D601" s="272">
        <f t="shared" si="349"/>
        <v>0</v>
      </c>
      <c r="E601" s="272">
        <f t="shared" si="349"/>
        <v>0</v>
      </c>
      <c r="F601" s="272">
        <f t="shared" si="349"/>
        <v>0</v>
      </c>
      <c r="G601" s="272">
        <f t="shared" si="349"/>
        <v>0</v>
      </c>
      <c r="H601" s="272">
        <f t="shared" si="349"/>
        <v>0</v>
      </c>
      <c r="I601" s="272">
        <f t="shared" si="349"/>
        <v>0</v>
      </c>
      <c r="J601" s="272">
        <f t="shared" si="349"/>
        <v>0</v>
      </c>
      <c r="K601" s="272">
        <f t="shared" si="349"/>
        <v>0</v>
      </c>
      <c r="L601" s="272">
        <f t="shared" si="349"/>
        <v>0</v>
      </c>
      <c r="M601" s="272">
        <f t="shared" si="349"/>
        <v>0</v>
      </c>
      <c r="N601" s="272">
        <f t="shared" si="349"/>
        <v>0</v>
      </c>
      <c r="O601" s="272">
        <f t="shared" si="349"/>
        <v>0</v>
      </c>
      <c r="P601" s="272">
        <f t="shared" si="349"/>
        <v>0</v>
      </c>
      <c r="Q601" s="272">
        <f t="shared" si="349"/>
        <v>0</v>
      </c>
      <c r="R601" s="272">
        <f t="shared" si="349"/>
        <v>0</v>
      </c>
      <c r="S601" s="272">
        <f t="shared" si="349"/>
        <v>0</v>
      </c>
      <c r="T601" s="272">
        <f t="shared" si="349"/>
        <v>0</v>
      </c>
      <c r="U601" s="272">
        <f t="shared" si="349"/>
        <v>0</v>
      </c>
      <c r="V601" s="272">
        <f t="shared" si="349"/>
        <v>0</v>
      </c>
      <c r="W601" s="272">
        <f t="shared" si="349"/>
        <v>0</v>
      </c>
      <c r="X601" s="272">
        <f t="shared" si="349"/>
        <v>0</v>
      </c>
      <c r="Y601" s="272">
        <f t="shared" si="349"/>
        <v>0</v>
      </c>
      <c r="Z601" s="272">
        <f t="shared" si="349"/>
        <v>0</v>
      </c>
      <c r="AA601" s="272">
        <f t="shared" si="349"/>
        <v>0</v>
      </c>
      <c r="AB601" s="272">
        <f t="shared" si="349"/>
        <v>0</v>
      </c>
      <c r="AC601" s="272">
        <f t="shared" si="349"/>
        <v>0</v>
      </c>
      <c r="AD601" s="272">
        <f t="shared" si="349"/>
        <v>0</v>
      </c>
      <c r="AE601" s="272">
        <f t="shared" si="349"/>
        <v>0</v>
      </c>
      <c r="AF601" s="272">
        <f t="shared" si="349"/>
        <v>0</v>
      </c>
      <c r="AG601" s="272">
        <f t="shared" si="349"/>
        <v>0</v>
      </c>
      <c r="AH601" s="272">
        <f t="shared" si="349"/>
        <v>0</v>
      </c>
      <c r="AI601" s="272">
        <f t="shared" si="349"/>
        <v>0</v>
      </c>
      <c r="AJ601" s="272">
        <f t="shared" si="349"/>
        <v>0</v>
      </c>
      <c r="AK601" s="272">
        <f t="shared" si="349"/>
        <v>0</v>
      </c>
      <c r="AL601" s="272">
        <f t="shared" si="349"/>
        <v>0</v>
      </c>
      <c r="AM601" s="272">
        <f t="shared" si="349"/>
        <v>0</v>
      </c>
      <c r="AN601" s="272">
        <f t="shared" si="349"/>
        <v>0</v>
      </c>
      <c r="AO601" s="272">
        <f t="shared" si="349"/>
        <v>0</v>
      </c>
      <c r="AP601" s="272">
        <f t="shared" si="349"/>
        <v>0</v>
      </c>
    </row>
    <row r="602" spans="1:42" x14ac:dyDescent="0.2">
      <c r="A602" s="7">
        <f t="shared" si="347"/>
        <v>5</v>
      </c>
      <c r="B602" s="292">
        <f t="shared" si="344"/>
        <v>0</v>
      </c>
      <c r="C602" s="272">
        <f t="shared" ref="C602:AP602" si="350">IF(C$2&gt;analysis_period,0,IF(C$2=equip2_reserve_freq*$A602,equip2_reserve_cost*system_capacity*1000*(1+inflation_rate/100)^B$2,0))</f>
        <v>0</v>
      </c>
      <c r="D602" s="272">
        <f t="shared" si="350"/>
        <v>0</v>
      </c>
      <c r="E602" s="272">
        <f t="shared" si="350"/>
        <v>0</v>
      </c>
      <c r="F602" s="272">
        <f t="shared" si="350"/>
        <v>0</v>
      </c>
      <c r="G602" s="272">
        <f t="shared" si="350"/>
        <v>0</v>
      </c>
      <c r="H602" s="272">
        <f t="shared" si="350"/>
        <v>0</v>
      </c>
      <c r="I602" s="272">
        <f t="shared" si="350"/>
        <v>0</v>
      </c>
      <c r="J602" s="272">
        <f t="shared" si="350"/>
        <v>0</v>
      </c>
      <c r="K602" s="272">
        <f t="shared" si="350"/>
        <v>0</v>
      </c>
      <c r="L602" s="272">
        <f t="shared" si="350"/>
        <v>0</v>
      </c>
      <c r="M602" s="272">
        <f t="shared" si="350"/>
        <v>0</v>
      </c>
      <c r="N602" s="272">
        <f t="shared" si="350"/>
        <v>0</v>
      </c>
      <c r="O602" s="272">
        <f t="shared" si="350"/>
        <v>0</v>
      </c>
      <c r="P602" s="272">
        <f t="shared" si="350"/>
        <v>0</v>
      </c>
      <c r="Q602" s="272">
        <f t="shared" si="350"/>
        <v>0</v>
      </c>
      <c r="R602" s="272">
        <f t="shared" si="350"/>
        <v>0</v>
      </c>
      <c r="S602" s="272">
        <f t="shared" si="350"/>
        <v>0</v>
      </c>
      <c r="T602" s="272">
        <f t="shared" si="350"/>
        <v>0</v>
      </c>
      <c r="U602" s="272">
        <f t="shared" si="350"/>
        <v>0</v>
      </c>
      <c r="V602" s="272">
        <f t="shared" si="350"/>
        <v>0</v>
      </c>
      <c r="W602" s="272">
        <f t="shared" si="350"/>
        <v>0</v>
      </c>
      <c r="X602" s="272">
        <f t="shared" si="350"/>
        <v>0</v>
      </c>
      <c r="Y602" s="272">
        <f t="shared" si="350"/>
        <v>0</v>
      </c>
      <c r="Z602" s="272">
        <f t="shared" si="350"/>
        <v>0</v>
      </c>
      <c r="AA602" s="272">
        <f t="shared" si="350"/>
        <v>0</v>
      </c>
      <c r="AB602" s="272">
        <f t="shared" si="350"/>
        <v>0</v>
      </c>
      <c r="AC602" s="272">
        <f t="shared" si="350"/>
        <v>0</v>
      </c>
      <c r="AD602" s="272">
        <f t="shared" si="350"/>
        <v>0</v>
      </c>
      <c r="AE602" s="272">
        <f t="shared" si="350"/>
        <v>0</v>
      </c>
      <c r="AF602" s="272">
        <f t="shared" si="350"/>
        <v>0</v>
      </c>
      <c r="AG602" s="272">
        <f t="shared" si="350"/>
        <v>0</v>
      </c>
      <c r="AH602" s="272">
        <f t="shared" si="350"/>
        <v>0</v>
      </c>
      <c r="AI602" s="272">
        <f t="shared" si="350"/>
        <v>0</v>
      </c>
      <c r="AJ602" s="272">
        <f t="shared" si="350"/>
        <v>0</v>
      </c>
      <c r="AK602" s="272">
        <f t="shared" si="350"/>
        <v>0</v>
      </c>
      <c r="AL602" s="272">
        <f t="shared" si="350"/>
        <v>0</v>
      </c>
      <c r="AM602" s="272">
        <f t="shared" si="350"/>
        <v>0</v>
      </c>
      <c r="AN602" s="272">
        <f t="shared" si="350"/>
        <v>0</v>
      </c>
      <c r="AO602" s="272">
        <f t="shared" si="350"/>
        <v>0</v>
      </c>
      <c r="AP602" s="272">
        <f t="shared" si="350"/>
        <v>0</v>
      </c>
    </row>
    <row r="603" spans="1:42" x14ac:dyDescent="0.2">
      <c r="A603" s="7">
        <f t="shared" si="347"/>
        <v>6</v>
      </c>
      <c r="B603" s="292">
        <f t="shared" si="344"/>
        <v>0</v>
      </c>
      <c r="C603" s="272">
        <f t="shared" ref="C603:AP603" si="351">IF(C$2&gt;analysis_period,0,IF(C$2=equip2_reserve_freq*$A603,equip2_reserve_cost*system_capacity*1000*(1+inflation_rate/100)^B$2,0))</f>
        <v>0</v>
      </c>
      <c r="D603" s="272">
        <f t="shared" si="351"/>
        <v>0</v>
      </c>
      <c r="E603" s="272">
        <f t="shared" si="351"/>
        <v>0</v>
      </c>
      <c r="F603" s="272">
        <f t="shared" si="351"/>
        <v>0</v>
      </c>
      <c r="G603" s="272">
        <f t="shared" si="351"/>
        <v>0</v>
      </c>
      <c r="H603" s="272">
        <f t="shared" si="351"/>
        <v>0</v>
      </c>
      <c r="I603" s="272">
        <f t="shared" si="351"/>
        <v>0</v>
      </c>
      <c r="J603" s="272">
        <f t="shared" si="351"/>
        <v>0</v>
      </c>
      <c r="K603" s="272">
        <f t="shared" si="351"/>
        <v>0</v>
      </c>
      <c r="L603" s="272">
        <f t="shared" si="351"/>
        <v>0</v>
      </c>
      <c r="M603" s="272">
        <f t="shared" si="351"/>
        <v>0</v>
      </c>
      <c r="N603" s="272">
        <f t="shared" si="351"/>
        <v>0</v>
      </c>
      <c r="O603" s="272">
        <f t="shared" si="351"/>
        <v>0</v>
      </c>
      <c r="P603" s="272">
        <f t="shared" si="351"/>
        <v>0</v>
      </c>
      <c r="Q603" s="272">
        <f t="shared" si="351"/>
        <v>0</v>
      </c>
      <c r="R603" s="272">
        <f t="shared" si="351"/>
        <v>0</v>
      </c>
      <c r="S603" s="272">
        <f t="shared" si="351"/>
        <v>0</v>
      </c>
      <c r="T603" s="272">
        <f t="shared" si="351"/>
        <v>0</v>
      </c>
      <c r="U603" s="272">
        <f t="shared" si="351"/>
        <v>0</v>
      </c>
      <c r="V603" s="272">
        <f t="shared" si="351"/>
        <v>0</v>
      </c>
      <c r="W603" s="272">
        <f t="shared" si="351"/>
        <v>0</v>
      </c>
      <c r="X603" s="272">
        <f t="shared" si="351"/>
        <v>0</v>
      </c>
      <c r="Y603" s="272">
        <f t="shared" si="351"/>
        <v>0</v>
      </c>
      <c r="Z603" s="272">
        <f t="shared" si="351"/>
        <v>0</v>
      </c>
      <c r="AA603" s="272">
        <f t="shared" si="351"/>
        <v>0</v>
      </c>
      <c r="AB603" s="272">
        <f t="shared" si="351"/>
        <v>0</v>
      </c>
      <c r="AC603" s="272">
        <f t="shared" si="351"/>
        <v>0</v>
      </c>
      <c r="AD603" s="272">
        <f t="shared" si="351"/>
        <v>0</v>
      </c>
      <c r="AE603" s="272">
        <f t="shared" si="351"/>
        <v>0</v>
      </c>
      <c r="AF603" s="272">
        <f t="shared" si="351"/>
        <v>0</v>
      </c>
      <c r="AG603" s="272">
        <f t="shared" si="351"/>
        <v>0</v>
      </c>
      <c r="AH603" s="272">
        <f t="shared" si="351"/>
        <v>0</v>
      </c>
      <c r="AI603" s="272">
        <f t="shared" si="351"/>
        <v>0</v>
      </c>
      <c r="AJ603" s="272">
        <f t="shared" si="351"/>
        <v>0</v>
      </c>
      <c r="AK603" s="272">
        <f t="shared" si="351"/>
        <v>0</v>
      </c>
      <c r="AL603" s="272">
        <f t="shared" si="351"/>
        <v>0</v>
      </c>
      <c r="AM603" s="272">
        <f t="shared" si="351"/>
        <v>0</v>
      </c>
      <c r="AN603" s="272">
        <f t="shared" si="351"/>
        <v>0</v>
      </c>
      <c r="AO603" s="272">
        <f t="shared" si="351"/>
        <v>0</v>
      </c>
      <c r="AP603" s="272">
        <f t="shared" si="351"/>
        <v>0</v>
      </c>
    </row>
    <row r="604" spans="1:42" x14ac:dyDescent="0.2">
      <c r="A604" s="7">
        <f t="shared" si="347"/>
        <v>7</v>
      </c>
      <c r="B604" s="292">
        <f t="shared" si="344"/>
        <v>0</v>
      </c>
      <c r="C604" s="272">
        <f t="shared" ref="C604:AP604" si="352">IF(C$2&gt;analysis_period,0,IF(C$2=equip2_reserve_freq*$A604,equip2_reserve_cost*system_capacity*1000*(1+inflation_rate/100)^B$2,0))</f>
        <v>0</v>
      </c>
      <c r="D604" s="272">
        <f t="shared" si="352"/>
        <v>0</v>
      </c>
      <c r="E604" s="272">
        <f t="shared" si="352"/>
        <v>0</v>
      </c>
      <c r="F604" s="272">
        <f t="shared" si="352"/>
        <v>0</v>
      </c>
      <c r="G604" s="272">
        <f t="shared" si="352"/>
        <v>0</v>
      </c>
      <c r="H604" s="272">
        <f t="shared" si="352"/>
        <v>0</v>
      </c>
      <c r="I604" s="272">
        <f t="shared" si="352"/>
        <v>0</v>
      </c>
      <c r="J604" s="272">
        <f t="shared" si="352"/>
        <v>0</v>
      </c>
      <c r="K604" s="272">
        <f t="shared" si="352"/>
        <v>0</v>
      </c>
      <c r="L604" s="272">
        <f t="shared" si="352"/>
        <v>0</v>
      </c>
      <c r="M604" s="272">
        <f t="shared" si="352"/>
        <v>0</v>
      </c>
      <c r="N604" s="272">
        <f t="shared" si="352"/>
        <v>0</v>
      </c>
      <c r="O604" s="272">
        <f t="shared" si="352"/>
        <v>0</v>
      </c>
      <c r="P604" s="272">
        <f t="shared" si="352"/>
        <v>0</v>
      </c>
      <c r="Q604" s="272">
        <f t="shared" si="352"/>
        <v>0</v>
      </c>
      <c r="R604" s="272">
        <f t="shared" si="352"/>
        <v>0</v>
      </c>
      <c r="S604" s="272">
        <f t="shared" si="352"/>
        <v>0</v>
      </c>
      <c r="T604" s="272">
        <f t="shared" si="352"/>
        <v>0</v>
      </c>
      <c r="U604" s="272">
        <f t="shared" si="352"/>
        <v>0</v>
      </c>
      <c r="V604" s="272">
        <f t="shared" si="352"/>
        <v>0</v>
      </c>
      <c r="W604" s="272">
        <f t="shared" si="352"/>
        <v>0</v>
      </c>
      <c r="X604" s="272">
        <f t="shared" si="352"/>
        <v>0</v>
      </c>
      <c r="Y604" s="272">
        <f t="shared" si="352"/>
        <v>0</v>
      </c>
      <c r="Z604" s="272">
        <f t="shared" si="352"/>
        <v>0</v>
      </c>
      <c r="AA604" s="272">
        <f t="shared" si="352"/>
        <v>0</v>
      </c>
      <c r="AB604" s="272">
        <f t="shared" si="352"/>
        <v>0</v>
      </c>
      <c r="AC604" s="272">
        <f t="shared" si="352"/>
        <v>0</v>
      </c>
      <c r="AD604" s="272">
        <f t="shared" si="352"/>
        <v>0</v>
      </c>
      <c r="AE604" s="272">
        <f t="shared" si="352"/>
        <v>0</v>
      </c>
      <c r="AF604" s="272">
        <f t="shared" si="352"/>
        <v>0</v>
      </c>
      <c r="AG604" s="272">
        <f t="shared" si="352"/>
        <v>0</v>
      </c>
      <c r="AH604" s="272">
        <f t="shared" si="352"/>
        <v>0</v>
      </c>
      <c r="AI604" s="272">
        <f t="shared" si="352"/>
        <v>0</v>
      </c>
      <c r="AJ604" s="272">
        <f t="shared" si="352"/>
        <v>0</v>
      </c>
      <c r="AK604" s="272">
        <f t="shared" si="352"/>
        <v>0</v>
      </c>
      <c r="AL604" s="272">
        <f t="shared" si="352"/>
        <v>0</v>
      </c>
      <c r="AM604" s="272">
        <f t="shared" si="352"/>
        <v>0</v>
      </c>
      <c r="AN604" s="272">
        <f t="shared" si="352"/>
        <v>0</v>
      </c>
      <c r="AO604" s="272">
        <f t="shared" si="352"/>
        <v>0</v>
      </c>
      <c r="AP604" s="272">
        <f t="shared" si="352"/>
        <v>0</v>
      </c>
    </row>
    <row r="605" spans="1:42" x14ac:dyDescent="0.2">
      <c r="A605" s="7">
        <f t="shared" si="347"/>
        <v>8</v>
      </c>
      <c r="B605" s="292">
        <f t="shared" si="344"/>
        <v>0</v>
      </c>
      <c r="C605" s="272">
        <f t="shared" ref="C605:AP605" si="353">IF(C$2&gt;analysis_period,0,IF(C$2=equip2_reserve_freq*$A605,equip2_reserve_cost*system_capacity*1000*(1+inflation_rate/100)^B$2,0))</f>
        <v>0</v>
      </c>
      <c r="D605" s="272">
        <f t="shared" si="353"/>
        <v>0</v>
      </c>
      <c r="E605" s="272">
        <f t="shared" si="353"/>
        <v>0</v>
      </c>
      <c r="F605" s="272">
        <f t="shared" si="353"/>
        <v>0</v>
      </c>
      <c r="G605" s="272">
        <f t="shared" si="353"/>
        <v>0</v>
      </c>
      <c r="H605" s="272">
        <f t="shared" si="353"/>
        <v>0</v>
      </c>
      <c r="I605" s="272">
        <f t="shared" si="353"/>
        <v>0</v>
      </c>
      <c r="J605" s="272">
        <f t="shared" si="353"/>
        <v>0</v>
      </c>
      <c r="K605" s="272">
        <f t="shared" si="353"/>
        <v>0</v>
      </c>
      <c r="L605" s="272">
        <f t="shared" si="353"/>
        <v>0</v>
      </c>
      <c r="M605" s="272">
        <f t="shared" si="353"/>
        <v>0</v>
      </c>
      <c r="N605" s="272">
        <f t="shared" si="353"/>
        <v>0</v>
      </c>
      <c r="O605" s="272">
        <f t="shared" si="353"/>
        <v>0</v>
      </c>
      <c r="P605" s="272">
        <f t="shared" si="353"/>
        <v>0</v>
      </c>
      <c r="Q605" s="272">
        <f t="shared" si="353"/>
        <v>0</v>
      </c>
      <c r="R605" s="272">
        <f t="shared" si="353"/>
        <v>0</v>
      </c>
      <c r="S605" s="272">
        <f t="shared" si="353"/>
        <v>0</v>
      </c>
      <c r="T605" s="272">
        <f t="shared" si="353"/>
        <v>0</v>
      </c>
      <c r="U605" s="272">
        <f t="shared" si="353"/>
        <v>0</v>
      </c>
      <c r="V605" s="272">
        <f t="shared" si="353"/>
        <v>0</v>
      </c>
      <c r="W605" s="272">
        <f t="shared" si="353"/>
        <v>0</v>
      </c>
      <c r="X605" s="272">
        <f t="shared" si="353"/>
        <v>0</v>
      </c>
      <c r="Y605" s="272">
        <f t="shared" si="353"/>
        <v>0</v>
      </c>
      <c r="Z605" s="272">
        <f t="shared" si="353"/>
        <v>0</v>
      </c>
      <c r="AA605" s="272">
        <f t="shared" si="353"/>
        <v>0</v>
      </c>
      <c r="AB605" s="272">
        <f t="shared" si="353"/>
        <v>0</v>
      </c>
      <c r="AC605" s="272">
        <f t="shared" si="353"/>
        <v>0</v>
      </c>
      <c r="AD605" s="272">
        <f t="shared" si="353"/>
        <v>0</v>
      </c>
      <c r="AE605" s="272">
        <f t="shared" si="353"/>
        <v>0</v>
      </c>
      <c r="AF605" s="272">
        <f t="shared" si="353"/>
        <v>0</v>
      </c>
      <c r="AG605" s="272">
        <f t="shared" si="353"/>
        <v>0</v>
      </c>
      <c r="AH605" s="272">
        <f t="shared" si="353"/>
        <v>0</v>
      </c>
      <c r="AI605" s="272">
        <f t="shared" si="353"/>
        <v>0</v>
      </c>
      <c r="AJ605" s="272">
        <f t="shared" si="353"/>
        <v>0</v>
      </c>
      <c r="AK605" s="272">
        <f t="shared" si="353"/>
        <v>0</v>
      </c>
      <c r="AL605" s="272">
        <f t="shared" si="353"/>
        <v>0</v>
      </c>
      <c r="AM605" s="272">
        <f t="shared" si="353"/>
        <v>0</v>
      </c>
      <c r="AN605" s="272">
        <f t="shared" si="353"/>
        <v>0</v>
      </c>
      <c r="AO605" s="272">
        <f t="shared" si="353"/>
        <v>0</v>
      </c>
      <c r="AP605" s="272">
        <f t="shared" si="353"/>
        <v>0</v>
      </c>
    </row>
    <row r="606" spans="1:42" x14ac:dyDescent="0.2">
      <c r="A606" s="7">
        <f>A605+1</f>
        <v>9</v>
      </c>
      <c r="B606" s="292">
        <f t="shared" si="344"/>
        <v>0</v>
      </c>
      <c r="C606" s="272">
        <f t="shared" ref="C606:AP606" si="354">IF(C$2&gt;analysis_period,0,IF(C$2=equip2_reserve_freq*$A606,equip2_reserve_cost*system_capacity*1000*(1+inflation_rate/100)^B$2,0))</f>
        <v>0</v>
      </c>
      <c r="D606" s="272">
        <f t="shared" si="354"/>
        <v>0</v>
      </c>
      <c r="E606" s="272">
        <f t="shared" si="354"/>
        <v>0</v>
      </c>
      <c r="F606" s="272">
        <f t="shared" si="354"/>
        <v>0</v>
      </c>
      <c r="G606" s="272">
        <f t="shared" si="354"/>
        <v>0</v>
      </c>
      <c r="H606" s="272">
        <f t="shared" si="354"/>
        <v>0</v>
      </c>
      <c r="I606" s="272">
        <f t="shared" si="354"/>
        <v>0</v>
      </c>
      <c r="J606" s="272">
        <f t="shared" si="354"/>
        <v>0</v>
      </c>
      <c r="K606" s="272">
        <f t="shared" si="354"/>
        <v>0</v>
      </c>
      <c r="L606" s="272">
        <f t="shared" si="354"/>
        <v>0</v>
      </c>
      <c r="M606" s="272">
        <f t="shared" si="354"/>
        <v>0</v>
      </c>
      <c r="N606" s="272">
        <f t="shared" si="354"/>
        <v>0</v>
      </c>
      <c r="O606" s="272">
        <f t="shared" si="354"/>
        <v>0</v>
      </c>
      <c r="P606" s="272">
        <f t="shared" si="354"/>
        <v>0</v>
      </c>
      <c r="Q606" s="272">
        <f t="shared" si="354"/>
        <v>0</v>
      </c>
      <c r="R606" s="272">
        <f t="shared" si="354"/>
        <v>0</v>
      </c>
      <c r="S606" s="272">
        <f t="shared" si="354"/>
        <v>0</v>
      </c>
      <c r="T606" s="272">
        <f t="shared" si="354"/>
        <v>0</v>
      </c>
      <c r="U606" s="272">
        <f t="shared" si="354"/>
        <v>0</v>
      </c>
      <c r="V606" s="272">
        <f t="shared" si="354"/>
        <v>0</v>
      </c>
      <c r="W606" s="272">
        <f t="shared" si="354"/>
        <v>0</v>
      </c>
      <c r="X606" s="272">
        <f t="shared" si="354"/>
        <v>0</v>
      </c>
      <c r="Y606" s="272">
        <f t="shared" si="354"/>
        <v>0</v>
      </c>
      <c r="Z606" s="272">
        <f t="shared" si="354"/>
        <v>0</v>
      </c>
      <c r="AA606" s="272">
        <f t="shared" si="354"/>
        <v>0</v>
      </c>
      <c r="AB606" s="272">
        <f t="shared" si="354"/>
        <v>0</v>
      </c>
      <c r="AC606" s="272">
        <f t="shared" si="354"/>
        <v>0</v>
      </c>
      <c r="AD606" s="272">
        <f t="shared" si="354"/>
        <v>0</v>
      </c>
      <c r="AE606" s="272">
        <f t="shared" si="354"/>
        <v>0</v>
      </c>
      <c r="AF606" s="272">
        <f t="shared" si="354"/>
        <v>0</v>
      </c>
      <c r="AG606" s="272">
        <f t="shared" si="354"/>
        <v>0</v>
      </c>
      <c r="AH606" s="272">
        <f t="shared" si="354"/>
        <v>0</v>
      </c>
      <c r="AI606" s="272">
        <f t="shared" si="354"/>
        <v>0</v>
      </c>
      <c r="AJ606" s="272">
        <f t="shared" si="354"/>
        <v>0</v>
      </c>
      <c r="AK606" s="272">
        <f t="shared" si="354"/>
        <v>0</v>
      </c>
      <c r="AL606" s="272">
        <f t="shared" si="354"/>
        <v>0</v>
      </c>
      <c r="AM606" s="272">
        <f t="shared" si="354"/>
        <v>0</v>
      </c>
      <c r="AN606" s="272">
        <f t="shared" si="354"/>
        <v>0</v>
      </c>
      <c r="AO606" s="272">
        <f t="shared" si="354"/>
        <v>0</v>
      </c>
      <c r="AP606" s="272">
        <f t="shared" si="354"/>
        <v>0</v>
      </c>
    </row>
    <row r="607" spans="1:42" x14ac:dyDescent="0.2">
      <c r="A607" s="7">
        <f t="shared" si="347"/>
        <v>10</v>
      </c>
      <c r="B607" s="292">
        <f t="shared" si="344"/>
        <v>0</v>
      </c>
      <c r="C607" s="272">
        <f t="shared" ref="C607:AP607" si="355">IF(C$2&gt;analysis_period,0,IF(C$2=equip2_reserve_freq*$A607,equip2_reserve_cost*system_capacity*1000*(1+inflation_rate/100)^B$2,0))</f>
        <v>0</v>
      </c>
      <c r="D607" s="272">
        <f t="shared" si="355"/>
        <v>0</v>
      </c>
      <c r="E607" s="272">
        <f t="shared" si="355"/>
        <v>0</v>
      </c>
      <c r="F607" s="272">
        <f t="shared" si="355"/>
        <v>0</v>
      </c>
      <c r="G607" s="272">
        <f t="shared" si="355"/>
        <v>0</v>
      </c>
      <c r="H607" s="272">
        <f t="shared" si="355"/>
        <v>0</v>
      </c>
      <c r="I607" s="272">
        <f t="shared" si="355"/>
        <v>0</v>
      </c>
      <c r="J607" s="272">
        <f t="shared" si="355"/>
        <v>0</v>
      </c>
      <c r="K607" s="272">
        <f t="shared" si="355"/>
        <v>0</v>
      </c>
      <c r="L607" s="272">
        <f t="shared" si="355"/>
        <v>0</v>
      </c>
      <c r="M607" s="272">
        <f t="shared" si="355"/>
        <v>0</v>
      </c>
      <c r="N607" s="272">
        <f t="shared" si="355"/>
        <v>0</v>
      </c>
      <c r="O607" s="272">
        <f t="shared" si="355"/>
        <v>0</v>
      </c>
      <c r="P607" s="272">
        <f t="shared" si="355"/>
        <v>0</v>
      </c>
      <c r="Q607" s="272">
        <f t="shared" si="355"/>
        <v>0</v>
      </c>
      <c r="R607" s="272">
        <f t="shared" si="355"/>
        <v>0</v>
      </c>
      <c r="S607" s="272">
        <f t="shared" si="355"/>
        <v>0</v>
      </c>
      <c r="T607" s="272">
        <f t="shared" si="355"/>
        <v>0</v>
      </c>
      <c r="U607" s="272">
        <f t="shared" si="355"/>
        <v>0</v>
      </c>
      <c r="V607" s="272">
        <f t="shared" si="355"/>
        <v>0</v>
      </c>
      <c r="W607" s="272">
        <f t="shared" si="355"/>
        <v>0</v>
      </c>
      <c r="X607" s="272">
        <f t="shared" si="355"/>
        <v>0</v>
      </c>
      <c r="Y607" s="272">
        <f t="shared" si="355"/>
        <v>0</v>
      </c>
      <c r="Z607" s="272">
        <f t="shared" si="355"/>
        <v>0</v>
      </c>
      <c r="AA607" s="272">
        <f t="shared" si="355"/>
        <v>0</v>
      </c>
      <c r="AB607" s="272">
        <f t="shared" si="355"/>
        <v>0</v>
      </c>
      <c r="AC607" s="272">
        <f t="shared" si="355"/>
        <v>0</v>
      </c>
      <c r="AD607" s="272">
        <f t="shared" si="355"/>
        <v>0</v>
      </c>
      <c r="AE607" s="272">
        <f t="shared" si="355"/>
        <v>0</v>
      </c>
      <c r="AF607" s="272">
        <f t="shared" si="355"/>
        <v>0</v>
      </c>
      <c r="AG607" s="272">
        <f t="shared" si="355"/>
        <v>0</v>
      </c>
      <c r="AH607" s="272">
        <f t="shared" si="355"/>
        <v>0</v>
      </c>
      <c r="AI607" s="272">
        <f t="shared" si="355"/>
        <v>0</v>
      </c>
      <c r="AJ607" s="272">
        <f t="shared" si="355"/>
        <v>0</v>
      </c>
      <c r="AK607" s="272">
        <f t="shared" si="355"/>
        <v>0</v>
      </c>
      <c r="AL607" s="272">
        <f t="shared" si="355"/>
        <v>0</v>
      </c>
      <c r="AM607" s="272">
        <f t="shared" si="355"/>
        <v>0</v>
      </c>
      <c r="AN607" s="272">
        <f t="shared" si="355"/>
        <v>0</v>
      </c>
      <c r="AO607" s="272">
        <f t="shared" si="355"/>
        <v>0</v>
      </c>
      <c r="AP607" s="272">
        <f t="shared" si="355"/>
        <v>0</v>
      </c>
    </row>
    <row r="608" spans="1:42" x14ac:dyDescent="0.2">
      <c r="A608" s="44" t="s">
        <v>18</v>
      </c>
      <c r="B608" s="34"/>
      <c r="C608" s="276">
        <f>SUM(C598:C607)</f>
        <v>0</v>
      </c>
      <c r="D608" s="276">
        <f t="shared" ref="D608:AP608" si="356">SUM(D598:D607)</f>
        <v>0</v>
      </c>
      <c r="E608" s="276">
        <f t="shared" si="356"/>
        <v>0</v>
      </c>
      <c r="F608" s="276">
        <f t="shared" si="356"/>
        <v>0</v>
      </c>
      <c r="G608" s="276">
        <f t="shared" si="356"/>
        <v>0</v>
      </c>
      <c r="H608" s="276">
        <f t="shared" si="356"/>
        <v>0</v>
      </c>
      <c r="I608" s="276">
        <f t="shared" si="356"/>
        <v>0</v>
      </c>
      <c r="J608" s="276">
        <f t="shared" si="356"/>
        <v>0</v>
      </c>
      <c r="K608" s="276">
        <f t="shared" si="356"/>
        <v>0</v>
      </c>
      <c r="L608" s="276">
        <f t="shared" si="356"/>
        <v>0</v>
      </c>
      <c r="M608" s="276">
        <f t="shared" si="356"/>
        <v>0</v>
      </c>
      <c r="N608" s="276">
        <f t="shared" si="356"/>
        <v>0</v>
      </c>
      <c r="O608" s="276">
        <f t="shared" si="356"/>
        <v>0</v>
      </c>
      <c r="P608" s="276">
        <f t="shared" si="356"/>
        <v>0</v>
      </c>
      <c r="Q608" s="276">
        <f t="shared" si="356"/>
        <v>0</v>
      </c>
      <c r="R608" s="276">
        <f t="shared" si="356"/>
        <v>0</v>
      </c>
      <c r="S608" s="276">
        <f t="shared" si="356"/>
        <v>0</v>
      </c>
      <c r="T608" s="276">
        <f t="shared" si="356"/>
        <v>0</v>
      </c>
      <c r="U608" s="276">
        <f t="shared" si="356"/>
        <v>0</v>
      </c>
      <c r="V608" s="276">
        <f t="shared" si="356"/>
        <v>0</v>
      </c>
      <c r="W608" s="276">
        <f t="shared" si="356"/>
        <v>0</v>
      </c>
      <c r="X608" s="276">
        <f t="shared" si="356"/>
        <v>0</v>
      </c>
      <c r="Y608" s="276">
        <f t="shared" si="356"/>
        <v>0</v>
      </c>
      <c r="Z608" s="276">
        <f t="shared" si="356"/>
        <v>0</v>
      </c>
      <c r="AA608" s="276">
        <f t="shared" si="356"/>
        <v>0</v>
      </c>
      <c r="AB608" s="276">
        <f t="shared" si="356"/>
        <v>0</v>
      </c>
      <c r="AC608" s="276">
        <f t="shared" si="356"/>
        <v>0</v>
      </c>
      <c r="AD608" s="276">
        <f t="shared" si="356"/>
        <v>0</v>
      </c>
      <c r="AE608" s="276">
        <f t="shared" si="356"/>
        <v>0</v>
      </c>
      <c r="AF608" s="276">
        <f t="shared" si="356"/>
        <v>0</v>
      </c>
      <c r="AG608" s="276">
        <f t="shared" si="356"/>
        <v>0</v>
      </c>
      <c r="AH608" s="276">
        <f t="shared" si="356"/>
        <v>0</v>
      </c>
      <c r="AI608" s="276">
        <f t="shared" si="356"/>
        <v>0</v>
      </c>
      <c r="AJ608" s="276">
        <f t="shared" si="356"/>
        <v>0</v>
      </c>
      <c r="AK608" s="276">
        <f t="shared" si="356"/>
        <v>0</v>
      </c>
      <c r="AL608" s="276">
        <f t="shared" si="356"/>
        <v>0</v>
      </c>
      <c r="AM608" s="276">
        <f t="shared" si="356"/>
        <v>0</v>
      </c>
      <c r="AN608" s="276">
        <f t="shared" si="356"/>
        <v>0</v>
      </c>
      <c r="AO608" s="276">
        <f t="shared" si="356"/>
        <v>0</v>
      </c>
      <c r="AP608" s="276">
        <f t="shared" si="356"/>
        <v>0</v>
      </c>
    </row>
    <row r="609" spans="1:42" s="168" customFormat="1" x14ac:dyDescent="0.2">
      <c r="A609" s="7" t="s">
        <v>102</v>
      </c>
      <c r="G609" s="262"/>
      <c r="H609" s="262"/>
      <c r="I609" s="262"/>
      <c r="J609" s="262"/>
      <c r="K609" s="262"/>
      <c r="L609" s="262"/>
      <c r="M609" s="262"/>
      <c r="N609" s="262"/>
      <c r="O609" s="262"/>
      <c r="P609" s="262"/>
      <c r="Q609" s="262"/>
      <c r="R609" s="262"/>
      <c r="S609" s="262"/>
      <c r="T609" s="262"/>
      <c r="U609" s="262"/>
      <c r="V609" s="262"/>
      <c r="W609" s="262"/>
      <c r="X609" s="262"/>
      <c r="Y609" s="262"/>
      <c r="Z609" s="262"/>
      <c r="AA609" s="262"/>
      <c r="AB609" s="262"/>
      <c r="AC609" s="262"/>
      <c r="AD609" s="262"/>
      <c r="AE609" s="262"/>
      <c r="AF609" s="262"/>
      <c r="AG609" s="262"/>
      <c r="AH609" s="262"/>
      <c r="AI609" s="262"/>
      <c r="AJ609" s="262"/>
      <c r="AK609" s="262"/>
      <c r="AL609" s="262"/>
      <c r="AM609" s="262"/>
      <c r="AN609" s="262"/>
      <c r="AO609" s="262"/>
      <c r="AP609" s="262"/>
    </row>
    <row r="610" spans="1:42" x14ac:dyDescent="0.2">
      <c r="A610" s="7">
        <v>1</v>
      </c>
      <c r="B610" s="297">
        <f t="shared" ref="B610:B619" si="357">SUM(C610:AP610)</f>
        <v>0</v>
      </c>
      <c r="C610" s="272">
        <f t="shared" ref="C610:AP610" si="358">IF(C$2&lt;=equip2_reserve_freq*$A$598,$B$598/(equip2_reserve_freq),0)</f>
        <v>0</v>
      </c>
      <c r="D610" s="272">
        <f t="shared" si="358"/>
        <v>0</v>
      </c>
      <c r="E610" s="272">
        <f t="shared" si="358"/>
        <v>0</v>
      </c>
      <c r="F610" s="272">
        <f t="shared" si="358"/>
        <v>0</v>
      </c>
      <c r="G610" s="272">
        <f t="shared" si="358"/>
        <v>0</v>
      </c>
      <c r="H610" s="272">
        <f t="shared" si="358"/>
        <v>0</v>
      </c>
      <c r="I610" s="272">
        <f t="shared" si="358"/>
        <v>0</v>
      </c>
      <c r="J610" s="272">
        <f t="shared" si="358"/>
        <v>0</v>
      </c>
      <c r="K610" s="272">
        <f t="shared" si="358"/>
        <v>0</v>
      </c>
      <c r="L610" s="272">
        <f t="shared" si="358"/>
        <v>0</v>
      </c>
      <c r="M610" s="272">
        <f t="shared" si="358"/>
        <v>0</v>
      </c>
      <c r="N610" s="272">
        <f t="shared" si="358"/>
        <v>0</v>
      </c>
      <c r="O610" s="272">
        <f t="shared" si="358"/>
        <v>0</v>
      </c>
      <c r="P610" s="272">
        <f t="shared" si="358"/>
        <v>0</v>
      </c>
      <c r="Q610" s="272">
        <f t="shared" si="358"/>
        <v>0</v>
      </c>
      <c r="R610" s="272">
        <f t="shared" si="358"/>
        <v>0</v>
      </c>
      <c r="S610" s="272">
        <f t="shared" si="358"/>
        <v>0</v>
      </c>
      <c r="T610" s="272">
        <f t="shared" si="358"/>
        <v>0</v>
      </c>
      <c r="U610" s="272">
        <f t="shared" si="358"/>
        <v>0</v>
      </c>
      <c r="V610" s="272">
        <f t="shared" si="358"/>
        <v>0</v>
      </c>
      <c r="W610" s="272">
        <f t="shared" si="358"/>
        <v>0</v>
      </c>
      <c r="X610" s="272">
        <f t="shared" si="358"/>
        <v>0</v>
      </c>
      <c r="Y610" s="272">
        <f t="shared" si="358"/>
        <v>0</v>
      </c>
      <c r="Z610" s="272">
        <f t="shared" si="358"/>
        <v>0</v>
      </c>
      <c r="AA610" s="272">
        <f t="shared" si="358"/>
        <v>0</v>
      </c>
      <c r="AB610" s="272">
        <f t="shared" si="358"/>
        <v>0</v>
      </c>
      <c r="AC610" s="272">
        <f t="shared" si="358"/>
        <v>0</v>
      </c>
      <c r="AD610" s="272">
        <f t="shared" si="358"/>
        <v>0</v>
      </c>
      <c r="AE610" s="272">
        <f t="shared" si="358"/>
        <v>0</v>
      </c>
      <c r="AF610" s="272">
        <f t="shared" si="358"/>
        <v>0</v>
      </c>
      <c r="AG610" s="272">
        <f t="shared" si="358"/>
        <v>0</v>
      </c>
      <c r="AH610" s="272">
        <f t="shared" si="358"/>
        <v>0</v>
      </c>
      <c r="AI610" s="272">
        <f t="shared" si="358"/>
        <v>0</v>
      </c>
      <c r="AJ610" s="272">
        <f t="shared" si="358"/>
        <v>0</v>
      </c>
      <c r="AK610" s="272">
        <f t="shared" si="358"/>
        <v>0</v>
      </c>
      <c r="AL610" s="272">
        <f t="shared" si="358"/>
        <v>0</v>
      </c>
      <c r="AM610" s="272">
        <f t="shared" si="358"/>
        <v>0</v>
      </c>
      <c r="AN610" s="272">
        <f t="shared" si="358"/>
        <v>0</v>
      </c>
      <c r="AO610" s="272">
        <f t="shared" si="358"/>
        <v>0</v>
      </c>
      <c r="AP610" s="272">
        <f t="shared" si="358"/>
        <v>0</v>
      </c>
    </row>
    <row r="611" spans="1:42" x14ac:dyDescent="0.2">
      <c r="A611" s="7">
        <f>A610+1</f>
        <v>2</v>
      </c>
      <c r="B611" s="297">
        <f t="shared" si="357"/>
        <v>0</v>
      </c>
      <c r="C611" s="272">
        <f t="shared" ref="C611:AP611" si="359">IF(AND(C$2&gt;equip2_reserve_freq*$A598,C$2&lt;=equip2_reserve_freq*$A599),$B599/(equip2_reserve_freq),0)</f>
        <v>0</v>
      </c>
      <c r="D611" s="272">
        <f t="shared" si="359"/>
        <v>0</v>
      </c>
      <c r="E611" s="272">
        <f t="shared" si="359"/>
        <v>0</v>
      </c>
      <c r="F611" s="272">
        <f t="shared" si="359"/>
        <v>0</v>
      </c>
      <c r="G611" s="272">
        <f t="shared" si="359"/>
        <v>0</v>
      </c>
      <c r="H611" s="272">
        <f t="shared" si="359"/>
        <v>0</v>
      </c>
      <c r="I611" s="272">
        <f t="shared" si="359"/>
        <v>0</v>
      </c>
      <c r="J611" s="272">
        <f t="shared" si="359"/>
        <v>0</v>
      </c>
      <c r="K611" s="272">
        <f t="shared" si="359"/>
        <v>0</v>
      </c>
      <c r="L611" s="272">
        <f t="shared" si="359"/>
        <v>0</v>
      </c>
      <c r="M611" s="272">
        <f t="shared" si="359"/>
        <v>0</v>
      </c>
      <c r="N611" s="272">
        <f t="shared" si="359"/>
        <v>0</v>
      </c>
      <c r="O611" s="272">
        <f t="shared" si="359"/>
        <v>0</v>
      </c>
      <c r="P611" s="272">
        <f t="shared" si="359"/>
        <v>0</v>
      </c>
      <c r="Q611" s="272">
        <f t="shared" si="359"/>
        <v>0</v>
      </c>
      <c r="R611" s="272">
        <f t="shared" si="359"/>
        <v>0</v>
      </c>
      <c r="S611" s="272">
        <f t="shared" si="359"/>
        <v>0</v>
      </c>
      <c r="T611" s="272">
        <f t="shared" si="359"/>
        <v>0</v>
      </c>
      <c r="U611" s="272">
        <f t="shared" si="359"/>
        <v>0</v>
      </c>
      <c r="V611" s="272">
        <f t="shared" si="359"/>
        <v>0</v>
      </c>
      <c r="W611" s="272">
        <f t="shared" si="359"/>
        <v>0</v>
      </c>
      <c r="X611" s="272">
        <f t="shared" si="359"/>
        <v>0</v>
      </c>
      <c r="Y611" s="272">
        <f t="shared" si="359"/>
        <v>0</v>
      </c>
      <c r="Z611" s="272">
        <f t="shared" si="359"/>
        <v>0</v>
      </c>
      <c r="AA611" s="272">
        <f t="shared" si="359"/>
        <v>0</v>
      </c>
      <c r="AB611" s="272">
        <f t="shared" si="359"/>
        <v>0</v>
      </c>
      <c r="AC611" s="272">
        <f t="shared" si="359"/>
        <v>0</v>
      </c>
      <c r="AD611" s="272">
        <f t="shared" si="359"/>
        <v>0</v>
      </c>
      <c r="AE611" s="272">
        <f t="shared" si="359"/>
        <v>0</v>
      </c>
      <c r="AF611" s="272">
        <f t="shared" si="359"/>
        <v>0</v>
      </c>
      <c r="AG611" s="272">
        <f t="shared" si="359"/>
        <v>0</v>
      </c>
      <c r="AH611" s="272">
        <f t="shared" si="359"/>
        <v>0</v>
      </c>
      <c r="AI611" s="272">
        <f t="shared" si="359"/>
        <v>0</v>
      </c>
      <c r="AJ611" s="272">
        <f t="shared" si="359"/>
        <v>0</v>
      </c>
      <c r="AK611" s="272">
        <f t="shared" si="359"/>
        <v>0</v>
      </c>
      <c r="AL611" s="272">
        <f t="shared" si="359"/>
        <v>0</v>
      </c>
      <c r="AM611" s="272">
        <f t="shared" si="359"/>
        <v>0</v>
      </c>
      <c r="AN611" s="272">
        <f t="shared" si="359"/>
        <v>0</v>
      </c>
      <c r="AO611" s="272">
        <f t="shared" si="359"/>
        <v>0</v>
      </c>
      <c r="AP611" s="272">
        <f t="shared" si="359"/>
        <v>0</v>
      </c>
    </row>
    <row r="612" spans="1:42" x14ac:dyDescent="0.2">
      <c r="A612" s="7">
        <f t="shared" ref="A612:A617" si="360">A611+1</f>
        <v>3</v>
      </c>
      <c r="B612" s="297">
        <f t="shared" si="357"/>
        <v>0</v>
      </c>
      <c r="C612" s="272">
        <f t="shared" ref="C612:AP612" si="361">IF(AND(C$2&gt;equip2_reserve_freq*$A599,C$2&lt;=equip2_reserve_freq*$A600),$B600/(equip2_reserve_freq),0)</f>
        <v>0</v>
      </c>
      <c r="D612" s="272">
        <f t="shared" si="361"/>
        <v>0</v>
      </c>
      <c r="E612" s="272">
        <f t="shared" si="361"/>
        <v>0</v>
      </c>
      <c r="F612" s="272">
        <f t="shared" si="361"/>
        <v>0</v>
      </c>
      <c r="G612" s="272">
        <f t="shared" si="361"/>
        <v>0</v>
      </c>
      <c r="H612" s="272">
        <f t="shared" si="361"/>
        <v>0</v>
      </c>
      <c r="I612" s="272">
        <f t="shared" si="361"/>
        <v>0</v>
      </c>
      <c r="J612" s="272">
        <f t="shared" si="361"/>
        <v>0</v>
      </c>
      <c r="K612" s="272">
        <f t="shared" si="361"/>
        <v>0</v>
      </c>
      <c r="L612" s="272">
        <f t="shared" si="361"/>
        <v>0</v>
      </c>
      <c r="M612" s="272">
        <f t="shared" si="361"/>
        <v>0</v>
      </c>
      <c r="N612" s="272">
        <f t="shared" si="361"/>
        <v>0</v>
      </c>
      <c r="O612" s="272">
        <f t="shared" si="361"/>
        <v>0</v>
      </c>
      <c r="P612" s="272">
        <f t="shared" si="361"/>
        <v>0</v>
      </c>
      <c r="Q612" s="272">
        <f t="shared" si="361"/>
        <v>0</v>
      </c>
      <c r="R612" s="272">
        <f t="shared" si="361"/>
        <v>0</v>
      </c>
      <c r="S612" s="272">
        <f t="shared" si="361"/>
        <v>0</v>
      </c>
      <c r="T612" s="272">
        <f t="shared" si="361"/>
        <v>0</v>
      </c>
      <c r="U612" s="272">
        <f t="shared" si="361"/>
        <v>0</v>
      </c>
      <c r="V612" s="272">
        <f t="shared" si="361"/>
        <v>0</v>
      </c>
      <c r="W612" s="272">
        <f t="shared" si="361"/>
        <v>0</v>
      </c>
      <c r="X612" s="272">
        <f t="shared" si="361"/>
        <v>0</v>
      </c>
      <c r="Y612" s="272">
        <f t="shared" si="361"/>
        <v>0</v>
      </c>
      <c r="Z612" s="272">
        <f t="shared" si="361"/>
        <v>0</v>
      </c>
      <c r="AA612" s="272">
        <f t="shared" si="361"/>
        <v>0</v>
      </c>
      <c r="AB612" s="272">
        <f t="shared" si="361"/>
        <v>0</v>
      </c>
      <c r="AC612" s="272">
        <f t="shared" si="361"/>
        <v>0</v>
      </c>
      <c r="AD612" s="272">
        <f t="shared" si="361"/>
        <v>0</v>
      </c>
      <c r="AE612" s="272">
        <f t="shared" si="361"/>
        <v>0</v>
      </c>
      <c r="AF612" s="272">
        <f t="shared" si="361"/>
        <v>0</v>
      </c>
      <c r="AG612" s="272">
        <f t="shared" si="361"/>
        <v>0</v>
      </c>
      <c r="AH612" s="272">
        <f t="shared" si="361"/>
        <v>0</v>
      </c>
      <c r="AI612" s="272">
        <f t="shared" si="361"/>
        <v>0</v>
      </c>
      <c r="AJ612" s="272">
        <f t="shared" si="361"/>
        <v>0</v>
      </c>
      <c r="AK612" s="272">
        <f t="shared" si="361"/>
        <v>0</v>
      </c>
      <c r="AL612" s="272">
        <f t="shared" si="361"/>
        <v>0</v>
      </c>
      <c r="AM612" s="272">
        <f t="shared" si="361"/>
        <v>0</v>
      </c>
      <c r="AN612" s="272">
        <f t="shared" si="361"/>
        <v>0</v>
      </c>
      <c r="AO612" s="272">
        <f t="shared" si="361"/>
        <v>0</v>
      </c>
      <c r="AP612" s="272">
        <f t="shared" si="361"/>
        <v>0</v>
      </c>
    </row>
    <row r="613" spans="1:42" x14ac:dyDescent="0.2">
      <c r="A613" s="7">
        <f t="shared" si="360"/>
        <v>4</v>
      </c>
      <c r="B613" s="297">
        <f t="shared" si="357"/>
        <v>0</v>
      </c>
      <c r="C613" s="272">
        <f t="shared" ref="C613:AP613" si="362">IF(AND(C$2&gt;equip2_reserve_freq*$A600,C$2&lt;=equip2_reserve_freq*$A601),$B601/(equip2_reserve_freq),0)</f>
        <v>0</v>
      </c>
      <c r="D613" s="272">
        <f t="shared" si="362"/>
        <v>0</v>
      </c>
      <c r="E613" s="272">
        <f t="shared" si="362"/>
        <v>0</v>
      </c>
      <c r="F613" s="272">
        <f t="shared" si="362"/>
        <v>0</v>
      </c>
      <c r="G613" s="272">
        <f t="shared" si="362"/>
        <v>0</v>
      </c>
      <c r="H613" s="272">
        <f t="shared" si="362"/>
        <v>0</v>
      </c>
      <c r="I613" s="272">
        <f t="shared" si="362"/>
        <v>0</v>
      </c>
      <c r="J613" s="272">
        <f t="shared" si="362"/>
        <v>0</v>
      </c>
      <c r="K613" s="272">
        <f t="shared" si="362"/>
        <v>0</v>
      </c>
      <c r="L613" s="272">
        <f t="shared" si="362"/>
        <v>0</v>
      </c>
      <c r="M613" s="272">
        <f t="shared" si="362"/>
        <v>0</v>
      </c>
      <c r="N613" s="272">
        <f t="shared" si="362"/>
        <v>0</v>
      </c>
      <c r="O613" s="272">
        <f t="shared" si="362"/>
        <v>0</v>
      </c>
      <c r="P613" s="272">
        <f t="shared" si="362"/>
        <v>0</v>
      </c>
      <c r="Q613" s="272">
        <f t="shared" si="362"/>
        <v>0</v>
      </c>
      <c r="R613" s="272">
        <f t="shared" si="362"/>
        <v>0</v>
      </c>
      <c r="S613" s="272">
        <f t="shared" si="362"/>
        <v>0</v>
      </c>
      <c r="T613" s="272">
        <f t="shared" si="362"/>
        <v>0</v>
      </c>
      <c r="U613" s="272">
        <f t="shared" si="362"/>
        <v>0</v>
      </c>
      <c r="V613" s="272">
        <f t="shared" si="362"/>
        <v>0</v>
      </c>
      <c r="W613" s="272">
        <f t="shared" si="362"/>
        <v>0</v>
      </c>
      <c r="X613" s="272">
        <f t="shared" si="362"/>
        <v>0</v>
      </c>
      <c r="Y613" s="272">
        <f t="shared" si="362"/>
        <v>0</v>
      </c>
      <c r="Z613" s="272">
        <f t="shared" si="362"/>
        <v>0</v>
      </c>
      <c r="AA613" s="272">
        <f t="shared" si="362"/>
        <v>0</v>
      </c>
      <c r="AB613" s="272">
        <f t="shared" si="362"/>
        <v>0</v>
      </c>
      <c r="AC613" s="272">
        <f t="shared" si="362"/>
        <v>0</v>
      </c>
      <c r="AD613" s="272">
        <f t="shared" si="362"/>
        <v>0</v>
      </c>
      <c r="AE613" s="272">
        <f t="shared" si="362"/>
        <v>0</v>
      </c>
      <c r="AF613" s="272">
        <f t="shared" si="362"/>
        <v>0</v>
      </c>
      <c r="AG613" s="272">
        <f t="shared" si="362"/>
        <v>0</v>
      </c>
      <c r="AH613" s="272">
        <f t="shared" si="362"/>
        <v>0</v>
      </c>
      <c r="AI613" s="272">
        <f t="shared" si="362"/>
        <v>0</v>
      </c>
      <c r="AJ613" s="272">
        <f t="shared" si="362"/>
        <v>0</v>
      </c>
      <c r="AK613" s="272">
        <f t="shared" si="362"/>
        <v>0</v>
      </c>
      <c r="AL613" s="272">
        <f t="shared" si="362"/>
        <v>0</v>
      </c>
      <c r="AM613" s="272">
        <f t="shared" si="362"/>
        <v>0</v>
      </c>
      <c r="AN613" s="272">
        <f t="shared" si="362"/>
        <v>0</v>
      </c>
      <c r="AO613" s="272">
        <f t="shared" si="362"/>
        <v>0</v>
      </c>
      <c r="AP613" s="272">
        <f t="shared" si="362"/>
        <v>0</v>
      </c>
    </row>
    <row r="614" spans="1:42" x14ac:dyDescent="0.2">
      <c r="A614" s="7">
        <f t="shared" si="360"/>
        <v>5</v>
      </c>
      <c r="B614" s="297">
        <f t="shared" si="357"/>
        <v>0</v>
      </c>
      <c r="C614" s="272">
        <f t="shared" ref="C614:AP614" si="363">IF(AND(C$2&gt;equip2_reserve_freq*$A601,C$2&lt;=equip2_reserve_freq*$A602),$B602/(equip2_reserve_freq),0)</f>
        <v>0</v>
      </c>
      <c r="D614" s="272">
        <f t="shared" si="363"/>
        <v>0</v>
      </c>
      <c r="E614" s="272">
        <f t="shared" si="363"/>
        <v>0</v>
      </c>
      <c r="F614" s="272">
        <f t="shared" si="363"/>
        <v>0</v>
      </c>
      <c r="G614" s="272">
        <f t="shared" si="363"/>
        <v>0</v>
      </c>
      <c r="H614" s="272">
        <f t="shared" si="363"/>
        <v>0</v>
      </c>
      <c r="I614" s="272">
        <f t="shared" si="363"/>
        <v>0</v>
      </c>
      <c r="J614" s="272">
        <f t="shared" si="363"/>
        <v>0</v>
      </c>
      <c r="K614" s="272">
        <f t="shared" si="363"/>
        <v>0</v>
      </c>
      <c r="L614" s="272">
        <f t="shared" si="363"/>
        <v>0</v>
      </c>
      <c r="M614" s="272">
        <f t="shared" si="363"/>
        <v>0</v>
      </c>
      <c r="N614" s="272">
        <f t="shared" si="363"/>
        <v>0</v>
      </c>
      <c r="O614" s="272">
        <f t="shared" si="363"/>
        <v>0</v>
      </c>
      <c r="P614" s="272">
        <f t="shared" si="363"/>
        <v>0</v>
      </c>
      <c r="Q614" s="272">
        <f t="shared" si="363"/>
        <v>0</v>
      </c>
      <c r="R614" s="272">
        <f t="shared" si="363"/>
        <v>0</v>
      </c>
      <c r="S614" s="272">
        <f t="shared" si="363"/>
        <v>0</v>
      </c>
      <c r="T614" s="272">
        <f t="shared" si="363"/>
        <v>0</v>
      </c>
      <c r="U614" s="272">
        <f t="shared" si="363"/>
        <v>0</v>
      </c>
      <c r="V614" s="272">
        <f t="shared" si="363"/>
        <v>0</v>
      </c>
      <c r="W614" s="272">
        <f t="shared" si="363"/>
        <v>0</v>
      </c>
      <c r="X614" s="272">
        <f t="shared" si="363"/>
        <v>0</v>
      </c>
      <c r="Y614" s="272">
        <f t="shared" si="363"/>
        <v>0</v>
      </c>
      <c r="Z614" s="272">
        <f t="shared" si="363"/>
        <v>0</v>
      </c>
      <c r="AA614" s="272">
        <f t="shared" si="363"/>
        <v>0</v>
      </c>
      <c r="AB614" s="272">
        <f t="shared" si="363"/>
        <v>0</v>
      </c>
      <c r="AC614" s="272">
        <f t="shared" si="363"/>
        <v>0</v>
      </c>
      <c r="AD614" s="272">
        <f t="shared" si="363"/>
        <v>0</v>
      </c>
      <c r="AE614" s="272">
        <f t="shared" si="363"/>
        <v>0</v>
      </c>
      <c r="AF614" s="272">
        <f t="shared" si="363"/>
        <v>0</v>
      </c>
      <c r="AG614" s="272">
        <f t="shared" si="363"/>
        <v>0</v>
      </c>
      <c r="AH614" s="272">
        <f t="shared" si="363"/>
        <v>0</v>
      </c>
      <c r="AI614" s="272">
        <f t="shared" si="363"/>
        <v>0</v>
      </c>
      <c r="AJ614" s="272">
        <f t="shared" si="363"/>
        <v>0</v>
      </c>
      <c r="AK614" s="272">
        <f t="shared" si="363"/>
        <v>0</v>
      </c>
      <c r="AL614" s="272">
        <f t="shared" si="363"/>
        <v>0</v>
      </c>
      <c r="AM614" s="272">
        <f t="shared" si="363"/>
        <v>0</v>
      </c>
      <c r="AN614" s="272">
        <f t="shared" si="363"/>
        <v>0</v>
      </c>
      <c r="AO614" s="272">
        <f t="shared" si="363"/>
        <v>0</v>
      </c>
      <c r="AP614" s="272">
        <f t="shared" si="363"/>
        <v>0</v>
      </c>
    </row>
    <row r="615" spans="1:42" x14ac:dyDescent="0.2">
      <c r="A615" s="7">
        <f t="shared" si="360"/>
        <v>6</v>
      </c>
      <c r="B615" s="297">
        <f t="shared" si="357"/>
        <v>0</v>
      </c>
      <c r="C615" s="272">
        <f t="shared" ref="C615:AP615" si="364">IF(AND(C$2&gt;equip2_reserve_freq*$A602,C$2&lt;=equip2_reserve_freq*$A603),$B603/(equip2_reserve_freq),0)</f>
        <v>0</v>
      </c>
      <c r="D615" s="272">
        <f t="shared" si="364"/>
        <v>0</v>
      </c>
      <c r="E615" s="272">
        <f t="shared" si="364"/>
        <v>0</v>
      </c>
      <c r="F615" s="272">
        <f t="shared" si="364"/>
        <v>0</v>
      </c>
      <c r="G615" s="272">
        <f t="shared" si="364"/>
        <v>0</v>
      </c>
      <c r="H615" s="272">
        <f t="shared" si="364"/>
        <v>0</v>
      </c>
      <c r="I615" s="272">
        <f t="shared" si="364"/>
        <v>0</v>
      </c>
      <c r="J615" s="272">
        <f t="shared" si="364"/>
        <v>0</v>
      </c>
      <c r="K615" s="272">
        <f t="shared" si="364"/>
        <v>0</v>
      </c>
      <c r="L615" s="272">
        <f t="shared" si="364"/>
        <v>0</v>
      </c>
      <c r="M615" s="272">
        <f t="shared" si="364"/>
        <v>0</v>
      </c>
      <c r="N615" s="272">
        <f t="shared" si="364"/>
        <v>0</v>
      </c>
      <c r="O615" s="272">
        <f t="shared" si="364"/>
        <v>0</v>
      </c>
      <c r="P615" s="272">
        <f t="shared" si="364"/>
        <v>0</v>
      </c>
      <c r="Q615" s="272">
        <f t="shared" si="364"/>
        <v>0</v>
      </c>
      <c r="R615" s="272">
        <f t="shared" si="364"/>
        <v>0</v>
      </c>
      <c r="S615" s="272">
        <f t="shared" si="364"/>
        <v>0</v>
      </c>
      <c r="T615" s="272">
        <f t="shared" si="364"/>
        <v>0</v>
      </c>
      <c r="U615" s="272">
        <f t="shared" si="364"/>
        <v>0</v>
      </c>
      <c r="V615" s="272">
        <f t="shared" si="364"/>
        <v>0</v>
      </c>
      <c r="W615" s="272">
        <f t="shared" si="364"/>
        <v>0</v>
      </c>
      <c r="X615" s="272">
        <f t="shared" si="364"/>
        <v>0</v>
      </c>
      <c r="Y615" s="272">
        <f t="shared" si="364"/>
        <v>0</v>
      </c>
      <c r="Z615" s="272">
        <f t="shared" si="364"/>
        <v>0</v>
      </c>
      <c r="AA615" s="272">
        <f t="shared" si="364"/>
        <v>0</v>
      </c>
      <c r="AB615" s="272">
        <f t="shared" si="364"/>
        <v>0</v>
      </c>
      <c r="AC615" s="272">
        <f t="shared" si="364"/>
        <v>0</v>
      </c>
      <c r="AD615" s="272">
        <f t="shared" si="364"/>
        <v>0</v>
      </c>
      <c r="AE615" s="272">
        <f t="shared" si="364"/>
        <v>0</v>
      </c>
      <c r="AF615" s="272">
        <f t="shared" si="364"/>
        <v>0</v>
      </c>
      <c r="AG615" s="272">
        <f t="shared" si="364"/>
        <v>0</v>
      </c>
      <c r="AH615" s="272">
        <f t="shared" si="364"/>
        <v>0</v>
      </c>
      <c r="AI615" s="272">
        <f t="shared" si="364"/>
        <v>0</v>
      </c>
      <c r="AJ615" s="272">
        <f t="shared" si="364"/>
        <v>0</v>
      </c>
      <c r="AK615" s="272">
        <f t="shared" si="364"/>
        <v>0</v>
      </c>
      <c r="AL615" s="272">
        <f t="shared" si="364"/>
        <v>0</v>
      </c>
      <c r="AM615" s="272">
        <f t="shared" si="364"/>
        <v>0</v>
      </c>
      <c r="AN615" s="272">
        <f t="shared" si="364"/>
        <v>0</v>
      </c>
      <c r="AO615" s="272">
        <f t="shared" si="364"/>
        <v>0</v>
      </c>
      <c r="AP615" s="272">
        <f t="shared" si="364"/>
        <v>0</v>
      </c>
    </row>
    <row r="616" spans="1:42" x14ac:dyDescent="0.2">
      <c r="A616" s="7">
        <f t="shared" si="360"/>
        <v>7</v>
      </c>
      <c r="B616" s="297">
        <f t="shared" si="357"/>
        <v>0</v>
      </c>
      <c r="C616" s="272">
        <f t="shared" ref="C616:AP616" si="365">IF(AND(C$2&gt;equip2_reserve_freq*$A603,C$2&lt;=equip2_reserve_freq*$A604),$B604/(equip2_reserve_freq),0)</f>
        <v>0</v>
      </c>
      <c r="D616" s="272">
        <f t="shared" si="365"/>
        <v>0</v>
      </c>
      <c r="E616" s="272">
        <f t="shared" si="365"/>
        <v>0</v>
      </c>
      <c r="F616" s="272">
        <f t="shared" si="365"/>
        <v>0</v>
      </c>
      <c r="G616" s="272">
        <f t="shared" si="365"/>
        <v>0</v>
      </c>
      <c r="H616" s="272">
        <f t="shared" si="365"/>
        <v>0</v>
      </c>
      <c r="I616" s="272">
        <f t="shared" si="365"/>
        <v>0</v>
      </c>
      <c r="J616" s="272">
        <f t="shared" si="365"/>
        <v>0</v>
      </c>
      <c r="K616" s="272">
        <f t="shared" si="365"/>
        <v>0</v>
      </c>
      <c r="L616" s="272">
        <f t="shared" si="365"/>
        <v>0</v>
      </c>
      <c r="M616" s="272">
        <f t="shared" si="365"/>
        <v>0</v>
      </c>
      <c r="N616" s="272">
        <f t="shared" si="365"/>
        <v>0</v>
      </c>
      <c r="O616" s="272">
        <f t="shared" si="365"/>
        <v>0</v>
      </c>
      <c r="P616" s="272">
        <f t="shared" si="365"/>
        <v>0</v>
      </c>
      <c r="Q616" s="272">
        <f t="shared" si="365"/>
        <v>0</v>
      </c>
      <c r="R616" s="272">
        <f t="shared" si="365"/>
        <v>0</v>
      </c>
      <c r="S616" s="272">
        <f t="shared" si="365"/>
        <v>0</v>
      </c>
      <c r="T616" s="272">
        <f t="shared" si="365"/>
        <v>0</v>
      </c>
      <c r="U616" s="272">
        <f t="shared" si="365"/>
        <v>0</v>
      </c>
      <c r="V616" s="272">
        <f t="shared" si="365"/>
        <v>0</v>
      </c>
      <c r="W616" s="272">
        <f t="shared" si="365"/>
        <v>0</v>
      </c>
      <c r="X616" s="272">
        <f t="shared" si="365"/>
        <v>0</v>
      </c>
      <c r="Y616" s="272">
        <f t="shared" si="365"/>
        <v>0</v>
      </c>
      <c r="Z616" s="272">
        <f t="shared" si="365"/>
        <v>0</v>
      </c>
      <c r="AA616" s="272">
        <f t="shared" si="365"/>
        <v>0</v>
      </c>
      <c r="AB616" s="272">
        <f t="shared" si="365"/>
        <v>0</v>
      </c>
      <c r="AC616" s="272">
        <f t="shared" si="365"/>
        <v>0</v>
      </c>
      <c r="AD616" s="272">
        <f t="shared" si="365"/>
        <v>0</v>
      </c>
      <c r="AE616" s="272">
        <f t="shared" si="365"/>
        <v>0</v>
      </c>
      <c r="AF616" s="272">
        <f t="shared" si="365"/>
        <v>0</v>
      </c>
      <c r="AG616" s="272">
        <f t="shared" si="365"/>
        <v>0</v>
      </c>
      <c r="AH616" s="272">
        <f t="shared" si="365"/>
        <v>0</v>
      </c>
      <c r="AI616" s="272">
        <f t="shared" si="365"/>
        <v>0</v>
      </c>
      <c r="AJ616" s="272">
        <f t="shared" si="365"/>
        <v>0</v>
      </c>
      <c r="AK616" s="272">
        <f t="shared" si="365"/>
        <v>0</v>
      </c>
      <c r="AL616" s="272">
        <f t="shared" si="365"/>
        <v>0</v>
      </c>
      <c r="AM616" s="272">
        <f t="shared" si="365"/>
        <v>0</v>
      </c>
      <c r="AN616" s="272">
        <f t="shared" si="365"/>
        <v>0</v>
      </c>
      <c r="AO616" s="272">
        <f t="shared" si="365"/>
        <v>0</v>
      </c>
      <c r="AP616" s="272">
        <f t="shared" si="365"/>
        <v>0</v>
      </c>
    </row>
    <row r="617" spans="1:42" x14ac:dyDescent="0.2">
      <c r="A617" s="7">
        <f t="shared" si="360"/>
        <v>8</v>
      </c>
      <c r="B617" s="297">
        <f t="shared" si="357"/>
        <v>0</v>
      </c>
      <c r="C617" s="272">
        <f t="shared" ref="C617:AP617" si="366">IF(AND(C$2&gt;equip2_reserve_freq*$A604,C$2&lt;=equip2_reserve_freq*$A605),$B605/(equip2_reserve_freq),0)</f>
        <v>0</v>
      </c>
      <c r="D617" s="272">
        <f t="shared" si="366"/>
        <v>0</v>
      </c>
      <c r="E617" s="272">
        <f t="shared" si="366"/>
        <v>0</v>
      </c>
      <c r="F617" s="272">
        <f t="shared" si="366"/>
        <v>0</v>
      </c>
      <c r="G617" s="272">
        <f t="shared" si="366"/>
        <v>0</v>
      </c>
      <c r="H617" s="272">
        <f t="shared" si="366"/>
        <v>0</v>
      </c>
      <c r="I617" s="272">
        <f t="shared" si="366"/>
        <v>0</v>
      </c>
      <c r="J617" s="272">
        <f t="shared" si="366"/>
        <v>0</v>
      </c>
      <c r="K617" s="272">
        <f t="shared" si="366"/>
        <v>0</v>
      </c>
      <c r="L617" s="272">
        <f t="shared" si="366"/>
        <v>0</v>
      </c>
      <c r="M617" s="272">
        <f t="shared" si="366"/>
        <v>0</v>
      </c>
      <c r="N617" s="272">
        <f t="shared" si="366"/>
        <v>0</v>
      </c>
      <c r="O617" s="272">
        <f t="shared" si="366"/>
        <v>0</v>
      </c>
      <c r="P617" s="272">
        <f t="shared" si="366"/>
        <v>0</v>
      </c>
      <c r="Q617" s="272">
        <f t="shared" si="366"/>
        <v>0</v>
      </c>
      <c r="R617" s="272">
        <f t="shared" si="366"/>
        <v>0</v>
      </c>
      <c r="S617" s="272">
        <f t="shared" si="366"/>
        <v>0</v>
      </c>
      <c r="T617" s="272">
        <f t="shared" si="366"/>
        <v>0</v>
      </c>
      <c r="U617" s="272">
        <f t="shared" si="366"/>
        <v>0</v>
      </c>
      <c r="V617" s="272">
        <f t="shared" si="366"/>
        <v>0</v>
      </c>
      <c r="W617" s="272">
        <f t="shared" si="366"/>
        <v>0</v>
      </c>
      <c r="X617" s="272">
        <f t="shared" si="366"/>
        <v>0</v>
      </c>
      <c r="Y617" s="272">
        <f t="shared" si="366"/>
        <v>0</v>
      </c>
      <c r="Z617" s="272">
        <f t="shared" si="366"/>
        <v>0</v>
      </c>
      <c r="AA617" s="272">
        <f t="shared" si="366"/>
        <v>0</v>
      </c>
      <c r="AB617" s="272">
        <f t="shared" si="366"/>
        <v>0</v>
      </c>
      <c r="AC617" s="272">
        <f t="shared" si="366"/>
        <v>0</v>
      </c>
      <c r="AD617" s="272">
        <f t="shared" si="366"/>
        <v>0</v>
      </c>
      <c r="AE617" s="272">
        <f t="shared" si="366"/>
        <v>0</v>
      </c>
      <c r="AF617" s="272">
        <f t="shared" si="366"/>
        <v>0</v>
      </c>
      <c r="AG617" s="272">
        <f t="shared" si="366"/>
        <v>0</v>
      </c>
      <c r="AH617" s="272">
        <f t="shared" si="366"/>
        <v>0</v>
      </c>
      <c r="AI617" s="272">
        <f t="shared" si="366"/>
        <v>0</v>
      </c>
      <c r="AJ617" s="272">
        <f t="shared" si="366"/>
        <v>0</v>
      </c>
      <c r="AK617" s="272">
        <f t="shared" si="366"/>
        <v>0</v>
      </c>
      <c r="AL617" s="272">
        <f t="shared" si="366"/>
        <v>0</v>
      </c>
      <c r="AM617" s="272">
        <f t="shared" si="366"/>
        <v>0</v>
      </c>
      <c r="AN617" s="272">
        <f t="shared" si="366"/>
        <v>0</v>
      </c>
      <c r="AO617" s="272">
        <f t="shared" si="366"/>
        <v>0</v>
      </c>
      <c r="AP617" s="272">
        <f t="shared" si="366"/>
        <v>0</v>
      </c>
    </row>
    <row r="618" spans="1:42" x14ac:dyDescent="0.2">
      <c r="A618" s="7">
        <f>A617+1</f>
        <v>9</v>
      </c>
      <c r="B618" s="297">
        <f t="shared" si="357"/>
        <v>0</v>
      </c>
      <c r="C618" s="272">
        <f t="shared" ref="C618:AP618" si="367">IF(AND(C$2&gt;equip2_reserve_freq*$A605,C$2&lt;=equip2_reserve_freq*$A606),$B606/(equip2_reserve_freq),0)</f>
        <v>0</v>
      </c>
      <c r="D618" s="272">
        <f t="shared" si="367"/>
        <v>0</v>
      </c>
      <c r="E618" s="272">
        <f t="shared" si="367"/>
        <v>0</v>
      </c>
      <c r="F618" s="272">
        <f t="shared" si="367"/>
        <v>0</v>
      </c>
      <c r="G618" s="272">
        <f t="shared" si="367"/>
        <v>0</v>
      </c>
      <c r="H618" s="272">
        <f t="shared" si="367"/>
        <v>0</v>
      </c>
      <c r="I618" s="272">
        <f t="shared" si="367"/>
        <v>0</v>
      </c>
      <c r="J618" s="272">
        <f t="shared" si="367"/>
        <v>0</v>
      </c>
      <c r="K618" s="272">
        <f t="shared" si="367"/>
        <v>0</v>
      </c>
      <c r="L618" s="272">
        <f t="shared" si="367"/>
        <v>0</v>
      </c>
      <c r="M618" s="272">
        <f t="shared" si="367"/>
        <v>0</v>
      </c>
      <c r="N618" s="272">
        <f t="shared" si="367"/>
        <v>0</v>
      </c>
      <c r="O618" s="272">
        <f t="shared" si="367"/>
        <v>0</v>
      </c>
      <c r="P618" s="272">
        <f t="shared" si="367"/>
        <v>0</v>
      </c>
      <c r="Q618" s="272">
        <f t="shared" si="367"/>
        <v>0</v>
      </c>
      <c r="R618" s="272">
        <f t="shared" si="367"/>
        <v>0</v>
      </c>
      <c r="S618" s="272">
        <f t="shared" si="367"/>
        <v>0</v>
      </c>
      <c r="T618" s="272">
        <f t="shared" si="367"/>
        <v>0</v>
      </c>
      <c r="U618" s="272">
        <f t="shared" si="367"/>
        <v>0</v>
      </c>
      <c r="V618" s="272">
        <f t="shared" si="367"/>
        <v>0</v>
      </c>
      <c r="W618" s="272">
        <f t="shared" si="367"/>
        <v>0</v>
      </c>
      <c r="X618" s="272">
        <f t="shared" si="367"/>
        <v>0</v>
      </c>
      <c r="Y618" s="272">
        <f t="shared" si="367"/>
        <v>0</v>
      </c>
      <c r="Z618" s="272">
        <f t="shared" si="367"/>
        <v>0</v>
      </c>
      <c r="AA618" s="272">
        <f t="shared" si="367"/>
        <v>0</v>
      </c>
      <c r="AB618" s="272">
        <f t="shared" si="367"/>
        <v>0</v>
      </c>
      <c r="AC618" s="272">
        <f t="shared" si="367"/>
        <v>0</v>
      </c>
      <c r="AD618" s="272">
        <f t="shared" si="367"/>
        <v>0</v>
      </c>
      <c r="AE618" s="272">
        <f t="shared" si="367"/>
        <v>0</v>
      </c>
      <c r="AF618" s="272">
        <f t="shared" si="367"/>
        <v>0</v>
      </c>
      <c r="AG618" s="272">
        <f t="shared" si="367"/>
        <v>0</v>
      </c>
      <c r="AH618" s="272">
        <f t="shared" si="367"/>
        <v>0</v>
      </c>
      <c r="AI618" s="272">
        <f t="shared" si="367"/>
        <v>0</v>
      </c>
      <c r="AJ618" s="272">
        <f t="shared" si="367"/>
        <v>0</v>
      </c>
      <c r="AK618" s="272">
        <f t="shared" si="367"/>
        <v>0</v>
      </c>
      <c r="AL618" s="272">
        <f t="shared" si="367"/>
        <v>0</v>
      </c>
      <c r="AM618" s="272">
        <f t="shared" si="367"/>
        <v>0</v>
      </c>
      <c r="AN618" s="272">
        <f t="shared" si="367"/>
        <v>0</v>
      </c>
      <c r="AO618" s="272">
        <f t="shared" si="367"/>
        <v>0</v>
      </c>
      <c r="AP618" s="272">
        <f t="shared" si="367"/>
        <v>0</v>
      </c>
    </row>
    <row r="619" spans="1:42" x14ac:dyDescent="0.2">
      <c r="A619" s="7">
        <f t="shared" ref="A619" si="368">A618+1</f>
        <v>10</v>
      </c>
      <c r="B619" s="297">
        <f t="shared" si="357"/>
        <v>0</v>
      </c>
      <c r="C619" s="277">
        <f t="shared" ref="C619:AP619" si="369">IF(AND(C$2&gt;equip2_reserve_freq*$A606,C$2&lt;=equip2_reserve_freq*$A607),$B607/(equip2_reserve_freq),0)</f>
        <v>0</v>
      </c>
      <c r="D619" s="277">
        <f t="shared" si="369"/>
        <v>0</v>
      </c>
      <c r="E619" s="277">
        <f t="shared" si="369"/>
        <v>0</v>
      </c>
      <c r="F619" s="277">
        <f t="shared" si="369"/>
        <v>0</v>
      </c>
      <c r="G619" s="277">
        <f t="shared" si="369"/>
        <v>0</v>
      </c>
      <c r="H619" s="277">
        <f t="shared" si="369"/>
        <v>0</v>
      </c>
      <c r="I619" s="277">
        <f t="shared" si="369"/>
        <v>0</v>
      </c>
      <c r="J619" s="277">
        <f t="shared" si="369"/>
        <v>0</v>
      </c>
      <c r="K619" s="277">
        <f t="shared" si="369"/>
        <v>0</v>
      </c>
      <c r="L619" s="277">
        <f t="shared" si="369"/>
        <v>0</v>
      </c>
      <c r="M619" s="277">
        <f t="shared" si="369"/>
        <v>0</v>
      </c>
      <c r="N619" s="277">
        <f t="shared" si="369"/>
        <v>0</v>
      </c>
      <c r="O619" s="277">
        <f t="shared" si="369"/>
        <v>0</v>
      </c>
      <c r="P619" s="277">
        <f t="shared" si="369"/>
        <v>0</v>
      </c>
      <c r="Q619" s="277">
        <f t="shared" si="369"/>
        <v>0</v>
      </c>
      <c r="R619" s="277">
        <f t="shared" si="369"/>
        <v>0</v>
      </c>
      <c r="S619" s="277">
        <f t="shared" si="369"/>
        <v>0</v>
      </c>
      <c r="T619" s="277">
        <f t="shared" si="369"/>
        <v>0</v>
      </c>
      <c r="U619" s="277">
        <f t="shared" si="369"/>
        <v>0</v>
      </c>
      <c r="V619" s="277">
        <f t="shared" si="369"/>
        <v>0</v>
      </c>
      <c r="W619" s="277">
        <f t="shared" si="369"/>
        <v>0</v>
      </c>
      <c r="X619" s="277">
        <f t="shared" si="369"/>
        <v>0</v>
      </c>
      <c r="Y619" s="277">
        <f t="shared" si="369"/>
        <v>0</v>
      </c>
      <c r="Z619" s="277">
        <f t="shared" si="369"/>
        <v>0</v>
      </c>
      <c r="AA619" s="277">
        <f t="shared" si="369"/>
        <v>0</v>
      </c>
      <c r="AB619" s="277">
        <f t="shared" si="369"/>
        <v>0</v>
      </c>
      <c r="AC619" s="277">
        <f t="shared" si="369"/>
        <v>0</v>
      </c>
      <c r="AD619" s="277">
        <f t="shared" si="369"/>
        <v>0</v>
      </c>
      <c r="AE619" s="277">
        <f t="shared" si="369"/>
        <v>0</v>
      </c>
      <c r="AF619" s="277">
        <f t="shared" si="369"/>
        <v>0</v>
      </c>
      <c r="AG619" s="277">
        <f t="shared" si="369"/>
        <v>0</v>
      </c>
      <c r="AH619" s="277">
        <f t="shared" si="369"/>
        <v>0</v>
      </c>
      <c r="AI619" s="277">
        <f t="shared" si="369"/>
        <v>0</v>
      </c>
      <c r="AJ619" s="277">
        <f t="shared" si="369"/>
        <v>0</v>
      </c>
      <c r="AK619" s="277">
        <f t="shared" si="369"/>
        <v>0</v>
      </c>
      <c r="AL619" s="277">
        <f t="shared" si="369"/>
        <v>0</v>
      </c>
      <c r="AM619" s="277">
        <f t="shared" si="369"/>
        <v>0</v>
      </c>
      <c r="AN619" s="277">
        <f t="shared" si="369"/>
        <v>0</v>
      </c>
      <c r="AO619" s="277">
        <f t="shared" si="369"/>
        <v>0</v>
      </c>
      <c r="AP619" s="277">
        <f t="shared" si="369"/>
        <v>0</v>
      </c>
    </row>
    <row r="620" spans="1:42" x14ac:dyDescent="0.2">
      <c r="A620" s="44" t="s">
        <v>18</v>
      </c>
      <c r="B620" s="34"/>
      <c r="C620" s="276">
        <f>SUM(C610:C619)</f>
        <v>0</v>
      </c>
      <c r="D620" s="276">
        <f t="shared" ref="D620:AP620" si="370">SUM(D610:D619)</f>
        <v>0</v>
      </c>
      <c r="E620" s="276">
        <f t="shared" si="370"/>
        <v>0</v>
      </c>
      <c r="F620" s="276">
        <f t="shared" si="370"/>
        <v>0</v>
      </c>
      <c r="G620" s="276">
        <f t="shared" si="370"/>
        <v>0</v>
      </c>
      <c r="H620" s="276">
        <f t="shared" si="370"/>
        <v>0</v>
      </c>
      <c r="I620" s="276">
        <f t="shared" si="370"/>
        <v>0</v>
      </c>
      <c r="J620" s="276">
        <f t="shared" si="370"/>
        <v>0</v>
      </c>
      <c r="K620" s="276">
        <f t="shared" si="370"/>
        <v>0</v>
      </c>
      <c r="L620" s="276">
        <f t="shared" si="370"/>
        <v>0</v>
      </c>
      <c r="M620" s="276">
        <f t="shared" si="370"/>
        <v>0</v>
      </c>
      <c r="N620" s="276">
        <f t="shared" si="370"/>
        <v>0</v>
      </c>
      <c r="O620" s="276">
        <f t="shared" si="370"/>
        <v>0</v>
      </c>
      <c r="P620" s="276">
        <f t="shared" si="370"/>
        <v>0</v>
      </c>
      <c r="Q620" s="276">
        <f t="shared" si="370"/>
        <v>0</v>
      </c>
      <c r="R620" s="276">
        <f t="shared" si="370"/>
        <v>0</v>
      </c>
      <c r="S620" s="276">
        <f t="shared" si="370"/>
        <v>0</v>
      </c>
      <c r="T620" s="276">
        <f t="shared" si="370"/>
        <v>0</v>
      </c>
      <c r="U620" s="276">
        <f t="shared" si="370"/>
        <v>0</v>
      </c>
      <c r="V620" s="276">
        <f t="shared" si="370"/>
        <v>0</v>
      </c>
      <c r="W620" s="276">
        <f t="shared" si="370"/>
        <v>0</v>
      </c>
      <c r="X620" s="276">
        <f t="shared" si="370"/>
        <v>0</v>
      </c>
      <c r="Y620" s="276">
        <f t="shared" si="370"/>
        <v>0</v>
      </c>
      <c r="Z620" s="276">
        <f t="shared" si="370"/>
        <v>0</v>
      </c>
      <c r="AA620" s="276">
        <f t="shared" si="370"/>
        <v>0</v>
      </c>
      <c r="AB620" s="276">
        <f t="shared" si="370"/>
        <v>0</v>
      </c>
      <c r="AC620" s="276">
        <f t="shared" si="370"/>
        <v>0</v>
      </c>
      <c r="AD620" s="276">
        <f t="shared" si="370"/>
        <v>0</v>
      </c>
      <c r="AE620" s="276">
        <f t="shared" si="370"/>
        <v>0</v>
      </c>
      <c r="AF620" s="276">
        <f t="shared" si="370"/>
        <v>0</v>
      </c>
      <c r="AG620" s="276">
        <f t="shared" si="370"/>
        <v>0</v>
      </c>
      <c r="AH620" s="276">
        <f t="shared" si="370"/>
        <v>0</v>
      </c>
      <c r="AI620" s="276">
        <f t="shared" si="370"/>
        <v>0</v>
      </c>
      <c r="AJ620" s="276">
        <f t="shared" si="370"/>
        <v>0</v>
      </c>
      <c r="AK620" s="276">
        <f t="shared" si="370"/>
        <v>0</v>
      </c>
      <c r="AL620" s="276">
        <f t="shared" si="370"/>
        <v>0</v>
      </c>
      <c r="AM620" s="276">
        <f t="shared" si="370"/>
        <v>0</v>
      </c>
      <c r="AN620" s="276">
        <f t="shared" si="370"/>
        <v>0</v>
      </c>
      <c r="AO620" s="276">
        <f t="shared" si="370"/>
        <v>0</v>
      </c>
      <c r="AP620" s="276">
        <f t="shared" si="370"/>
        <v>0</v>
      </c>
    </row>
    <row r="621" spans="1:42" s="168" customFormat="1" x14ac:dyDescent="0.2">
      <c r="A621" s="7"/>
      <c r="B621" s="262"/>
    </row>
    <row r="622" spans="1:42" s="168" customFormat="1" x14ac:dyDescent="0.2">
      <c r="A622" s="31" t="s">
        <v>137</v>
      </c>
    </row>
    <row r="623" spans="1:42" x14ac:dyDescent="0.2">
      <c r="A623" s="7" t="s">
        <v>36</v>
      </c>
      <c r="B623" s="276">
        <v>0</v>
      </c>
      <c r="C623" s="276">
        <f>B626</f>
        <v>0</v>
      </c>
      <c r="D623" s="276">
        <f t="shared" ref="D623:AP623" si="371">C626</f>
        <v>0</v>
      </c>
      <c r="E623" s="276">
        <f t="shared" si="371"/>
        <v>0</v>
      </c>
      <c r="F623" s="276">
        <f t="shared" si="371"/>
        <v>0</v>
      </c>
      <c r="G623" s="276">
        <f t="shared" si="371"/>
        <v>0</v>
      </c>
      <c r="H623" s="276">
        <f t="shared" si="371"/>
        <v>0</v>
      </c>
      <c r="I623" s="276">
        <f t="shared" si="371"/>
        <v>0</v>
      </c>
      <c r="J623" s="276">
        <f t="shared" si="371"/>
        <v>0</v>
      </c>
      <c r="K623" s="276">
        <f t="shared" si="371"/>
        <v>0</v>
      </c>
      <c r="L623" s="276">
        <f t="shared" si="371"/>
        <v>0</v>
      </c>
      <c r="M623" s="276">
        <f t="shared" si="371"/>
        <v>0</v>
      </c>
      <c r="N623" s="276">
        <f t="shared" si="371"/>
        <v>0</v>
      </c>
      <c r="O623" s="276">
        <f t="shared" si="371"/>
        <v>0</v>
      </c>
      <c r="P623" s="276">
        <f t="shared" si="371"/>
        <v>0</v>
      </c>
      <c r="Q623" s="276">
        <f t="shared" si="371"/>
        <v>0</v>
      </c>
      <c r="R623" s="276">
        <f t="shared" si="371"/>
        <v>0</v>
      </c>
      <c r="S623" s="276">
        <f t="shared" si="371"/>
        <v>0</v>
      </c>
      <c r="T623" s="276">
        <f t="shared" si="371"/>
        <v>0</v>
      </c>
      <c r="U623" s="276">
        <f t="shared" si="371"/>
        <v>0</v>
      </c>
      <c r="V623" s="276">
        <f t="shared" si="371"/>
        <v>0</v>
      </c>
      <c r="W623" s="276">
        <f t="shared" si="371"/>
        <v>0</v>
      </c>
      <c r="X623" s="276">
        <f t="shared" si="371"/>
        <v>0</v>
      </c>
      <c r="Y623" s="276">
        <f t="shared" si="371"/>
        <v>0</v>
      </c>
      <c r="Z623" s="276">
        <f t="shared" si="371"/>
        <v>0</v>
      </c>
      <c r="AA623" s="276">
        <f t="shared" si="371"/>
        <v>0</v>
      </c>
      <c r="AB623" s="276">
        <f t="shared" si="371"/>
        <v>0</v>
      </c>
      <c r="AC623" s="276">
        <f t="shared" si="371"/>
        <v>0</v>
      </c>
      <c r="AD623" s="276">
        <f t="shared" si="371"/>
        <v>0</v>
      </c>
      <c r="AE623" s="276">
        <f t="shared" si="371"/>
        <v>0</v>
      </c>
      <c r="AF623" s="276">
        <f t="shared" si="371"/>
        <v>0</v>
      </c>
      <c r="AG623" s="276">
        <f t="shared" si="371"/>
        <v>0</v>
      </c>
      <c r="AH623" s="276">
        <f t="shared" si="371"/>
        <v>0</v>
      </c>
      <c r="AI623" s="276">
        <f t="shared" si="371"/>
        <v>0</v>
      </c>
      <c r="AJ623" s="276">
        <f t="shared" si="371"/>
        <v>0</v>
      </c>
      <c r="AK623" s="276">
        <f t="shared" si="371"/>
        <v>0</v>
      </c>
      <c r="AL623" s="276">
        <f t="shared" si="371"/>
        <v>0</v>
      </c>
      <c r="AM623" s="276">
        <f t="shared" si="371"/>
        <v>0</v>
      </c>
      <c r="AN623" s="276">
        <f t="shared" si="371"/>
        <v>0</v>
      </c>
      <c r="AO623" s="276">
        <f t="shared" si="371"/>
        <v>0</v>
      </c>
      <c r="AP623" s="276">
        <f t="shared" si="371"/>
        <v>0</v>
      </c>
    </row>
    <row r="624" spans="1:42" x14ac:dyDescent="0.2">
      <c r="A624" s="7" t="s">
        <v>101</v>
      </c>
      <c r="B624" s="276">
        <v>0</v>
      </c>
      <c r="C624" s="276">
        <f>C652</f>
        <v>0</v>
      </c>
      <c r="D624" s="276">
        <f t="shared" ref="D624:AP624" si="372">D652</f>
        <v>0</v>
      </c>
      <c r="E624" s="276">
        <f t="shared" si="372"/>
        <v>0</v>
      </c>
      <c r="F624" s="276">
        <f t="shared" si="372"/>
        <v>0</v>
      </c>
      <c r="G624" s="276">
        <f t="shared" si="372"/>
        <v>0</v>
      </c>
      <c r="H624" s="276">
        <f t="shared" si="372"/>
        <v>0</v>
      </c>
      <c r="I624" s="276">
        <f t="shared" si="372"/>
        <v>0</v>
      </c>
      <c r="J624" s="276">
        <f t="shared" si="372"/>
        <v>0</v>
      </c>
      <c r="K624" s="276">
        <f t="shared" si="372"/>
        <v>0</v>
      </c>
      <c r="L624" s="276">
        <f t="shared" si="372"/>
        <v>0</v>
      </c>
      <c r="M624" s="276">
        <f t="shared" si="372"/>
        <v>0</v>
      </c>
      <c r="N624" s="276">
        <f t="shared" si="372"/>
        <v>0</v>
      </c>
      <c r="O624" s="276">
        <f t="shared" si="372"/>
        <v>0</v>
      </c>
      <c r="P624" s="276">
        <f t="shared" si="372"/>
        <v>0</v>
      </c>
      <c r="Q624" s="276">
        <f t="shared" si="372"/>
        <v>0</v>
      </c>
      <c r="R624" s="276">
        <f t="shared" si="372"/>
        <v>0</v>
      </c>
      <c r="S624" s="276">
        <f t="shared" si="372"/>
        <v>0</v>
      </c>
      <c r="T624" s="276">
        <f t="shared" si="372"/>
        <v>0</v>
      </c>
      <c r="U624" s="276">
        <f t="shared" si="372"/>
        <v>0</v>
      </c>
      <c r="V624" s="276">
        <f t="shared" si="372"/>
        <v>0</v>
      </c>
      <c r="W624" s="276">
        <f t="shared" si="372"/>
        <v>0</v>
      </c>
      <c r="X624" s="276">
        <f t="shared" si="372"/>
        <v>0</v>
      </c>
      <c r="Y624" s="276">
        <f t="shared" si="372"/>
        <v>0</v>
      </c>
      <c r="Z624" s="276">
        <f t="shared" si="372"/>
        <v>0</v>
      </c>
      <c r="AA624" s="276">
        <f t="shared" si="372"/>
        <v>0</v>
      </c>
      <c r="AB624" s="276">
        <f t="shared" si="372"/>
        <v>0</v>
      </c>
      <c r="AC624" s="276">
        <f t="shared" si="372"/>
        <v>0</v>
      </c>
      <c r="AD624" s="276">
        <f t="shared" si="372"/>
        <v>0</v>
      </c>
      <c r="AE624" s="276">
        <f t="shared" si="372"/>
        <v>0</v>
      </c>
      <c r="AF624" s="276">
        <f t="shared" si="372"/>
        <v>0</v>
      </c>
      <c r="AG624" s="276">
        <f t="shared" si="372"/>
        <v>0</v>
      </c>
      <c r="AH624" s="276">
        <f t="shared" si="372"/>
        <v>0</v>
      </c>
      <c r="AI624" s="276">
        <f t="shared" si="372"/>
        <v>0</v>
      </c>
      <c r="AJ624" s="276">
        <f t="shared" si="372"/>
        <v>0</v>
      </c>
      <c r="AK624" s="276">
        <f t="shared" si="372"/>
        <v>0</v>
      </c>
      <c r="AL624" s="276">
        <f t="shared" si="372"/>
        <v>0</v>
      </c>
      <c r="AM624" s="276">
        <f t="shared" si="372"/>
        <v>0</v>
      </c>
      <c r="AN624" s="276">
        <f t="shared" si="372"/>
        <v>0</v>
      </c>
      <c r="AO624" s="276">
        <f t="shared" si="372"/>
        <v>0</v>
      </c>
      <c r="AP624" s="276">
        <f t="shared" si="372"/>
        <v>0</v>
      </c>
    </row>
    <row r="625" spans="1:42" x14ac:dyDescent="0.2">
      <c r="A625" s="7" t="s">
        <v>43</v>
      </c>
      <c r="B625" s="277">
        <v>0</v>
      </c>
      <c r="C625" s="277">
        <f>-C640</f>
        <v>0</v>
      </c>
      <c r="D625" s="277">
        <f t="shared" ref="D625:AP625" si="373">-D640</f>
        <v>0</v>
      </c>
      <c r="E625" s="277">
        <f t="shared" si="373"/>
        <v>0</v>
      </c>
      <c r="F625" s="277">
        <f t="shared" si="373"/>
        <v>0</v>
      </c>
      <c r="G625" s="277">
        <f t="shared" si="373"/>
        <v>0</v>
      </c>
      <c r="H625" s="277">
        <f t="shared" si="373"/>
        <v>0</v>
      </c>
      <c r="I625" s="277">
        <f t="shared" si="373"/>
        <v>0</v>
      </c>
      <c r="J625" s="277">
        <f t="shared" si="373"/>
        <v>0</v>
      </c>
      <c r="K625" s="277">
        <f t="shared" si="373"/>
        <v>0</v>
      </c>
      <c r="L625" s="277">
        <f t="shared" si="373"/>
        <v>0</v>
      </c>
      <c r="M625" s="277">
        <f t="shared" si="373"/>
        <v>0</v>
      </c>
      <c r="N625" s="277">
        <f t="shared" si="373"/>
        <v>0</v>
      </c>
      <c r="O625" s="277">
        <f t="shared" si="373"/>
        <v>0</v>
      </c>
      <c r="P625" s="277">
        <f t="shared" si="373"/>
        <v>0</v>
      </c>
      <c r="Q625" s="277">
        <f t="shared" si="373"/>
        <v>0</v>
      </c>
      <c r="R625" s="277">
        <f t="shared" si="373"/>
        <v>0</v>
      </c>
      <c r="S625" s="277">
        <f t="shared" si="373"/>
        <v>0</v>
      </c>
      <c r="T625" s="277">
        <f t="shared" si="373"/>
        <v>0</v>
      </c>
      <c r="U625" s="277">
        <f t="shared" si="373"/>
        <v>0</v>
      </c>
      <c r="V625" s="277">
        <f t="shared" si="373"/>
        <v>0</v>
      </c>
      <c r="W625" s="277">
        <f t="shared" si="373"/>
        <v>0</v>
      </c>
      <c r="X625" s="277">
        <f t="shared" si="373"/>
        <v>0</v>
      </c>
      <c r="Y625" s="277">
        <f t="shared" si="373"/>
        <v>0</v>
      </c>
      <c r="Z625" s="277">
        <f t="shared" si="373"/>
        <v>0</v>
      </c>
      <c r="AA625" s="277">
        <f t="shared" si="373"/>
        <v>0</v>
      </c>
      <c r="AB625" s="277">
        <f t="shared" si="373"/>
        <v>0</v>
      </c>
      <c r="AC625" s="277">
        <f t="shared" si="373"/>
        <v>0</v>
      </c>
      <c r="AD625" s="277">
        <f t="shared" si="373"/>
        <v>0</v>
      </c>
      <c r="AE625" s="277">
        <f t="shared" si="373"/>
        <v>0</v>
      </c>
      <c r="AF625" s="277">
        <f t="shared" si="373"/>
        <v>0</v>
      </c>
      <c r="AG625" s="277">
        <f t="shared" si="373"/>
        <v>0</v>
      </c>
      <c r="AH625" s="277">
        <f t="shared" si="373"/>
        <v>0</v>
      </c>
      <c r="AI625" s="277">
        <f t="shared" si="373"/>
        <v>0</v>
      </c>
      <c r="AJ625" s="277">
        <f t="shared" si="373"/>
        <v>0</v>
      </c>
      <c r="AK625" s="277">
        <f t="shared" si="373"/>
        <v>0</v>
      </c>
      <c r="AL625" s="277">
        <f t="shared" si="373"/>
        <v>0</v>
      </c>
      <c r="AM625" s="277">
        <f t="shared" si="373"/>
        <v>0</v>
      </c>
      <c r="AN625" s="277">
        <f t="shared" si="373"/>
        <v>0</v>
      </c>
      <c r="AO625" s="277">
        <f t="shared" si="373"/>
        <v>0</v>
      </c>
      <c r="AP625" s="277">
        <f t="shared" si="373"/>
        <v>0</v>
      </c>
    </row>
    <row r="626" spans="1:42" x14ac:dyDescent="0.2">
      <c r="A626" s="7" t="s">
        <v>39</v>
      </c>
      <c r="B626" s="276">
        <f>SUM(B623:B625)</f>
        <v>0</v>
      </c>
      <c r="C626" s="276">
        <f>SUM(C623:C625)</f>
        <v>0</v>
      </c>
      <c r="D626" s="276">
        <f t="shared" ref="D626:AP626" si="374">SUM(D623:D625)</f>
        <v>0</v>
      </c>
      <c r="E626" s="276">
        <f t="shared" si="374"/>
        <v>0</v>
      </c>
      <c r="F626" s="276">
        <f t="shared" si="374"/>
        <v>0</v>
      </c>
      <c r="G626" s="276">
        <f t="shared" si="374"/>
        <v>0</v>
      </c>
      <c r="H626" s="276">
        <f t="shared" si="374"/>
        <v>0</v>
      </c>
      <c r="I626" s="276">
        <f t="shared" si="374"/>
        <v>0</v>
      </c>
      <c r="J626" s="276">
        <f t="shared" si="374"/>
        <v>0</v>
      </c>
      <c r="K626" s="276">
        <f t="shared" si="374"/>
        <v>0</v>
      </c>
      <c r="L626" s="276">
        <f t="shared" si="374"/>
        <v>0</v>
      </c>
      <c r="M626" s="276">
        <f t="shared" si="374"/>
        <v>0</v>
      </c>
      <c r="N626" s="276">
        <f t="shared" si="374"/>
        <v>0</v>
      </c>
      <c r="O626" s="276">
        <f t="shared" si="374"/>
        <v>0</v>
      </c>
      <c r="P626" s="276">
        <f t="shared" si="374"/>
        <v>0</v>
      </c>
      <c r="Q626" s="276">
        <f t="shared" si="374"/>
        <v>0</v>
      </c>
      <c r="R626" s="276">
        <f t="shared" si="374"/>
        <v>0</v>
      </c>
      <c r="S626" s="276">
        <f t="shared" si="374"/>
        <v>0</v>
      </c>
      <c r="T626" s="276">
        <f t="shared" si="374"/>
        <v>0</v>
      </c>
      <c r="U626" s="276">
        <f t="shared" si="374"/>
        <v>0</v>
      </c>
      <c r="V626" s="276">
        <f t="shared" si="374"/>
        <v>0</v>
      </c>
      <c r="W626" s="276">
        <f t="shared" si="374"/>
        <v>0</v>
      </c>
      <c r="X626" s="276">
        <f t="shared" si="374"/>
        <v>0</v>
      </c>
      <c r="Y626" s="276">
        <f t="shared" si="374"/>
        <v>0</v>
      </c>
      <c r="Z626" s="276">
        <f t="shared" si="374"/>
        <v>0</v>
      </c>
      <c r="AA626" s="276">
        <f t="shared" si="374"/>
        <v>0</v>
      </c>
      <c r="AB626" s="276">
        <f t="shared" si="374"/>
        <v>0</v>
      </c>
      <c r="AC626" s="276">
        <f t="shared" si="374"/>
        <v>0</v>
      </c>
      <c r="AD626" s="276">
        <f t="shared" si="374"/>
        <v>0</v>
      </c>
      <c r="AE626" s="276">
        <f t="shared" si="374"/>
        <v>0</v>
      </c>
      <c r="AF626" s="276">
        <f t="shared" si="374"/>
        <v>0</v>
      </c>
      <c r="AG626" s="276">
        <f t="shared" si="374"/>
        <v>0</v>
      </c>
      <c r="AH626" s="276">
        <f t="shared" si="374"/>
        <v>0</v>
      </c>
      <c r="AI626" s="276">
        <f t="shared" si="374"/>
        <v>0</v>
      </c>
      <c r="AJ626" s="276">
        <f t="shared" si="374"/>
        <v>0</v>
      </c>
      <c r="AK626" s="276">
        <f t="shared" si="374"/>
        <v>0</v>
      </c>
      <c r="AL626" s="276">
        <f t="shared" si="374"/>
        <v>0</v>
      </c>
      <c r="AM626" s="276">
        <f t="shared" si="374"/>
        <v>0</v>
      </c>
      <c r="AN626" s="276">
        <f t="shared" si="374"/>
        <v>0</v>
      </c>
      <c r="AO626" s="276">
        <f t="shared" si="374"/>
        <v>0</v>
      </c>
      <c r="AP626" s="276">
        <f t="shared" si="374"/>
        <v>0</v>
      </c>
    </row>
    <row r="627" spans="1:42" s="168" customFormat="1" x14ac:dyDescent="0.2">
      <c r="A627" s="7"/>
      <c r="G627" s="262"/>
      <c r="H627" s="262"/>
      <c r="I627" s="262"/>
      <c r="J627" s="262"/>
      <c r="K627" s="262"/>
      <c r="L627" s="262"/>
      <c r="M627" s="262"/>
      <c r="N627" s="262"/>
      <c r="O627" s="262"/>
      <c r="P627" s="262"/>
      <c r="Q627" s="262"/>
      <c r="R627" s="262"/>
      <c r="S627" s="262"/>
      <c r="T627" s="262"/>
      <c r="U627" s="262"/>
      <c r="V627" s="262"/>
      <c r="W627" s="262"/>
      <c r="X627" s="262"/>
      <c r="Y627" s="262"/>
      <c r="Z627" s="262"/>
      <c r="AA627" s="262"/>
      <c r="AB627" s="262"/>
      <c r="AC627" s="262"/>
      <c r="AD627" s="262"/>
      <c r="AE627" s="262"/>
      <c r="AF627" s="262"/>
      <c r="AG627" s="262"/>
      <c r="AH627" s="262"/>
      <c r="AI627" s="262"/>
      <c r="AJ627" s="262"/>
      <c r="AK627" s="262"/>
      <c r="AL627" s="262"/>
      <c r="AM627" s="262"/>
      <c r="AN627" s="262"/>
      <c r="AO627" s="262"/>
      <c r="AP627" s="262"/>
    </row>
    <row r="628" spans="1:42" s="168" customFormat="1" x14ac:dyDescent="0.2">
      <c r="A628" s="7" t="s">
        <v>99</v>
      </c>
      <c r="G628" s="262"/>
      <c r="H628" s="262"/>
      <c r="I628" s="262"/>
      <c r="J628" s="262"/>
      <c r="K628" s="262"/>
      <c r="L628" s="262"/>
      <c r="M628" s="262"/>
      <c r="N628" s="262"/>
      <c r="O628" s="262"/>
      <c r="P628" s="262"/>
      <c r="Q628" s="262"/>
      <c r="R628" s="262"/>
      <c r="S628" s="262"/>
      <c r="T628" s="262"/>
      <c r="U628" s="262"/>
      <c r="V628" s="262"/>
      <c r="W628" s="262"/>
      <c r="X628" s="262"/>
      <c r="Y628" s="262"/>
      <c r="Z628" s="262"/>
      <c r="AA628" s="262"/>
      <c r="AB628" s="262"/>
      <c r="AC628" s="262"/>
      <c r="AD628" s="262"/>
      <c r="AE628" s="262"/>
      <c r="AF628" s="262"/>
      <c r="AG628" s="262"/>
      <c r="AH628" s="262"/>
      <c r="AI628" s="262"/>
      <c r="AJ628" s="262"/>
      <c r="AK628" s="262"/>
      <c r="AL628" s="262"/>
      <c r="AM628" s="262"/>
      <c r="AN628" s="262"/>
      <c r="AO628" s="262"/>
      <c r="AP628" s="262"/>
    </row>
    <row r="629" spans="1:42" s="168" customFormat="1" x14ac:dyDescent="0.2">
      <c r="A629" s="7" t="s">
        <v>100</v>
      </c>
      <c r="G629" s="262"/>
      <c r="H629" s="262"/>
      <c r="I629" s="262"/>
      <c r="J629" s="262"/>
      <c r="K629" s="262"/>
      <c r="L629" s="262"/>
      <c r="M629" s="262"/>
      <c r="N629" s="262"/>
      <c r="O629" s="262"/>
      <c r="P629" s="262"/>
      <c r="Q629" s="262"/>
      <c r="R629" s="262"/>
      <c r="S629" s="262"/>
      <c r="T629" s="262"/>
      <c r="U629" s="262"/>
      <c r="V629" s="262"/>
      <c r="W629" s="262"/>
      <c r="X629" s="262"/>
      <c r="Y629" s="262"/>
      <c r="Z629" s="262"/>
      <c r="AA629" s="262"/>
      <c r="AB629" s="262"/>
      <c r="AC629" s="262"/>
      <c r="AD629" s="262"/>
      <c r="AE629" s="262"/>
      <c r="AF629" s="262"/>
      <c r="AG629" s="262"/>
      <c r="AH629" s="262"/>
      <c r="AI629" s="262"/>
      <c r="AJ629" s="262"/>
      <c r="AK629" s="262"/>
      <c r="AL629" s="262"/>
      <c r="AM629" s="262"/>
      <c r="AN629" s="262"/>
      <c r="AO629" s="262"/>
      <c r="AP629" s="262"/>
    </row>
    <row r="630" spans="1:42" x14ac:dyDescent="0.2">
      <c r="A630" s="7">
        <v>1</v>
      </c>
      <c r="B630" s="297">
        <f t="shared" ref="B630:B639" si="375">SUM(C630:AP630)</f>
        <v>0</v>
      </c>
      <c r="C630" s="272">
        <f t="shared" ref="C630:AP630" si="376">IF(C$2&gt;analysis_period,0,IF(C$2=equip3_reserve_freq*$A630,equip3_reserve_cost*system_capacity*1000*(1+inflation_rate/100)^B$2,0))</f>
        <v>0</v>
      </c>
      <c r="D630" s="272">
        <f t="shared" si="376"/>
        <v>0</v>
      </c>
      <c r="E630" s="272">
        <f t="shared" si="376"/>
        <v>0</v>
      </c>
      <c r="F630" s="272">
        <f t="shared" si="376"/>
        <v>0</v>
      </c>
      <c r="G630" s="272">
        <f t="shared" si="376"/>
        <v>0</v>
      </c>
      <c r="H630" s="272">
        <f t="shared" si="376"/>
        <v>0</v>
      </c>
      <c r="I630" s="272">
        <f t="shared" si="376"/>
        <v>0</v>
      </c>
      <c r="J630" s="272">
        <f t="shared" si="376"/>
        <v>0</v>
      </c>
      <c r="K630" s="272">
        <f t="shared" si="376"/>
        <v>0</v>
      </c>
      <c r="L630" s="272">
        <f t="shared" si="376"/>
        <v>0</v>
      </c>
      <c r="M630" s="272">
        <f t="shared" si="376"/>
        <v>0</v>
      </c>
      <c r="N630" s="272">
        <f t="shared" si="376"/>
        <v>0</v>
      </c>
      <c r="O630" s="272">
        <f t="shared" si="376"/>
        <v>0</v>
      </c>
      <c r="P630" s="272">
        <f t="shared" si="376"/>
        <v>0</v>
      </c>
      <c r="Q630" s="272">
        <f t="shared" si="376"/>
        <v>0</v>
      </c>
      <c r="R630" s="272">
        <f t="shared" si="376"/>
        <v>0</v>
      </c>
      <c r="S630" s="272">
        <f t="shared" si="376"/>
        <v>0</v>
      </c>
      <c r="T630" s="272">
        <f t="shared" si="376"/>
        <v>0</v>
      </c>
      <c r="U630" s="272">
        <f t="shared" si="376"/>
        <v>0</v>
      </c>
      <c r="V630" s="272">
        <f t="shared" si="376"/>
        <v>0</v>
      </c>
      <c r="W630" s="272">
        <f t="shared" si="376"/>
        <v>0</v>
      </c>
      <c r="X630" s="272">
        <f t="shared" si="376"/>
        <v>0</v>
      </c>
      <c r="Y630" s="272">
        <f t="shared" si="376"/>
        <v>0</v>
      </c>
      <c r="Z630" s="272">
        <f t="shared" si="376"/>
        <v>0</v>
      </c>
      <c r="AA630" s="272">
        <f t="shared" si="376"/>
        <v>0</v>
      </c>
      <c r="AB630" s="272">
        <f t="shared" si="376"/>
        <v>0</v>
      </c>
      <c r="AC630" s="272">
        <f t="shared" si="376"/>
        <v>0</v>
      </c>
      <c r="AD630" s="272">
        <f t="shared" si="376"/>
        <v>0</v>
      </c>
      <c r="AE630" s="272">
        <f t="shared" si="376"/>
        <v>0</v>
      </c>
      <c r="AF630" s="272">
        <f t="shared" si="376"/>
        <v>0</v>
      </c>
      <c r="AG630" s="272">
        <f t="shared" si="376"/>
        <v>0</v>
      </c>
      <c r="AH630" s="272">
        <f t="shared" si="376"/>
        <v>0</v>
      </c>
      <c r="AI630" s="272">
        <f t="shared" si="376"/>
        <v>0</v>
      </c>
      <c r="AJ630" s="272">
        <f t="shared" si="376"/>
        <v>0</v>
      </c>
      <c r="AK630" s="272">
        <f t="shared" si="376"/>
        <v>0</v>
      </c>
      <c r="AL630" s="272">
        <f t="shared" si="376"/>
        <v>0</v>
      </c>
      <c r="AM630" s="272">
        <f t="shared" si="376"/>
        <v>0</v>
      </c>
      <c r="AN630" s="272">
        <f t="shared" si="376"/>
        <v>0</v>
      </c>
      <c r="AO630" s="272">
        <f t="shared" si="376"/>
        <v>0</v>
      </c>
      <c r="AP630" s="272">
        <f t="shared" si="376"/>
        <v>0</v>
      </c>
    </row>
    <row r="631" spans="1:42" x14ac:dyDescent="0.2">
      <c r="A631" s="7">
        <f>A630+1</f>
        <v>2</v>
      </c>
      <c r="B631" s="297">
        <f t="shared" si="375"/>
        <v>0</v>
      </c>
      <c r="C631" s="272">
        <f t="shared" ref="C631:AP631" si="377">IF(C$2&gt;analysis_period,0,IF(C$2=equip3_reserve_freq*$A631,equip3_reserve_cost*system_capacity*1000*(1+inflation_rate/100)^B$2,0))</f>
        <v>0</v>
      </c>
      <c r="D631" s="272">
        <f t="shared" si="377"/>
        <v>0</v>
      </c>
      <c r="E631" s="272">
        <f t="shared" si="377"/>
        <v>0</v>
      </c>
      <c r="F631" s="272">
        <f t="shared" si="377"/>
        <v>0</v>
      </c>
      <c r="G631" s="272">
        <f t="shared" si="377"/>
        <v>0</v>
      </c>
      <c r="H631" s="272">
        <f t="shared" si="377"/>
        <v>0</v>
      </c>
      <c r="I631" s="272">
        <f t="shared" si="377"/>
        <v>0</v>
      </c>
      <c r="J631" s="272">
        <f t="shared" si="377"/>
        <v>0</v>
      </c>
      <c r="K631" s="272">
        <f t="shared" si="377"/>
        <v>0</v>
      </c>
      <c r="L631" s="272">
        <f t="shared" si="377"/>
        <v>0</v>
      </c>
      <c r="M631" s="272">
        <f t="shared" si="377"/>
        <v>0</v>
      </c>
      <c r="N631" s="272">
        <f t="shared" si="377"/>
        <v>0</v>
      </c>
      <c r="O631" s="272">
        <f t="shared" si="377"/>
        <v>0</v>
      </c>
      <c r="P631" s="272">
        <f t="shared" si="377"/>
        <v>0</v>
      </c>
      <c r="Q631" s="272">
        <f t="shared" si="377"/>
        <v>0</v>
      </c>
      <c r="R631" s="272">
        <f t="shared" si="377"/>
        <v>0</v>
      </c>
      <c r="S631" s="272">
        <f t="shared" si="377"/>
        <v>0</v>
      </c>
      <c r="T631" s="272">
        <f t="shared" si="377"/>
        <v>0</v>
      </c>
      <c r="U631" s="272">
        <f t="shared" si="377"/>
        <v>0</v>
      </c>
      <c r="V631" s="272">
        <f t="shared" si="377"/>
        <v>0</v>
      </c>
      <c r="W631" s="272">
        <f t="shared" si="377"/>
        <v>0</v>
      </c>
      <c r="X631" s="272">
        <f t="shared" si="377"/>
        <v>0</v>
      </c>
      <c r="Y631" s="272">
        <f t="shared" si="377"/>
        <v>0</v>
      </c>
      <c r="Z631" s="272">
        <f t="shared" si="377"/>
        <v>0</v>
      </c>
      <c r="AA631" s="272">
        <f t="shared" si="377"/>
        <v>0</v>
      </c>
      <c r="AB631" s="272">
        <f t="shared" si="377"/>
        <v>0</v>
      </c>
      <c r="AC631" s="272">
        <f t="shared" si="377"/>
        <v>0</v>
      </c>
      <c r="AD631" s="272">
        <f t="shared" si="377"/>
        <v>0</v>
      </c>
      <c r="AE631" s="272">
        <f t="shared" si="377"/>
        <v>0</v>
      </c>
      <c r="AF631" s="272">
        <f t="shared" si="377"/>
        <v>0</v>
      </c>
      <c r="AG631" s="272">
        <f t="shared" si="377"/>
        <v>0</v>
      </c>
      <c r="AH631" s="272">
        <f t="shared" si="377"/>
        <v>0</v>
      </c>
      <c r="AI631" s="272">
        <f t="shared" si="377"/>
        <v>0</v>
      </c>
      <c r="AJ631" s="272">
        <f t="shared" si="377"/>
        <v>0</v>
      </c>
      <c r="AK631" s="272">
        <f t="shared" si="377"/>
        <v>0</v>
      </c>
      <c r="AL631" s="272">
        <f t="shared" si="377"/>
        <v>0</v>
      </c>
      <c r="AM631" s="272">
        <f t="shared" si="377"/>
        <v>0</v>
      </c>
      <c r="AN631" s="272">
        <f t="shared" si="377"/>
        <v>0</v>
      </c>
      <c r="AO631" s="272">
        <f t="shared" si="377"/>
        <v>0</v>
      </c>
      <c r="AP631" s="272">
        <f t="shared" si="377"/>
        <v>0</v>
      </c>
    </row>
    <row r="632" spans="1:42" x14ac:dyDescent="0.2">
      <c r="A632" s="7">
        <f t="shared" ref="A632:A639" si="378">A631+1</f>
        <v>3</v>
      </c>
      <c r="B632" s="297">
        <f t="shared" si="375"/>
        <v>0</v>
      </c>
      <c r="C632" s="272">
        <f t="shared" ref="C632:AP632" si="379">IF(C$2&gt;analysis_period,0,IF(C$2=equip3_reserve_freq*$A632,equip3_reserve_cost*system_capacity*1000*(1+inflation_rate/100)^B$2,0))</f>
        <v>0</v>
      </c>
      <c r="D632" s="272">
        <f t="shared" si="379"/>
        <v>0</v>
      </c>
      <c r="E632" s="272">
        <f t="shared" si="379"/>
        <v>0</v>
      </c>
      <c r="F632" s="272">
        <f t="shared" si="379"/>
        <v>0</v>
      </c>
      <c r="G632" s="272">
        <f t="shared" si="379"/>
        <v>0</v>
      </c>
      <c r="H632" s="272">
        <f t="shared" si="379"/>
        <v>0</v>
      </c>
      <c r="I632" s="272">
        <f t="shared" si="379"/>
        <v>0</v>
      </c>
      <c r="J632" s="272">
        <f t="shared" si="379"/>
        <v>0</v>
      </c>
      <c r="K632" s="272">
        <f t="shared" si="379"/>
        <v>0</v>
      </c>
      <c r="L632" s="272">
        <f t="shared" si="379"/>
        <v>0</v>
      </c>
      <c r="M632" s="272">
        <f t="shared" si="379"/>
        <v>0</v>
      </c>
      <c r="N632" s="272">
        <f t="shared" si="379"/>
        <v>0</v>
      </c>
      <c r="O632" s="272">
        <f t="shared" si="379"/>
        <v>0</v>
      </c>
      <c r="P632" s="272">
        <f t="shared" si="379"/>
        <v>0</v>
      </c>
      <c r="Q632" s="272">
        <f t="shared" si="379"/>
        <v>0</v>
      </c>
      <c r="R632" s="272">
        <f t="shared" si="379"/>
        <v>0</v>
      </c>
      <c r="S632" s="272">
        <f t="shared" si="379"/>
        <v>0</v>
      </c>
      <c r="T632" s="272">
        <f t="shared" si="379"/>
        <v>0</v>
      </c>
      <c r="U632" s="272">
        <f t="shared" si="379"/>
        <v>0</v>
      </c>
      <c r="V632" s="272">
        <f t="shared" si="379"/>
        <v>0</v>
      </c>
      <c r="W632" s="272">
        <f t="shared" si="379"/>
        <v>0</v>
      </c>
      <c r="X632" s="272">
        <f t="shared" si="379"/>
        <v>0</v>
      </c>
      <c r="Y632" s="272">
        <f t="shared" si="379"/>
        <v>0</v>
      </c>
      <c r="Z632" s="272">
        <f t="shared" si="379"/>
        <v>0</v>
      </c>
      <c r="AA632" s="272">
        <f t="shared" si="379"/>
        <v>0</v>
      </c>
      <c r="AB632" s="272">
        <f t="shared" si="379"/>
        <v>0</v>
      </c>
      <c r="AC632" s="272">
        <f t="shared" si="379"/>
        <v>0</v>
      </c>
      <c r="AD632" s="272">
        <f t="shared" si="379"/>
        <v>0</v>
      </c>
      <c r="AE632" s="272">
        <f t="shared" si="379"/>
        <v>0</v>
      </c>
      <c r="AF632" s="272">
        <f t="shared" si="379"/>
        <v>0</v>
      </c>
      <c r="AG632" s="272">
        <f t="shared" si="379"/>
        <v>0</v>
      </c>
      <c r="AH632" s="272">
        <f t="shared" si="379"/>
        <v>0</v>
      </c>
      <c r="AI632" s="272">
        <f t="shared" si="379"/>
        <v>0</v>
      </c>
      <c r="AJ632" s="272">
        <f t="shared" si="379"/>
        <v>0</v>
      </c>
      <c r="AK632" s="272">
        <f t="shared" si="379"/>
        <v>0</v>
      </c>
      <c r="AL632" s="272">
        <f t="shared" si="379"/>
        <v>0</v>
      </c>
      <c r="AM632" s="272">
        <f t="shared" si="379"/>
        <v>0</v>
      </c>
      <c r="AN632" s="272">
        <f t="shared" si="379"/>
        <v>0</v>
      </c>
      <c r="AO632" s="272">
        <f t="shared" si="379"/>
        <v>0</v>
      </c>
      <c r="AP632" s="272">
        <f t="shared" si="379"/>
        <v>0</v>
      </c>
    </row>
    <row r="633" spans="1:42" x14ac:dyDescent="0.2">
      <c r="A633" s="7">
        <f t="shared" si="378"/>
        <v>4</v>
      </c>
      <c r="B633" s="297">
        <f t="shared" si="375"/>
        <v>0</v>
      </c>
      <c r="C633" s="272">
        <f t="shared" ref="C633:AP633" si="380">IF(C$2&gt;analysis_period,0,IF(C$2=equip3_reserve_freq*$A633,equip3_reserve_cost*system_capacity*1000*(1+inflation_rate/100)^B$2,0))</f>
        <v>0</v>
      </c>
      <c r="D633" s="272">
        <f t="shared" si="380"/>
        <v>0</v>
      </c>
      <c r="E633" s="272">
        <f t="shared" si="380"/>
        <v>0</v>
      </c>
      <c r="F633" s="272">
        <f t="shared" si="380"/>
        <v>0</v>
      </c>
      <c r="G633" s="272">
        <f t="shared" si="380"/>
        <v>0</v>
      </c>
      <c r="H633" s="272">
        <f t="shared" si="380"/>
        <v>0</v>
      </c>
      <c r="I633" s="272">
        <f t="shared" si="380"/>
        <v>0</v>
      </c>
      <c r="J633" s="272">
        <f t="shared" si="380"/>
        <v>0</v>
      </c>
      <c r="K633" s="272">
        <f t="shared" si="380"/>
        <v>0</v>
      </c>
      <c r="L633" s="272">
        <f t="shared" si="380"/>
        <v>0</v>
      </c>
      <c r="M633" s="272">
        <f t="shared" si="380"/>
        <v>0</v>
      </c>
      <c r="N633" s="272">
        <f t="shared" si="380"/>
        <v>0</v>
      </c>
      <c r="O633" s="272">
        <f t="shared" si="380"/>
        <v>0</v>
      </c>
      <c r="P633" s="272">
        <f t="shared" si="380"/>
        <v>0</v>
      </c>
      <c r="Q633" s="272">
        <f t="shared" si="380"/>
        <v>0</v>
      </c>
      <c r="R633" s="272">
        <f t="shared" si="380"/>
        <v>0</v>
      </c>
      <c r="S633" s="272">
        <f t="shared" si="380"/>
        <v>0</v>
      </c>
      <c r="T633" s="272">
        <f t="shared" si="380"/>
        <v>0</v>
      </c>
      <c r="U633" s="272">
        <f t="shared" si="380"/>
        <v>0</v>
      </c>
      <c r="V633" s="272">
        <f t="shared" si="380"/>
        <v>0</v>
      </c>
      <c r="W633" s="272">
        <f t="shared" si="380"/>
        <v>0</v>
      </c>
      <c r="X633" s="272">
        <f t="shared" si="380"/>
        <v>0</v>
      </c>
      <c r="Y633" s="272">
        <f t="shared" si="380"/>
        <v>0</v>
      </c>
      <c r="Z633" s="272">
        <f t="shared" si="380"/>
        <v>0</v>
      </c>
      <c r="AA633" s="272">
        <f t="shared" si="380"/>
        <v>0</v>
      </c>
      <c r="AB633" s="272">
        <f t="shared" si="380"/>
        <v>0</v>
      </c>
      <c r="AC633" s="272">
        <f t="shared" si="380"/>
        <v>0</v>
      </c>
      <c r="AD633" s="272">
        <f t="shared" si="380"/>
        <v>0</v>
      </c>
      <c r="AE633" s="272">
        <f t="shared" si="380"/>
        <v>0</v>
      </c>
      <c r="AF633" s="272">
        <f t="shared" si="380"/>
        <v>0</v>
      </c>
      <c r="AG633" s="272">
        <f t="shared" si="380"/>
        <v>0</v>
      </c>
      <c r="AH633" s="272">
        <f t="shared" si="380"/>
        <v>0</v>
      </c>
      <c r="AI633" s="272">
        <f t="shared" si="380"/>
        <v>0</v>
      </c>
      <c r="AJ633" s="272">
        <f t="shared" si="380"/>
        <v>0</v>
      </c>
      <c r="AK633" s="272">
        <f t="shared" si="380"/>
        <v>0</v>
      </c>
      <c r="AL633" s="272">
        <f t="shared" si="380"/>
        <v>0</v>
      </c>
      <c r="AM633" s="272">
        <f t="shared" si="380"/>
        <v>0</v>
      </c>
      <c r="AN633" s="272">
        <f t="shared" si="380"/>
        <v>0</v>
      </c>
      <c r="AO633" s="272">
        <f t="shared" si="380"/>
        <v>0</v>
      </c>
      <c r="AP633" s="272">
        <f t="shared" si="380"/>
        <v>0</v>
      </c>
    </row>
    <row r="634" spans="1:42" x14ac:dyDescent="0.2">
      <c r="A634" s="7">
        <f t="shared" si="378"/>
        <v>5</v>
      </c>
      <c r="B634" s="297">
        <f t="shared" si="375"/>
        <v>0</v>
      </c>
      <c r="C634" s="272">
        <f t="shared" ref="C634:AP634" si="381">IF(C$2&gt;analysis_period,0,IF(C$2=equip3_reserve_freq*$A634,equip3_reserve_cost*system_capacity*1000*(1+inflation_rate/100)^B$2,0))</f>
        <v>0</v>
      </c>
      <c r="D634" s="272">
        <f t="shared" si="381"/>
        <v>0</v>
      </c>
      <c r="E634" s="272">
        <f t="shared" si="381"/>
        <v>0</v>
      </c>
      <c r="F634" s="272">
        <f t="shared" si="381"/>
        <v>0</v>
      </c>
      <c r="G634" s="272">
        <f t="shared" si="381"/>
        <v>0</v>
      </c>
      <c r="H634" s="272">
        <f t="shared" si="381"/>
        <v>0</v>
      </c>
      <c r="I634" s="272">
        <f t="shared" si="381"/>
        <v>0</v>
      </c>
      <c r="J634" s="272">
        <f t="shared" si="381"/>
        <v>0</v>
      </c>
      <c r="K634" s="272">
        <f t="shared" si="381"/>
        <v>0</v>
      </c>
      <c r="L634" s="272">
        <f t="shared" si="381"/>
        <v>0</v>
      </c>
      <c r="M634" s="272">
        <f t="shared" si="381"/>
        <v>0</v>
      </c>
      <c r="N634" s="272">
        <f t="shared" si="381"/>
        <v>0</v>
      </c>
      <c r="O634" s="272">
        <f t="shared" si="381"/>
        <v>0</v>
      </c>
      <c r="P634" s="272">
        <f t="shared" si="381"/>
        <v>0</v>
      </c>
      <c r="Q634" s="272">
        <f t="shared" si="381"/>
        <v>0</v>
      </c>
      <c r="R634" s="272">
        <f t="shared" si="381"/>
        <v>0</v>
      </c>
      <c r="S634" s="272">
        <f t="shared" si="381"/>
        <v>0</v>
      </c>
      <c r="T634" s="272">
        <f t="shared" si="381"/>
        <v>0</v>
      </c>
      <c r="U634" s="272">
        <f t="shared" si="381"/>
        <v>0</v>
      </c>
      <c r="V634" s="272">
        <f t="shared" si="381"/>
        <v>0</v>
      </c>
      <c r="W634" s="272">
        <f t="shared" si="381"/>
        <v>0</v>
      </c>
      <c r="X634" s="272">
        <f t="shared" si="381"/>
        <v>0</v>
      </c>
      <c r="Y634" s="272">
        <f t="shared" si="381"/>
        <v>0</v>
      </c>
      <c r="Z634" s="272">
        <f t="shared" si="381"/>
        <v>0</v>
      </c>
      <c r="AA634" s="272">
        <f t="shared" si="381"/>
        <v>0</v>
      </c>
      <c r="AB634" s="272">
        <f t="shared" si="381"/>
        <v>0</v>
      </c>
      <c r="AC634" s="272">
        <f t="shared" si="381"/>
        <v>0</v>
      </c>
      <c r="AD634" s="272">
        <f t="shared" si="381"/>
        <v>0</v>
      </c>
      <c r="AE634" s="272">
        <f t="shared" si="381"/>
        <v>0</v>
      </c>
      <c r="AF634" s="272">
        <f t="shared" si="381"/>
        <v>0</v>
      </c>
      <c r="AG634" s="272">
        <f t="shared" si="381"/>
        <v>0</v>
      </c>
      <c r="AH634" s="272">
        <f t="shared" si="381"/>
        <v>0</v>
      </c>
      <c r="AI634" s="272">
        <f t="shared" si="381"/>
        <v>0</v>
      </c>
      <c r="AJ634" s="272">
        <f t="shared" si="381"/>
        <v>0</v>
      </c>
      <c r="AK634" s="272">
        <f t="shared" si="381"/>
        <v>0</v>
      </c>
      <c r="AL634" s="272">
        <f t="shared" si="381"/>
        <v>0</v>
      </c>
      <c r="AM634" s="272">
        <f t="shared" si="381"/>
        <v>0</v>
      </c>
      <c r="AN634" s="272">
        <f t="shared" si="381"/>
        <v>0</v>
      </c>
      <c r="AO634" s="272">
        <f t="shared" si="381"/>
        <v>0</v>
      </c>
      <c r="AP634" s="272">
        <f t="shared" si="381"/>
        <v>0</v>
      </c>
    </row>
    <row r="635" spans="1:42" x14ac:dyDescent="0.2">
      <c r="A635" s="7">
        <f t="shared" si="378"/>
        <v>6</v>
      </c>
      <c r="B635" s="297">
        <f t="shared" si="375"/>
        <v>0</v>
      </c>
      <c r="C635" s="272">
        <f t="shared" ref="C635:AP635" si="382">IF(C$2&gt;analysis_period,0,IF(C$2=equip3_reserve_freq*$A635,equip3_reserve_cost*system_capacity*1000*(1+inflation_rate/100)^B$2,0))</f>
        <v>0</v>
      </c>
      <c r="D635" s="272">
        <f t="shared" si="382"/>
        <v>0</v>
      </c>
      <c r="E635" s="272">
        <f t="shared" si="382"/>
        <v>0</v>
      </c>
      <c r="F635" s="272">
        <f t="shared" si="382"/>
        <v>0</v>
      </c>
      <c r="G635" s="272">
        <f t="shared" si="382"/>
        <v>0</v>
      </c>
      <c r="H635" s="272">
        <f t="shared" si="382"/>
        <v>0</v>
      </c>
      <c r="I635" s="272">
        <f t="shared" si="382"/>
        <v>0</v>
      </c>
      <c r="J635" s="272">
        <f t="shared" si="382"/>
        <v>0</v>
      </c>
      <c r="K635" s="272">
        <f t="shared" si="382"/>
        <v>0</v>
      </c>
      <c r="L635" s="272">
        <f t="shared" si="382"/>
        <v>0</v>
      </c>
      <c r="M635" s="272">
        <f t="shared" si="382"/>
        <v>0</v>
      </c>
      <c r="N635" s="272">
        <f t="shared" si="382"/>
        <v>0</v>
      </c>
      <c r="O635" s="272">
        <f t="shared" si="382"/>
        <v>0</v>
      </c>
      <c r="P635" s="272">
        <f t="shared" si="382"/>
        <v>0</v>
      </c>
      <c r="Q635" s="272">
        <f t="shared" si="382"/>
        <v>0</v>
      </c>
      <c r="R635" s="272">
        <f t="shared" si="382"/>
        <v>0</v>
      </c>
      <c r="S635" s="272">
        <f t="shared" si="382"/>
        <v>0</v>
      </c>
      <c r="T635" s="272">
        <f t="shared" si="382"/>
        <v>0</v>
      </c>
      <c r="U635" s="272">
        <f t="shared" si="382"/>
        <v>0</v>
      </c>
      <c r="V635" s="272">
        <f t="shared" si="382"/>
        <v>0</v>
      </c>
      <c r="W635" s="272">
        <f t="shared" si="382"/>
        <v>0</v>
      </c>
      <c r="X635" s="272">
        <f t="shared" si="382"/>
        <v>0</v>
      </c>
      <c r="Y635" s="272">
        <f t="shared" si="382"/>
        <v>0</v>
      </c>
      <c r="Z635" s="272">
        <f t="shared" si="382"/>
        <v>0</v>
      </c>
      <c r="AA635" s="272">
        <f t="shared" si="382"/>
        <v>0</v>
      </c>
      <c r="AB635" s="272">
        <f t="shared" si="382"/>
        <v>0</v>
      </c>
      <c r="AC635" s="272">
        <f t="shared" si="382"/>
        <v>0</v>
      </c>
      <c r="AD635" s="272">
        <f t="shared" si="382"/>
        <v>0</v>
      </c>
      <c r="AE635" s="272">
        <f t="shared" si="382"/>
        <v>0</v>
      </c>
      <c r="AF635" s="272">
        <f t="shared" si="382"/>
        <v>0</v>
      </c>
      <c r="AG635" s="272">
        <f t="shared" si="382"/>
        <v>0</v>
      </c>
      <c r="AH635" s="272">
        <f t="shared" si="382"/>
        <v>0</v>
      </c>
      <c r="AI635" s="272">
        <f t="shared" si="382"/>
        <v>0</v>
      </c>
      <c r="AJ635" s="272">
        <f t="shared" si="382"/>
        <v>0</v>
      </c>
      <c r="AK635" s="272">
        <f t="shared" si="382"/>
        <v>0</v>
      </c>
      <c r="AL635" s="272">
        <f t="shared" si="382"/>
        <v>0</v>
      </c>
      <c r="AM635" s="272">
        <f t="shared" si="382"/>
        <v>0</v>
      </c>
      <c r="AN635" s="272">
        <f t="shared" si="382"/>
        <v>0</v>
      </c>
      <c r="AO635" s="272">
        <f t="shared" si="382"/>
        <v>0</v>
      </c>
      <c r="AP635" s="272">
        <f t="shared" si="382"/>
        <v>0</v>
      </c>
    </row>
    <row r="636" spans="1:42" x14ac:dyDescent="0.2">
      <c r="A636" s="7">
        <f t="shared" si="378"/>
        <v>7</v>
      </c>
      <c r="B636" s="297">
        <f t="shared" si="375"/>
        <v>0</v>
      </c>
      <c r="C636" s="272">
        <f t="shared" ref="C636:AP636" si="383">IF(C$2&gt;analysis_period,0,IF(C$2=equip3_reserve_freq*$A636,equip3_reserve_cost*system_capacity*1000*(1+inflation_rate/100)^B$2,0))</f>
        <v>0</v>
      </c>
      <c r="D636" s="272">
        <f t="shared" si="383"/>
        <v>0</v>
      </c>
      <c r="E636" s="272">
        <f t="shared" si="383"/>
        <v>0</v>
      </c>
      <c r="F636" s="272">
        <f t="shared" si="383"/>
        <v>0</v>
      </c>
      <c r="G636" s="272">
        <f t="shared" si="383"/>
        <v>0</v>
      </c>
      <c r="H636" s="272">
        <f t="shared" si="383"/>
        <v>0</v>
      </c>
      <c r="I636" s="272">
        <f t="shared" si="383"/>
        <v>0</v>
      </c>
      <c r="J636" s="272">
        <f t="shared" si="383"/>
        <v>0</v>
      </c>
      <c r="K636" s="272">
        <f t="shared" si="383"/>
        <v>0</v>
      </c>
      <c r="L636" s="272">
        <f t="shared" si="383"/>
        <v>0</v>
      </c>
      <c r="M636" s="272">
        <f t="shared" si="383"/>
        <v>0</v>
      </c>
      <c r="N636" s="272">
        <f t="shared" si="383"/>
        <v>0</v>
      </c>
      <c r="O636" s="272">
        <f t="shared" si="383"/>
        <v>0</v>
      </c>
      <c r="P636" s="272">
        <f t="shared" si="383"/>
        <v>0</v>
      </c>
      <c r="Q636" s="272">
        <f t="shared" si="383"/>
        <v>0</v>
      </c>
      <c r="R636" s="272">
        <f t="shared" si="383"/>
        <v>0</v>
      </c>
      <c r="S636" s="272">
        <f t="shared" si="383"/>
        <v>0</v>
      </c>
      <c r="T636" s="272">
        <f t="shared" si="383"/>
        <v>0</v>
      </c>
      <c r="U636" s="272">
        <f t="shared" si="383"/>
        <v>0</v>
      </c>
      <c r="V636" s="272">
        <f t="shared" si="383"/>
        <v>0</v>
      </c>
      <c r="W636" s="272">
        <f t="shared" si="383"/>
        <v>0</v>
      </c>
      <c r="X636" s="272">
        <f t="shared" si="383"/>
        <v>0</v>
      </c>
      <c r="Y636" s="272">
        <f t="shared" si="383"/>
        <v>0</v>
      </c>
      <c r="Z636" s="272">
        <f t="shared" si="383"/>
        <v>0</v>
      </c>
      <c r="AA636" s="272">
        <f t="shared" si="383"/>
        <v>0</v>
      </c>
      <c r="AB636" s="272">
        <f t="shared" si="383"/>
        <v>0</v>
      </c>
      <c r="AC636" s="272">
        <f t="shared" si="383"/>
        <v>0</v>
      </c>
      <c r="AD636" s="272">
        <f t="shared" si="383"/>
        <v>0</v>
      </c>
      <c r="AE636" s="272">
        <f t="shared" si="383"/>
        <v>0</v>
      </c>
      <c r="AF636" s="272">
        <f t="shared" si="383"/>
        <v>0</v>
      </c>
      <c r="AG636" s="272">
        <f t="shared" si="383"/>
        <v>0</v>
      </c>
      <c r="AH636" s="272">
        <f t="shared" si="383"/>
        <v>0</v>
      </c>
      <c r="AI636" s="272">
        <f t="shared" si="383"/>
        <v>0</v>
      </c>
      <c r="AJ636" s="272">
        <f t="shared" si="383"/>
        <v>0</v>
      </c>
      <c r="AK636" s="272">
        <f t="shared" si="383"/>
        <v>0</v>
      </c>
      <c r="AL636" s="272">
        <f t="shared" si="383"/>
        <v>0</v>
      </c>
      <c r="AM636" s="272">
        <f t="shared" si="383"/>
        <v>0</v>
      </c>
      <c r="AN636" s="272">
        <f t="shared" si="383"/>
        <v>0</v>
      </c>
      <c r="AO636" s="272">
        <f t="shared" si="383"/>
        <v>0</v>
      </c>
      <c r="AP636" s="272">
        <f t="shared" si="383"/>
        <v>0</v>
      </c>
    </row>
    <row r="637" spans="1:42" x14ac:dyDescent="0.2">
      <c r="A637" s="7">
        <f t="shared" si="378"/>
        <v>8</v>
      </c>
      <c r="B637" s="297">
        <f t="shared" si="375"/>
        <v>0</v>
      </c>
      <c r="C637" s="272">
        <f t="shared" ref="C637:AP637" si="384">IF(C$2&gt;analysis_period,0,IF(C$2=equip3_reserve_freq*$A637,equip3_reserve_cost*system_capacity*1000*(1+inflation_rate/100)^B$2,0))</f>
        <v>0</v>
      </c>
      <c r="D637" s="272">
        <f t="shared" si="384"/>
        <v>0</v>
      </c>
      <c r="E637" s="272">
        <f t="shared" si="384"/>
        <v>0</v>
      </c>
      <c r="F637" s="272">
        <f t="shared" si="384"/>
        <v>0</v>
      </c>
      <c r="G637" s="272">
        <f t="shared" si="384"/>
        <v>0</v>
      </c>
      <c r="H637" s="272">
        <f t="shared" si="384"/>
        <v>0</v>
      </c>
      <c r="I637" s="272">
        <f t="shared" si="384"/>
        <v>0</v>
      </c>
      <c r="J637" s="272">
        <f t="shared" si="384"/>
        <v>0</v>
      </c>
      <c r="K637" s="272">
        <f t="shared" si="384"/>
        <v>0</v>
      </c>
      <c r="L637" s="272">
        <f t="shared" si="384"/>
        <v>0</v>
      </c>
      <c r="M637" s="272">
        <f t="shared" si="384"/>
        <v>0</v>
      </c>
      <c r="N637" s="272">
        <f t="shared" si="384"/>
        <v>0</v>
      </c>
      <c r="O637" s="272">
        <f t="shared" si="384"/>
        <v>0</v>
      </c>
      <c r="P637" s="272">
        <f t="shared" si="384"/>
        <v>0</v>
      </c>
      <c r="Q637" s="272">
        <f t="shared" si="384"/>
        <v>0</v>
      </c>
      <c r="R637" s="272">
        <f t="shared" si="384"/>
        <v>0</v>
      </c>
      <c r="S637" s="272">
        <f t="shared" si="384"/>
        <v>0</v>
      </c>
      <c r="T637" s="272">
        <f t="shared" si="384"/>
        <v>0</v>
      </c>
      <c r="U637" s="272">
        <f t="shared" si="384"/>
        <v>0</v>
      </c>
      <c r="V637" s="272">
        <f t="shared" si="384"/>
        <v>0</v>
      </c>
      <c r="W637" s="272">
        <f t="shared" si="384"/>
        <v>0</v>
      </c>
      <c r="X637" s="272">
        <f t="shared" si="384"/>
        <v>0</v>
      </c>
      <c r="Y637" s="272">
        <f t="shared" si="384"/>
        <v>0</v>
      </c>
      <c r="Z637" s="272">
        <f t="shared" si="384"/>
        <v>0</v>
      </c>
      <c r="AA637" s="272">
        <f t="shared" si="384"/>
        <v>0</v>
      </c>
      <c r="AB637" s="272">
        <f t="shared" si="384"/>
        <v>0</v>
      </c>
      <c r="AC637" s="272">
        <f t="shared" si="384"/>
        <v>0</v>
      </c>
      <c r="AD637" s="272">
        <f t="shared" si="384"/>
        <v>0</v>
      </c>
      <c r="AE637" s="272">
        <f t="shared" si="384"/>
        <v>0</v>
      </c>
      <c r="AF637" s="272">
        <f t="shared" si="384"/>
        <v>0</v>
      </c>
      <c r="AG637" s="272">
        <f t="shared" si="384"/>
        <v>0</v>
      </c>
      <c r="AH637" s="272">
        <f t="shared" si="384"/>
        <v>0</v>
      </c>
      <c r="AI637" s="272">
        <f t="shared" si="384"/>
        <v>0</v>
      </c>
      <c r="AJ637" s="272">
        <f t="shared" si="384"/>
        <v>0</v>
      </c>
      <c r="AK637" s="272">
        <f t="shared" si="384"/>
        <v>0</v>
      </c>
      <c r="AL637" s="272">
        <f t="shared" si="384"/>
        <v>0</v>
      </c>
      <c r="AM637" s="272">
        <f t="shared" si="384"/>
        <v>0</v>
      </c>
      <c r="AN637" s="272">
        <f t="shared" si="384"/>
        <v>0</v>
      </c>
      <c r="AO637" s="272">
        <f t="shared" si="384"/>
        <v>0</v>
      </c>
      <c r="AP637" s="272">
        <f t="shared" si="384"/>
        <v>0</v>
      </c>
    </row>
    <row r="638" spans="1:42" x14ac:dyDescent="0.2">
      <c r="A638" s="7">
        <f>A637+1</f>
        <v>9</v>
      </c>
      <c r="B638" s="297">
        <f t="shared" si="375"/>
        <v>0</v>
      </c>
      <c r="C638" s="272">
        <f t="shared" ref="C638:AP638" si="385">IF(C$2&gt;analysis_period,0,IF(C$2=equip3_reserve_freq*$A638,equip3_reserve_cost*system_capacity*1000*(1+inflation_rate/100)^B$2,0))</f>
        <v>0</v>
      </c>
      <c r="D638" s="272">
        <f t="shared" si="385"/>
        <v>0</v>
      </c>
      <c r="E638" s="272">
        <f t="shared" si="385"/>
        <v>0</v>
      </c>
      <c r="F638" s="272">
        <f t="shared" si="385"/>
        <v>0</v>
      </c>
      <c r="G638" s="272">
        <f t="shared" si="385"/>
        <v>0</v>
      </c>
      <c r="H638" s="272">
        <f t="shared" si="385"/>
        <v>0</v>
      </c>
      <c r="I638" s="272">
        <f t="shared" si="385"/>
        <v>0</v>
      </c>
      <c r="J638" s="272">
        <f t="shared" si="385"/>
        <v>0</v>
      </c>
      <c r="K638" s="272">
        <f t="shared" si="385"/>
        <v>0</v>
      </c>
      <c r="L638" s="272">
        <f t="shared" si="385"/>
        <v>0</v>
      </c>
      <c r="M638" s="272">
        <f t="shared" si="385"/>
        <v>0</v>
      </c>
      <c r="N638" s="272">
        <f t="shared" si="385"/>
        <v>0</v>
      </c>
      <c r="O638" s="272">
        <f t="shared" si="385"/>
        <v>0</v>
      </c>
      <c r="P638" s="272">
        <f t="shared" si="385"/>
        <v>0</v>
      </c>
      <c r="Q638" s="272">
        <f t="shared" si="385"/>
        <v>0</v>
      </c>
      <c r="R638" s="272">
        <f t="shared" si="385"/>
        <v>0</v>
      </c>
      <c r="S638" s="272">
        <f t="shared" si="385"/>
        <v>0</v>
      </c>
      <c r="T638" s="272">
        <f t="shared" si="385"/>
        <v>0</v>
      </c>
      <c r="U638" s="272">
        <f t="shared" si="385"/>
        <v>0</v>
      </c>
      <c r="V638" s="272">
        <f t="shared" si="385"/>
        <v>0</v>
      </c>
      <c r="W638" s="272">
        <f t="shared" si="385"/>
        <v>0</v>
      </c>
      <c r="X638" s="272">
        <f t="shared" si="385"/>
        <v>0</v>
      </c>
      <c r="Y638" s="272">
        <f t="shared" si="385"/>
        <v>0</v>
      </c>
      <c r="Z638" s="272">
        <f t="shared" si="385"/>
        <v>0</v>
      </c>
      <c r="AA638" s="272">
        <f t="shared" si="385"/>
        <v>0</v>
      </c>
      <c r="AB638" s="272">
        <f t="shared" si="385"/>
        <v>0</v>
      </c>
      <c r="AC638" s="272">
        <f t="shared" si="385"/>
        <v>0</v>
      </c>
      <c r="AD638" s="272">
        <f t="shared" si="385"/>
        <v>0</v>
      </c>
      <c r="AE638" s="272">
        <f t="shared" si="385"/>
        <v>0</v>
      </c>
      <c r="AF638" s="272">
        <f t="shared" si="385"/>
        <v>0</v>
      </c>
      <c r="AG638" s="272">
        <f t="shared" si="385"/>
        <v>0</v>
      </c>
      <c r="AH638" s="272">
        <f t="shared" si="385"/>
        <v>0</v>
      </c>
      <c r="AI638" s="272">
        <f t="shared" si="385"/>
        <v>0</v>
      </c>
      <c r="AJ638" s="272">
        <f t="shared" si="385"/>
        <v>0</v>
      </c>
      <c r="AK638" s="272">
        <f t="shared" si="385"/>
        <v>0</v>
      </c>
      <c r="AL638" s="272">
        <f t="shared" si="385"/>
        <v>0</v>
      </c>
      <c r="AM638" s="272">
        <f t="shared" si="385"/>
        <v>0</v>
      </c>
      <c r="AN638" s="272">
        <f t="shared" si="385"/>
        <v>0</v>
      </c>
      <c r="AO638" s="272">
        <f t="shared" si="385"/>
        <v>0</v>
      </c>
      <c r="AP638" s="272">
        <f t="shared" si="385"/>
        <v>0</v>
      </c>
    </row>
    <row r="639" spans="1:42" x14ac:dyDescent="0.2">
      <c r="A639" s="7">
        <f t="shared" si="378"/>
        <v>10</v>
      </c>
      <c r="B639" s="297">
        <f t="shared" si="375"/>
        <v>0</v>
      </c>
      <c r="C639" s="272">
        <f t="shared" ref="C639:AP639" si="386">IF(C$2&gt;analysis_period,0,IF(C$2=equip3_reserve_freq*$A639,equip3_reserve_cost*system_capacity*1000*(1+inflation_rate/100)^B$2,0))</f>
        <v>0</v>
      </c>
      <c r="D639" s="272">
        <f t="shared" si="386"/>
        <v>0</v>
      </c>
      <c r="E639" s="272">
        <f t="shared" si="386"/>
        <v>0</v>
      </c>
      <c r="F639" s="272">
        <f t="shared" si="386"/>
        <v>0</v>
      </c>
      <c r="G639" s="272">
        <f t="shared" si="386"/>
        <v>0</v>
      </c>
      <c r="H639" s="272">
        <f t="shared" si="386"/>
        <v>0</v>
      </c>
      <c r="I639" s="272">
        <f t="shared" si="386"/>
        <v>0</v>
      </c>
      <c r="J639" s="272">
        <f t="shared" si="386"/>
        <v>0</v>
      </c>
      <c r="K639" s="272">
        <f t="shared" si="386"/>
        <v>0</v>
      </c>
      <c r="L639" s="272">
        <f t="shared" si="386"/>
        <v>0</v>
      </c>
      <c r="M639" s="272">
        <f t="shared" si="386"/>
        <v>0</v>
      </c>
      <c r="N639" s="272">
        <f t="shared" si="386"/>
        <v>0</v>
      </c>
      <c r="O639" s="272">
        <f t="shared" si="386"/>
        <v>0</v>
      </c>
      <c r="P639" s="272">
        <f t="shared" si="386"/>
        <v>0</v>
      </c>
      <c r="Q639" s="272">
        <f t="shared" si="386"/>
        <v>0</v>
      </c>
      <c r="R639" s="272">
        <f t="shared" si="386"/>
        <v>0</v>
      </c>
      <c r="S639" s="272">
        <f t="shared" si="386"/>
        <v>0</v>
      </c>
      <c r="T639" s="272">
        <f t="shared" si="386"/>
        <v>0</v>
      </c>
      <c r="U639" s="272">
        <f t="shared" si="386"/>
        <v>0</v>
      </c>
      <c r="V639" s="272">
        <f t="shared" si="386"/>
        <v>0</v>
      </c>
      <c r="W639" s="272">
        <f t="shared" si="386"/>
        <v>0</v>
      </c>
      <c r="X639" s="272">
        <f t="shared" si="386"/>
        <v>0</v>
      </c>
      <c r="Y639" s="272">
        <f t="shared" si="386"/>
        <v>0</v>
      </c>
      <c r="Z639" s="272">
        <f t="shared" si="386"/>
        <v>0</v>
      </c>
      <c r="AA639" s="272">
        <f t="shared" si="386"/>
        <v>0</v>
      </c>
      <c r="AB639" s="272">
        <f t="shared" si="386"/>
        <v>0</v>
      </c>
      <c r="AC639" s="272">
        <f t="shared" si="386"/>
        <v>0</v>
      </c>
      <c r="AD639" s="272">
        <f t="shared" si="386"/>
        <v>0</v>
      </c>
      <c r="AE639" s="272">
        <f t="shared" si="386"/>
        <v>0</v>
      </c>
      <c r="AF639" s="272">
        <f t="shared" si="386"/>
        <v>0</v>
      </c>
      <c r="AG639" s="272">
        <f t="shared" si="386"/>
        <v>0</v>
      </c>
      <c r="AH639" s="272">
        <f t="shared" si="386"/>
        <v>0</v>
      </c>
      <c r="AI639" s="272">
        <f t="shared" si="386"/>
        <v>0</v>
      </c>
      <c r="AJ639" s="272">
        <f t="shared" si="386"/>
        <v>0</v>
      </c>
      <c r="AK639" s="272">
        <f t="shared" si="386"/>
        <v>0</v>
      </c>
      <c r="AL639" s="272">
        <f t="shared" si="386"/>
        <v>0</v>
      </c>
      <c r="AM639" s="272">
        <f t="shared" si="386"/>
        <v>0</v>
      </c>
      <c r="AN639" s="272">
        <f t="shared" si="386"/>
        <v>0</v>
      </c>
      <c r="AO639" s="272">
        <f t="shared" si="386"/>
        <v>0</v>
      </c>
      <c r="AP639" s="272">
        <f t="shared" si="386"/>
        <v>0</v>
      </c>
    </row>
    <row r="640" spans="1:42" x14ac:dyDescent="0.2">
      <c r="A640" s="44" t="s">
        <v>18</v>
      </c>
      <c r="B640" s="34"/>
      <c r="C640" s="276">
        <f>SUM(C630:C639)</f>
        <v>0</v>
      </c>
      <c r="D640" s="276">
        <f t="shared" ref="D640:AP640" si="387">SUM(D630:D639)</f>
        <v>0</v>
      </c>
      <c r="E640" s="276">
        <f t="shared" si="387"/>
        <v>0</v>
      </c>
      <c r="F640" s="276">
        <f t="shared" si="387"/>
        <v>0</v>
      </c>
      <c r="G640" s="276">
        <f t="shared" si="387"/>
        <v>0</v>
      </c>
      <c r="H640" s="276">
        <f t="shared" si="387"/>
        <v>0</v>
      </c>
      <c r="I640" s="276">
        <f t="shared" si="387"/>
        <v>0</v>
      </c>
      <c r="J640" s="276">
        <f t="shared" si="387"/>
        <v>0</v>
      </c>
      <c r="K640" s="276">
        <f t="shared" si="387"/>
        <v>0</v>
      </c>
      <c r="L640" s="276">
        <f t="shared" si="387"/>
        <v>0</v>
      </c>
      <c r="M640" s="276">
        <f t="shared" si="387"/>
        <v>0</v>
      </c>
      <c r="N640" s="276">
        <f t="shared" si="387"/>
        <v>0</v>
      </c>
      <c r="O640" s="276">
        <f t="shared" si="387"/>
        <v>0</v>
      </c>
      <c r="P640" s="276">
        <f t="shared" si="387"/>
        <v>0</v>
      </c>
      <c r="Q640" s="276">
        <f t="shared" si="387"/>
        <v>0</v>
      </c>
      <c r="R640" s="276">
        <f t="shared" si="387"/>
        <v>0</v>
      </c>
      <c r="S640" s="276">
        <f t="shared" si="387"/>
        <v>0</v>
      </c>
      <c r="T640" s="276">
        <f t="shared" si="387"/>
        <v>0</v>
      </c>
      <c r="U640" s="276">
        <f t="shared" si="387"/>
        <v>0</v>
      </c>
      <c r="V640" s="276">
        <f t="shared" si="387"/>
        <v>0</v>
      </c>
      <c r="W640" s="276">
        <f t="shared" si="387"/>
        <v>0</v>
      </c>
      <c r="X640" s="276">
        <f t="shared" si="387"/>
        <v>0</v>
      </c>
      <c r="Y640" s="276">
        <f t="shared" si="387"/>
        <v>0</v>
      </c>
      <c r="Z640" s="276">
        <f t="shared" si="387"/>
        <v>0</v>
      </c>
      <c r="AA640" s="276">
        <f t="shared" si="387"/>
        <v>0</v>
      </c>
      <c r="AB640" s="276">
        <f t="shared" si="387"/>
        <v>0</v>
      </c>
      <c r="AC640" s="276">
        <f t="shared" si="387"/>
        <v>0</v>
      </c>
      <c r="AD640" s="276">
        <f t="shared" si="387"/>
        <v>0</v>
      </c>
      <c r="AE640" s="276">
        <f t="shared" si="387"/>
        <v>0</v>
      </c>
      <c r="AF640" s="276">
        <f t="shared" si="387"/>
        <v>0</v>
      </c>
      <c r="AG640" s="276">
        <f t="shared" si="387"/>
        <v>0</v>
      </c>
      <c r="AH640" s="276">
        <f t="shared" si="387"/>
        <v>0</v>
      </c>
      <c r="AI640" s="276">
        <f t="shared" si="387"/>
        <v>0</v>
      </c>
      <c r="AJ640" s="276">
        <f t="shared" si="387"/>
        <v>0</v>
      </c>
      <c r="AK640" s="276">
        <f t="shared" si="387"/>
        <v>0</v>
      </c>
      <c r="AL640" s="276">
        <f t="shared" si="387"/>
        <v>0</v>
      </c>
      <c r="AM640" s="276">
        <f t="shared" si="387"/>
        <v>0</v>
      </c>
      <c r="AN640" s="276">
        <f t="shared" si="387"/>
        <v>0</v>
      </c>
      <c r="AO640" s="276">
        <f t="shared" si="387"/>
        <v>0</v>
      </c>
      <c r="AP640" s="276">
        <f t="shared" si="387"/>
        <v>0</v>
      </c>
    </row>
    <row r="641" spans="1:42" s="168" customFormat="1" x14ac:dyDescent="0.2">
      <c r="A641" s="7" t="s">
        <v>102</v>
      </c>
      <c r="G641" s="262"/>
      <c r="H641" s="262"/>
      <c r="I641" s="262"/>
      <c r="J641" s="262"/>
      <c r="K641" s="262"/>
      <c r="L641" s="262"/>
      <c r="M641" s="262"/>
      <c r="N641" s="262"/>
      <c r="O641" s="262"/>
      <c r="P641" s="262"/>
      <c r="Q641" s="262"/>
      <c r="R641" s="262"/>
      <c r="S641" s="262"/>
      <c r="T641" s="262"/>
      <c r="U641" s="262"/>
      <c r="V641" s="262"/>
      <c r="W641" s="262"/>
      <c r="X641" s="262"/>
      <c r="Y641" s="262"/>
      <c r="Z641" s="262"/>
      <c r="AA641" s="262"/>
      <c r="AB641" s="262"/>
      <c r="AC641" s="262"/>
      <c r="AD641" s="262"/>
      <c r="AE641" s="262"/>
      <c r="AF641" s="262"/>
      <c r="AG641" s="262"/>
      <c r="AH641" s="262"/>
      <c r="AI641" s="262"/>
      <c r="AJ641" s="262"/>
      <c r="AK641" s="262"/>
      <c r="AL641" s="262"/>
      <c r="AM641" s="262"/>
      <c r="AN641" s="262"/>
      <c r="AO641" s="262"/>
      <c r="AP641" s="262"/>
    </row>
    <row r="642" spans="1:42" x14ac:dyDescent="0.2">
      <c r="A642" s="7">
        <v>1</v>
      </c>
      <c r="B642" s="297">
        <f t="shared" ref="B642:B651" si="388">SUM(C642:AP642)</f>
        <v>0</v>
      </c>
      <c r="C642" s="272">
        <f t="shared" ref="C642:AP642" si="389">IF(C$2&lt;=equip3_reserve_freq*$A$630,$B$630/(equip3_reserve_freq),0)</f>
        <v>0</v>
      </c>
      <c r="D642" s="272">
        <f t="shared" si="389"/>
        <v>0</v>
      </c>
      <c r="E642" s="272">
        <f t="shared" si="389"/>
        <v>0</v>
      </c>
      <c r="F642" s="272">
        <f t="shared" si="389"/>
        <v>0</v>
      </c>
      <c r="G642" s="272">
        <f t="shared" si="389"/>
        <v>0</v>
      </c>
      <c r="H642" s="272">
        <f t="shared" si="389"/>
        <v>0</v>
      </c>
      <c r="I642" s="272">
        <f t="shared" si="389"/>
        <v>0</v>
      </c>
      <c r="J642" s="272">
        <f t="shared" si="389"/>
        <v>0</v>
      </c>
      <c r="K642" s="272">
        <f t="shared" si="389"/>
        <v>0</v>
      </c>
      <c r="L642" s="272">
        <f t="shared" si="389"/>
        <v>0</v>
      </c>
      <c r="M642" s="272">
        <f t="shared" si="389"/>
        <v>0</v>
      </c>
      <c r="N642" s="272">
        <f t="shared" si="389"/>
        <v>0</v>
      </c>
      <c r="O642" s="272">
        <f t="shared" si="389"/>
        <v>0</v>
      </c>
      <c r="P642" s="272">
        <f t="shared" si="389"/>
        <v>0</v>
      </c>
      <c r="Q642" s="272">
        <f t="shared" si="389"/>
        <v>0</v>
      </c>
      <c r="R642" s="272">
        <f t="shared" si="389"/>
        <v>0</v>
      </c>
      <c r="S642" s="272">
        <f t="shared" si="389"/>
        <v>0</v>
      </c>
      <c r="T642" s="272">
        <f t="shared" si="389"/>
        <v>0</v>
      </c>
      <c r="U642" s="272">
        <f t="shared" si="389"/>
        <v>0</v>
      </c>
      <c r="V642" s="272">
        <f t="shared" si="389"/>
        <v>0</v>
      </c>
      <c r="W642" s="272">
        <f t="shared" si="389"/>
        <v>0</v>
      </c>
      <c r="X642" s="272">
        <f t="shared" si="389"/>
        <v>0</v>
      </c>
      <c r="Y642" s="272">
        <f t="shared" si="389"/>
        <v>0</v>
      </c>
      <c r="Z642" s="272">
        <f t="shared" si="389"/>
        <v>0</v>
      </c>
      <c r="AA642" s="272">
        <f t="shared" si="389"/>
        <v>0</v>
      </c>
      <c r="AB642" s="272">
        <f t="shared" si="389"/>
        <v>0</v>
      </c>
      <c r="AC642" s="272">
        <f t="shared" si="389"/>
        <v>0</v>
      </c>
      <c r="AD642" s="272">
        <f t="shared" si="389"/>
        <v>0</v>
      </c>
      <c r="AE642" s="272">
        <f t="shared" si="389"/>
        <v>0</v>
      </c>
      <c r="AF642" s="272">
        <f t="shared" si="389"/>
        <v>0</v>
      </c>
      <c r="AG642" s="272">
        <f t="shared" si="389"/>
        <v>0</v>
      </c>
      <c r="AH642" s="272">
        <f t="shared" si="389"/>
        <v>0</v>
      </c>
      <c r="AI642" s="272">
        <f t="shared" si="389"/>
        <v>0</v>
      </c>
      <c r="AJ642" s="272">
        <f t="shared" si="389"/>
        <v>0</v>
      </c>
      <c r="AK642" s="272">
        <f t="shared" si="389"/>
        <v>0</v>
      </c>
      <c r="AL642" s="272">
        <f t="shared" si="389"/>
        <v>0</v>
      </c>
      <c r="AM642" s="272">
        <f t="shared" si="389"/>
        <v>0</v>
      </c>
      <c r="AN642" s="272">
        <f t="shared" si="389"/>
        <v>0</v>
      </c>
      <c r="AO642" s="272">
        <f t="shared" si="389"/>
        <v>0</v>
      </c>
      <c r="AP642" s="272">
        <f t="shared" si="389"/>
        <v>0</v>
      </c>
    </row>
    <row r="643" spans="1:42" x14ac:dyDescent="0.2">
      <c r="A643" s="7">
        <f>A642+1</f>
        <v>2</v>
      </c>
      <c r="B643" s="297">
        <f t="shared" si="388"/>
        <v>0</v>
      </c>
      <c r="C643" s="272">
        <f t="shared" ref="C643:AP643" si="390">IF(AND(C$2&gt;equip3_reserve_freq*$A630,C$2&lt;=equip3_reserve_freq*$A631),$B631/(equip3_reserve_freq),0)</f>
        <v>0</v>
      </c>
      <c r="D643" s="272">
        <f t="shared" si="390"/>
        <v>0</v>
      </c>
      <c r="E643" s="272">
        <f t="shared" si="390"/>
        <v>0</v>
      </c>
      <c r="F643" s="272">
        <f t="shared" si="390"/>
        <v>0</v>
      </c>
      <c r="G643" s="272">
        <f t="shared" si="390"/>
        <v>0</v>
      </c>
      <c r="H643" s="272">
        <f t="shared" si="390"/>
        <v>0</v>
      </c>
      <c r="I643" s="272">
        <f t="shared" si="390"/>
        <v>0</v>
      </c>
      <c r="J643" s="272">
        <f t="shared" si="390"/>
        <v>0</v>
      </c>
      <c r="K643" s="272">
        <f t="shared" si="390"/>
        <v>0</v>
      </c>
      <c r="L643" s="272">
        <f t="shared" si="390"/>
        <v>0</v>
      </c>
      <c r="M643" s="272">
        <f t="shared" si="390"/>
        <v>0</v>
      </c>
      <c r="N643" s="272">
        <f t="shared" si="390"/>
        <v>0</v>
      </c>
      <c r="O643" s="272">
        <f t="shared" si="390"/>
        <v>0</v>
      </c>
      <c r="P643" s="272">
        <f t="shared" si="390"/>
        <v>0</v>
      </c>
      <c r="Q643" s="272">
        <f t="shared" si="390"/>
        <v>0</v>
      </c>
      <c r="R643" s="272">
        <f t="shared" si="390"/>
        <v>0</v>
      </c>
      <c r="S643" s="272">
        <f t="shared" si="390"/>
        <v>0</v>
      </c>
      <c r="T643" s="272">
        <f t="shared" si="390"/>
        <v>0</v>
      </c>
      <c r="U643" s="272">
        <f t="shared" si="390"/>
        <v>0</v>
      </c>
      <c r="V643" s="272">
        <f t="shared" si="390"/>
        <v>0</v>
      </c>
      <c r="W643" s="272">
        <f t="shared" si="390"/>
        <v>0</v>
      </c>
      <c r="X643" s="272">
        <f t="shared" si="390"/>
        <v>0</v>
      </c>
      <c r="Y643" s="272">
        <f t="shared" si="390"/>
        <v>0</v>
      </c>
      <c r="Z643" s="272">
        <f t="shared" si="390"/>
        <v>0</v>
      </c>
      <c r="AA643" s="272">
        <f t="shared" si="390"/>
        <v>0</v>
      </c>
      <c r="AB643" s="272">
        <f t="shared" si="390"/>
        <v>0</v>
      </c>
      <c r="AC643" s="272">
        <f t="shared" si="390"/>
        <v>0</v>
      </c>
      <c r="AD643" s="272">
        <f t="shared" si="390"/>
        <v>0</v>
      </c>
      <c r="AE643" s="272">
        <f t="shared" si="390"/>
        <v>0</v>
      </c>
      <c r="AF643" s="272">
        <f t="shared" si="390"/>
        <v>0</v>
      </c>
      <c r="AG643" s="272">
        <f t="shared" si="390"/>
        <v>0</v>
      </c>
      <c r="AH643" s="272">
        <f t="shared" si="390"/>
        <v>0</v>
      </c>
      <c r="AI643" s="272">
        <f t="shared" si="390"/>
        <v>0</v>
      </c>
      <c r="AJ643" s="272">
        <f t="shared" si="390"/>
        <v>0</v>
      </c>
      <c r="AK643" s="272">
        <f t="shared" si="390"/>
        <v>0</v>
      </c>
      <c r="AL643" s="272">
        <f t="shared" si="390"/>
        <v>0</v>
      </c>
      <c r="AM643" s="272">
        <f t="shared" si="390"/>
        <v>0</v>
      </c>
      <c r="AN643" s="272">
        <f t="shared" si="390"/>
        <v>0</v>
      </c>
      <c r="AO643" s="272">
        <f t="shared" si="390"/>
        <v>0</v>
      </c>
      <c r="AP643" s="272">
        <f t="shared" si="390"/>
        <v>0</v>
      </c>
    </row>
    <row r="644" spans="1:42" x14ac:dyDescent="0.2">
      <c r="A644" s="7">
        <f t="shared" ref="A644:A649" si="391">A643+1</f>
        <v>3</v>
      </c>
      <c r="B644" s="297">
        <f t="shared" si="388"/>
        <v>0</v>
      </c>
      <c r="C644" s="272">
        <f t="shared" ref="C644:AP644" si="392">IF(AND(C$2&gt;equip3_reserve_freq*$A631,C$2&lt;=equip3_reserve_freq*$A632),$B632/(equip3_reserve_freq),0)</f>
        <v>0</v>
      </c>
      <c r="D644" s="272">
        <f t="shared" si="392"/>
        <v>0</v>
      </c>
      <c r="E644" s="272">
        <f t="shared" si="392"/>
        <v>0</v>
      </c>
      <c r="F644" s="272">
        <f t="shared" si="392"/>
        <v>0</v>
      </c>
      <c r="G644" s="272">
        <f t="shared" si="392"/>
        <v>0</v>
      </c>
      <c r="H644" s="272">
        <f t="shared" si="392"/>
        <v>0</v>
      </c>
      <c r="I644" s="272">
        <f t="shared" si="392"/>
        <v>0</v>
      </c>
      <c r="J644" s="272">
        <f t="shared" si="392"/>
        <v>0</v>
      </c>
      <c r="K644" s="272">
        <f t="shared" si="392"/>
        <v>0</v>
      </c>
      <c r="L644" s="272">
        <f t="shared" si="392"/>
        <v>0</v>
      </c>
      <c r="M644" s="272">
        <f t="shared" si="392"/>
        <v>0</v>
      </c>
      <c r="N644" s="272">
        <f t="shared" si="392"/>
        <v>0</v>
      </c>
      <c r="O644" s="272">
        <f t="shared" si="392"/>
        <v>0</v>
      </c>
      <c r="P644" s="272">
        <f t="shared" si="392"/>
        <v>0</v>
      </c>
      <c r="Q644" s="272">
        <f t="shared" si="392"/>
        <v>0</v>
      </c>
      <c r="R644" s="272">
        <f t="shared" si="392"/>
        <v>0</v>
      </c>
      <c r="S644" s="272">
        <f t="shared" si="392"/>
        <v>0</v>
      </c>
      <c r="T644" s="272">
        <f t="shared" si="392"/>
        <v>0</v>
      </c>
      <c r="U644" s="272">
        <f t="shared" si="392"/>
        <v>0</v>
      </c>
      <c r="V644" s="272">
        <f t="shared" si="392"/>
        <v>0</v>
      </c>
      <c r="W644" s="272">
        <f t="shared" si="392"/>
        <v>0</v>
      </c>
      <c r="X644" s="272">
        <f t="shared" si="392"/>
        <v>0</v>
      </c>
      <c r="Y644" s="272">
        <f t="shared" si="392"/>
        <v>0</v>
      </c>
      <c r="Z644" s="272">
        <f t="shared" si="392"/>
        <v>0</v>
      </c>
      <c r="AA644" s="272">
        <f t="shared" si="392"/>
        <v>0</v>
      </c>
      <c r="AB644" s="272">
        <f t="shared" si="392"/>
        <v>0</v>
      </c>
      <c r="AC644" s="272">
        <f t="shared" si="392"/>
        <v>0</v>
      </c>
      <c r="AD644" s="272">
        <f t="shared" si="392"/>
        <v>0</v>
      </c>
      <c r="AE644" s="272">
        <f t="shared" si="392"/>
        <v>0</v>
      </c>
      <c r="AF644" s="272">
        <f t="shared" si="392"/>
        <v>0</v>
      </c>
      <c r="AG644" s="272">
        <f t="shared" si="392"/>
        <v>0</v>
      </c>
      <c r="AH644" s="272">
        <f t="shared" si="392"/>
        <v>0</v>
      </c>
      <c r="AI644" s="272">
        <f t="shared" si="392"/>
        <v>0</v>
      </c>
      <c r="AJ644" s="272">
        <f t="shared" si="392"/>
        <v>0</v>
      </c>
      <c r="AK644" s="272">
        <f t="shared" si="392"/>
        <v>0</v>
      </c>
      <c r="AL644" s="272">
        <f t="shared" si="392"/>
        <v>0</v>
      </c>
      <c r="AM644" s="272">
        <f t="shared" si="392"/>
        <v>0</v>
      </c>
      <c r="AN644" s="272">
        <f t="shared" si="392"/>
        <v>0</v>
      </c>
      <c r="AO644" s="272">
        <f t="shared" si="392"/>
        <v>0</v>
      </c>
      <c r="AP644" s="272">
        <f t="shared" si="392"/>
        <v>0</v>
      </c>
    </row>
    <row r="645" spans="1:42" x14ac:dyDescent="0.2">
      <c r="A645" s="7">
        <f t="shared" si="391"/>
        <v>4</v>
      </c>
      <c r="B645" s="297">
        <f t="shared" si="388"/>
        <v>0</v>
      </c>
      <c r="C645" s="272">
        <f t="shared" ref="C645:AP645" si="393">IF(AND(C$2&gt;equip3_reserve_freq*$A632,C$2&lt;=equip3_reserve_freq*$A633),$B633/(equip3_reserve_freq),0)</f>
        <v>0</v>
      </c>
      <c r="D645" s="272">
        <f t="shared" si="393"/>
        <v>0</v>
      </c>
      <c r="E645" s="272">
        <f t="shared" si="393"/>
        <v>0</v>
      </c>
      <c r="F645" s="272">
        <f t="shared" si="393"/>
        <v>0</v>
      </c>
      <c r="G645" s="272">
        <f t="shared" si="393"/>
        <v>0</v>
      </c>
      <c r="H645" s="272">
        <f t="shared" si="393"/>
        <v>0</v>
      </c>
      <c r="I645" s="272">
        <f t="shared" si="393"/>
        <v>0</v>
      </c>
      <c r="J645" s="272">
        <f t="shared" si="393"/>
        <v>0</v>
      </c>
      <c r="K645" s="272">
        <f t="shared" si="393"/>
        <v>0</v>
      </c>
      <c r="L645" s="272">
        <f t="shared" si="393"/>
        <v>0</v>
      </c>
      <c r="M645" s="272">
        <f t="shared" si="393"/>
        <v>0</v>
      </c>
      <c r="N645" s="272">
        <f t="shared" si="393"/>
        <v>0</v>
      </c>
      <c r="O645" s="272">
        <f t="shared" si="393"/>
        <v>0</v>
      </c>
      <c r="P645" s="272">
        <f t="shared" si="393"/>
        <v>0</v>
      </c>
      <c r="Q645" s="272">
        <f t="shared" si="393"/>
        <v>0</v>
      </c>
      <c r="R645" s="272">
        <f t="shared" si="393"/>
        <v>0</v>
      </c>
      <c r="S645" s="272">
        <f t="shared" si="393"/>
        <v>0</v>
      </c>
      <c r="T645" s="272">
        <f t="shared" si="393"/>
        <v>0</v>
      </c>
      <c r="U645" s="272">
        <f t="shared" si="393"/>
        <v>0</v>
      </c>
      <c r="V645" s="272">
        <f t="shared" si="393"/>
        <v>0</v>
      </c>
      <c r="W645" s="272">
        <f t="shared" si="393"/>
        <v>0</v>
      </c>
      <c r="X645" s="272">
        <f t="shared" si="393"/>
        <v>0</v>
      </c>
      <c r="Y645" s="272">
        <f t="shared" si="393"/>
        <v>0</v>
      </c>
      <c r="Z645" s="272">
        <f t="shared" si="393"/>
        <v>0</v>
      </c>
      <c r="AA645" s="272">
        <f t="shared" si="393"/>
        <v>0</v>
      </c>
      <c r="AB645" s="272">
        <f t="shared" si="393"/>
        <v>0</v>
      </c>
      <c r="AC645" s="272">
        <f t="shared" si="393"/>
        <v>0</v>
      </c>
      <c r="AD645" s="272">
        <f t="shared" si="393"/>
        <v>0</v>
      </c>
      <c r="AE645" s="272">
        <f t="shared" si="393"/>
        <v>0</v>
      </c>
      <c r="AF645" s="272">
        <f t="shared" si="393"/>
        <v>0</v>
      </c>
      <c r="AG645" s="272">
        <f t="shared" si="393"/>
        <v>0</v>
      </c>
      <c r="AH645" s="272">
        <f t="shared" si="393"/>
        <v>0</v>
      </c>
      <c r="AI645" s="272">
        <f t="shared" si="393"/>
        <v>0</v>
      </c>
      <c r="AJ645" s="272">
        <f t="shared" si="393"/>
        <v>0</v>
      </c>
      <c r="AK645" s="272">
        <f t="shared" si="393"/>
        <v>0</v>
      </c>
      <c r="AL645" s="272">
        <f t="shared" si="393"/>
        <v>0</v>
      </c>
      <c r="AM645" s="272">
        <f t="shared" si="393"/>
        <v>0</v>
      </c>
      <c r="AN645" s="272">
        <f t="shared" si="393"/>
        <v>0</v>
      </c>
      <c r="AO645" s="272">
        <f t="shared" si="393"/>
        <v>0</v>
      </c>
      <c r="AP645" s="272">
        <f t="shared" si="393"/>
        <v>0</v>
      </c>
    </row>
    <row r="646" spans="1:42" x14ac:dyDescent="0.2">
      <c r="A646" s="7">
        <f t="shared" si="391"/>
        <v>5</v>
      </c>
      <c r="B646" s="297">
        <f t="shared" si="388"/>
        <v>0</v>
      </c>
      <c r="C646" s="272">
        <f t="shared" ref="C646:AP646" si="394">IF(AND(C$2&gt;equip3_reserve_freq*$A633,C$2&lt;=equip3_reserve_freq*$A634),$B634/(equip3_reserve_freq),0)</f>
        <v>0</v>
      </c>
      <c r="D646" s="272">
        <f t="shared" si="394"/>
        <v>0</v>
      </c>
      <c r="E646" s="272">
        <f t="shared" si="394"/>
        <v>0</v>
      </c>
      <c r="F646" s="272">
        <f t="shared" si="394"/>
        <v>0</v>
      </c>
      <c r="G646" s="272">
        <f t="shared" si="394"/>
        <v>0</v>
      </c>
      <c r="H646" s="272">
        <f t="shared" si="394"/>
        <v>0</v>
      </c>
      <c r="I646" s="272">
        <f t="shared" si="394"/>
        <v>0</v>
      </c>
      <c r="J646" s="272">
        <f t="shared" si="394"/>
        <v>0</v>
      </c>
      <c r="K646" s="272">
        <f t="shared" si="394"/>
        <v>0</v>
      </c>
      <c r="L646" s="272">
        <f t="shared" si="394"/>
        <v>0</v>
      </c>
      <c r="M646" s="272">
        <f t="shared" si="394"/>
        <v>0</v>
      </c>
      <c r="N646" s="272">
        <f t="shared" si="394"/>
        <v>0</v>
      </c>
      <c r="O646" s="272">
        <f t="shared" si="394"/>
        <v>0</v>
      </c>
      <c r="P646" s="272">
        <f t="shared" si="394"/>
        <v>0</v>
      </c>
      <c r="Q646" s="272">
        <f t="shared" si="394"/>
        <v>0</v>
      </c>
      <c r="R646" s="272">
        <f t="shared" si="394"/>
        <v>0</v>
      </c>
      <c r="S646" s="272">
        <f t="shared" si="394"/>
        <v>0</v>
      </c>
      <c r="T646" s="272">
        <f t="shared" si="394"/>
        <v>0</v>
      </c>
      <c r="U646" s="272">
        <f t="shared" si="394"/>
        <v>0</v>
      </c>
      <c r="V646" s="272">
        <f t="shared" si="394"/>
        <v>0</v>
      </c>
      <c r="W646" s="272">
        <f t="shared" si="394"/>
        <v>0</v>
      </c>
      <c r="X646" s="272">
        <f t="shared" si="394"/>
        <v>0</v>
      </c>
      <c r="Y646" s="272">
        <f t="shared" si="394"/>
        <v>0</v>
      </c>
      <c r="Z646" s="272">
        <f t="shared" si="394"/>
        <v>0</v>
      </c>
      <c r="AA646" s="272">
        <f t="shared" si="394"/>
        <v>0</v>
      </c>
      <c r="AB646" s="272">
        <f t="shared" si="394"/>
        <v>0</v>
      </c>
      <c r="AC646" s="272">
        <f t="shared" si="394"/>
        <v>0</v>
      </c>
      <c r="AD646" s="272">
        <f t="shared" si="394"/>
        <v>0</v>
      </c>
      <c r="AE646" s="272">
        <f t="shared" si="394"/>
        <v>0</v>
      </c>
      <c r="AF646" s="272">
        <f t="shared" si="394"/>
        <v>0</v>
      </c>
      <c r="AG646" s="272">
        <f t="shared" si="394"/>
        <v>0</v>
      </c>
      <c r="AH646" s="272">
        <f t="shared" si="394"/>
        <v>0</v>
      </c>
      <c r="AI646" s="272">
        <f t="shared" si="394"/>
        <v>0</v>
      </c>
      <c r="AJ646" s="272">
        <f t="shared" si="394"/>
        <v>0</v>
      </c>
      <c r="AK646" s="272">
        <f t="shared" si="394"/>
        <v>0</v>
      </c>
      <c r="AL646" s="272">
        <f t="shared" si="394"/>
        <v>0</v>
      </c>
      <c r="AM646" s="272">
        <f t="shared" si="394"/>
        <v>0</v>
      </c>
      <c r="AN646" s="272">
        <f t="shared" si="394"/>
        <v>0</v>
      </c>
      <c r="AO646" s="272">
        <f t="shared" si="394"/>
        <v>0</v>
      </c>
      <c r="AP646" s="272">
        <f t="shared" si="394"/>
        <v>0</v>
      </c>
    </row>
    <row r="647" spans="1:42" x14ac:dyDescent="0.2">
      <c r="A647" s="7">
        <f t="shared" si="391"/>
        <v>6</v>
      </c>
      <c r="B647" s="297">
        <f t="shared" si="388"/>
        <v>0</v>
      </c>
      <c r="C647" s="272">
        <f t="shared" ref="C647:AP647" si="395">IF(AND(C$2&gt;equip3_reserve_freq*$A634,C$2&lt;=equip3_reserve_freq*$A635),$B635/(equip3_reserve_freq),0)</f>
        <v>0</v>
      </c>
      <c r="D647" s="272">
        <f t="shared" si="395"/>
        <v>0</v>
      </c>
      <c r="E647" s="272">
        <f t="shared" si="395"/>
        <v>0</v>
      </c>
      <c r="F647" s="272">
        <f t="shared" si="395"/>
        <v>0</v>
      </c>
      <c r="G647" s="272">
        <f t="shared" si="395"/>
        <v>0</v>
      </c>
      <c r="H647" s="272">
        <f t="shared" si="395"/>
        <v>0</v>
      </c>
      <c r="I647" s="272">
        <f t="shared" si="395"/>
        <v>0</v>
      </c>
      <c r="J647" s="272">
        <f t="shared" si="395"/>
        <v>0</v>
      </c>
      <c r="K647" s="272">
        <f t="shared" si="395"/>
        <v>0</v>
      </c>
      <c r="L647" s="272">
        <f t="shared" si="395"/>
        <v>0</v>
      </c>
      <c r="M647" s="272">
        <f t="shared" si="395"/>
        <v>0</v>
      </c>
      <c r="N647" s="272">
        <f t="shared" si="395"/>
        <v>0</v>
      </c>
      <c r="O647" s="272">
        <f t="shared" si="395"/>
        <v>0</v>
      </c>
      <c r="P647" s="272">
        <f t="shared" si="395"/>
        <v>0</v>
      </c>
      <c r="Q647" s="272">
        <f t="shared" si="395"/>
        <v>0</v>
      </c>
      <c r="R647" s="272">
        <f t="shared" si="395"/>
        <v>0</v>
      </c>
      <c r="S647" s="272">
        <f t="shared" si="395"/>
        <v>0</v>
      </c>
      <c r="T647" s="272">
        <f t="shared" si="395"/>
        <v>0</v>
      </c>
      <c r="U647" s="272">
        <f t="shared" si="395"/>
        <v>0</v>
      </c>
      <c r="V647" s="272">
        <f t="shared" si="395"/>
        <v>0</v>
      </c>
      <c r="W647" s="272">
        <f t="shared" si="395"/>
        <v>0</v>
      </c>
      <c r="X647" s="272">
        <f t="shared" si="395"/>
        <v>0</v>
      </c>
      <c r="Y647" s="272">
        <f t="shared" si="395"/>
        <v>0</v>
      </c>
      <c r="Z647" s="272">
        <f t="shared" si="395"/>
        <v>0</v>
      </c>
      <c r="AA647" s="272">
        <f t="shared" si="395"/>
        <v>0</v>
      </c>
      <c r="AB647" s="272">
        <f t="shared" si="395"/>
        <v>0</v>
      </c>
      <c r="AC647" s="272">
        <f t="shared" si="395"/>
        <v>0</v>
      </c>
      <c r="AD647" s="272">
        <f t="shared" si="395"/>
        <v>0</v>
      </c>
      <c r="AE647" s="272">
        <f t="shared" si="395"/>
        <v>0</v>
      </c>
      <c r="AF647" s="272">
        <f t="shared" si="395"/>
        <v>0</v>
      </c>
      <c r="AG647" s="272">
        <f t="shared" si="395"/>
        <v>0</v>
      </c>
      <c r="AH647" s="272">
        <f t="shared" si="395"/>
        <v>0</v>
      </c>
      <c r="AI647" s="272">
        <f t="shared" si="395"/>
        <v>0</v>
      </c>
      <c r="AJ647" s="272">
        <f t="shared" si="395"/>
        <v>0</v>
      </c>
      <c r="AK647" s="272">
        <f t="shared" si="395"/>
        <v>0</v>
      </c>
      <c r="AL647" s="272">
        <f t="shared" si="395"/>
        <v>0</v>
      </c>
      <c r="AM647" s="272">
        <f t="shared" si="395"/>
        <v>0</v>
      </c>
      <c r="AN647" s="272">
        <f t="shared" si="395"/>
        <v>0</v>
      </c>
      <c r="AO647" s="272">
        <f t="shared" si="395"/>
        <v>0</v>
      </c>
      <c r="AP647" s="272">
        <f t="shared" si="395"/>
        <v>0</v>
      </c>
    </row>
    <row r="648" spans="1:42" x14ac:dyDescent="0.2">
      <c r="A648" s="7">
        <f t="shared" si="391"/>
        <v>7</v>
      </c>
      <c r="B648" s="297">
        <f t="shared" si="388"/>
        <v>0</v>
      </c>
      <c r="C648" s="272">
        <f t="shared" ref="C648:AP648" si="396">IF(AND(C$2&gt;equip3_reserve_freq*$A635,C$2&lt;=equip3_reserve_freq*$A636),$B636/(equip3_reserve_freq),0)</f>
        <v>0</v>
      </c>
      <c r="D648" s="272">
        <f t="shared" si="396"/>
        <v>0</v>
      </c>
      <c r="E648" s="272">
        <f t="shared" si="396"/>
        <v>0</v>
      </c>
      <c r="F648" s="272">
        <f t="shared" si="396"/>
        <v>0</v>
      </c>
      <c r="G648" s="272">
        <f t="shared" si="396"/>
        <v>0</v>
      </c>
      <c r="H648" s="272">
        <f t="shared" si="396"/>
        <v>0</v>
      </c>
      <c r="I648" s="272">
        <f t="shared" si="396"/>
        <v>0</v>
      </c>
      <c r="J648" s="272">
        <f t="shared" si="396"/>
        <v>0</v>
      </c>
      <c r="K648" s="272">
        <f t="shared" si="396"/>
        <v>0</v>
      </c>
      <c r="L648" s="272">
        <f t="shared" si="396"/>
        <v>0</v>
      </c>
      <c r="M648" s="272">
        <f t="shared" si="396"/>
        <v>0</v>
      </c>
      <c r="N648" s="272">
        <f t="shared" si="396"/>
        <v>0</v>
      </c>
      <c r="O648" s="272">
        <f t="shared" si="396"/>
        <v>0</v>
      </c>
      <c r="P648" s="272">
        <f t="shared" si="396"/>
        <v>0</v>
      </c>
      <c r="Q648" s="272">
        <f t="shared" si="396"/>
        <v>0</v>
      </c>
      <c r="R648" s="272">
        <f t="shared" si="396"/>
        <v>0</v>
      </c>
      <c r="S648" s="272">
        <f t="shared" si="396"/>
        <v>0</v>
      </c>
      <c r="T648" s="272">
        <f t="shared" si="396"/>
        <v>0</v>
      </c>
      <c r="U648" s="272">
        <f t="shared" si="396"/>
        <v>0</v>
      </c>
      <c r="V648" s="272">
        <f t="shared" si="396"/>
        <v>0</v>
      </c>
      <c r="W648" s="272">
        <f t="shared" si="396"/>
        <v>0</v>
      </c>
      <c r="X648" s="272">
        <f t="shared" si="396"/>
        <v>0</v>
      </c>
      <c r="Y648" s="272">
        <f t="shared" si="396"/>
        <v>0</v>
      </c>
      <c r="Z648" s="272">
        <f t="shared" si="396"/>
        <v>0</v>
      </c>
      <c r="AA648" s="272">
        <f t="shared" si="396"/>
        <v>0</v>
      </c>
      <c r="AB648" s="272">
        <f t="shared" si="396"/>
        <v>0</v>
      </c>
      <c r="AC648" s="272">
        <f t="shared" si="396"/>
        <v>0</v>
      </c>
      <c r="AD648" s="272">
        <f t="shared" si="396"/>
        <v>0</v>
      </c>
      <c r="AE648" s="272">
        <f t="shared" si="396"/>
        <v>0</v>
      </c>
      <c r="AF648" s="272">
        <f t="shared" si="396"/>
        <v>0</v>
      </c>
      <c r="AG648" s="272">
        <f t="shared" si="396"/>
        <v>0</v>
      </c>
      <c r="AH648" s="272">
        <f t="shared" si="396"/>
        <v>0</v>
      </c>
      <c r="AI648" s="272">
        <f t="shared" si="396"/>
        <v>0</v>
      </c>
      <c r="AJ648" s="272">
        <f t="shared" si="396"/>
        <v>0</v>
      </c>
      <c r="AK648" s="272">
        <f t="shared" si="396"/>
        <v>0</v>
      </c>
      <c r="AL648" s="272">
        <f t="shared" si="396"/>
        <v>0</v>
      </c>
      <c r="AM648" s="272">
        <f t="shared" si="396"/>
        <v>0</v>
      </c>
      <c r="AN648" s="272">
        <f t="shared" si="396"/>
        <v>0</v>
      </c>
      <c r="AO648" s="272">
        <f t="shared" si="396"/>
        <v>0</v>
      </c>
      <c r="AP648" s="272">
        <f t="shared" si="396"/>
        <v>0</v>
      </c>
    </row>
    <row r="649" spans="1:42" x14ac:dyDescent="0.2">
      <c r="A649" s="7">
        <f t="shared" si="391"/>
        <v>8</v>
      </c>
      <c r="B649" s="297">
        <f t="shared" si="388"/>
        <v>0</v>
      </c>
      <c r="C649" s="272">
        <f t="shared" ref="C649:AP649" si="397">IF(AND(C$2&gt;equip3_reserve_freq*$A636,C$2&lt;=equip3_reserve_freq*$A637),$B637/(equip3_reserve_freq),0)</f>
        <v>0</v>
      </c>
      <c r="D649" s="272">
        <f t="shared" si="397"/>
        <v>0</v>
      </c>
      <c r="E649" s="272">
        <f t="shared" si="397"/>
        <v>0</v>
      </c>
      <c r="F649" s="272">
        <f t="shared" si="397"/>
        <v>0</v>
      </c>
      <c r="G649" s="272">
        <f t="shared" si="397"/>
        <v>0</v>
      </c>
      <c r="H649" s="272">
        <f t="shared" si="397"/>
        <v>0</v>
      </c>
      <c r="I649" s="272">
        <f t="shared" si="397"/>
        <v>0</v>
      </c>
      <c r="J649" s="272">
        <f t="shared" si="397"/>
        <v>0</v>
      </c>
      <c r="K649" s="272">
        <f t="shared" si="397"/>
        <v>0</v>
      </c>
      <c r="L649" s="272">
        <f t="shared" si="397"/>
        <v>0</v>
      </c>
      <c r="M649" s="272">
        <f t="shared" si="397"/>
        <v>0</v>
      </c>
      <c r="N649" s="272">
        <f t="shared" si="397"/>
        <v>0</v>
      </c>
      <c r="O649" s="272">
        <f t="shared" si="397"/>
        <v>0</v>
      </c>
      <c r="P649" s="272">
        <f t="shared" si="397"/>
        <v>0</v>
      </c>
      <c r="Q649" s="272">
        <f t="shared" si="397"/>
        <v>0</v>
      </c>
      <c r="R649" s="272">
        <f t="shared" si="397"/>
        <v>0</v>
      </c>
      <c r="S649" s="272">
        <f t="shared" si="397"/>
        <v>0</v>
      </c>
      <c r="T649" s="272">
        <f t="shared" si="397"/>
        <v>0</v>
      </c>
      <c r="U649" s="272">
        <f t="shared" si="397"/>
        <v>0</v>
      </c>
      <c r="V649" s="272">
        <f t="shared" si="397"/>
        <v>0</v>
      </c>
      <c r="W649" s="272">
        <f t="shared" si="397"/>
        <v>0</v>
      </c>
      <c r="X649" s="272">
        <f t="shared" si="397"/>
        <v>0</v>
      </c>
      <c r="Y649" s="272">
        <f t="shared" si="397"/>
        <v>0</v>
      </c>
      <c r="Z649" s="272">
        <f t="shared" si="397"/>
        <v>0</v>
      </c>
      <c r="AA649" s="272">
        <f t="shared" si="397"/>
        <v>0</v>
      </c>
      <c r="AB649" s="272">
        <f t="shared" si="397"/>
        <v>0</v>
      </c>
      <c r="AC649" s="272">
        <f t="shared" si="397"/>
        <v>0</v>
      </c>
      <c r="AD649" s="272">
        <f t="shared" si="397"/>
        <v>0</v>
      </c>
      <c r="AE649" s="272">
        <f t="shared" si="397"/>
        <v>0</v>
      </c>
      <c r="AF649" s="272">
        <f t="shared" si="397"/>
        <v>0</v>
      </c>
      <c r="AG649" s="272">
        <f t="shared" si="397"/>
        <v>0</v>
      </c>
      <c r="AH649" s="272">
        <f t="shared" si="397"/>
        <v>0</v>
      </c>
      <c r="AI649" s="272">
        <f t="shared" si="397"/>
        <v>0</v>
      </c>
      <c r="AJ649" s="272">
        <f t="shared" si="397"/>
        <v>0</v>
      </c>
      <c r="AK649" s="272">
        <f t="shared" si="397"/>
        <v>0</v>
      </c>
      <c r="AL649" s="272">
        <f t="shared" si="397"/>
        <v>0</v>
      </c>
      <c r="AM649" s="272">
        <f t="shared" si="397"/>
        <v>0</v>
      </c>
      <c r="AN649" s="272">
        <f t="shared" si="397"/>
        <v>0</v>
      </c>
      <c r="AO649" s="272">
        <f t="shared" si="397"/>
        <v>0</v>
      </c>
      <c r="AP649" s="272">
        <f t="shared" si="397"/>
        <v>0</v>
      </c>
    </row>
    <row r="650" spans="1:42" x14ac:dyDescent="0.2">
      <c r="A650" s="7">
        <f>A649+1</f>
        <v>9</v>
      </c>
      <c r="B650" s="297">
        <f t="shared" si="388"/>
        <v>0</v>
      </c>
      <c r="C650" s="272">
        <f t="shared" ref="C650:AP650" si="398">IF(AND(C$2&gt;equip3_reserve_freq*$A637,C$2&lt;=equip3_reserve_freq*$A638),$B638/(equip3_reserve_freq),0)</f>
        <v>0</v>
      </c>
      <c r="D650" s="272">
        <f t="shared" si="398"/>
        <v>0</v>
      </c>
      <c r="E650" s="272">
        <f t="shared" si="398"/>
        <v>0</v>
      </c>
      <c r="F650" s="272">
        <f t="shared" si="398"/>
        <v>0</v>
      </c>
      <c r="G650" s="272">
        <f t="shared" si="398"/>
        <v>0</v>
      </c>
      <c r="H650" s="272">
        <f t="shared" si="398"/>
        <v>0</v>
      </c>
      <c r="I650" s="272">
        <f t="shared" si="398"/>
        <v>0</v>
      </c>
      <c r="J650" s="272">
        <f t="shared" si="398"/>
        <v>0</v>
      </c>
      <c r="K650" s="272">
        <f t="shared" si="398"/>
        <v>0</v>
      </c>
      <c r="L650" s="272">
        <f t="shared" si="398"/>
        <v>0</v>
      </c>
      <c r="M650" s="272">
        <f t="shared" si="398"/>
        <v>0</v>
      </c>
      <c r="N650" s="272">
        <f t="shared" si="398"/>
        <v>0</v>
      </c>
      <c r="O650" s="272">
        <f t="shared" si="398"/>
        <v>0</v>
      </c>
      <c r="P650" s="272">
        <f t="shared" si="398"/>
        <v>0</v>
      </c>
      <c r="Q650" s="272">
        <f t="shared" si="398"/>
        <v>0</v>
      </c>
      <c r="R650" s="272">
        <f t="shared" si="398"/>
        <v>0</v>
      </c>
      <c r="S650" s="272">
        <f t="shared" si="398"/>
        <v>0</v>
      </c>
      <c r="T650" s="272">
        <f t="shared" si="398"/>
        <v>0</v>
      </c>
      <c r="U650" s="272">
        <f t="shared" si="398"/>
        <v>0</v>
      </c>
      <c r="V650" s="272">
        <f t="shared" si="398"/>
        <v>0</v>
      </c>
      <c r="W650" s="272">
        <f t="shared" si="398"/>
        <v>0</v>
      </c>
      <c r="X650" s="272">
        <f t="shared" si="398"/>
        <v>0</v>
      </c>
      <c r="Y650" s="272">
        <f t="shared" si="398"/>
        <v>0</v>
      </c>
      <c r="Z650" s="272">
        <f t="shared" si="398"/>
        <v>0</v>
      </c>
      <c r="AA650" s="272">
        <f t="shared" si="398"/>
        <v>0</v>
      </c>
      <c r="AB650" s="272">
        <f t="shared" si="398"/>
        <v>0</v>
      </c>
      <c r="AC650" s="272">
        <f t="shared" si="398"/>
        <v>0</v>
      </c>
      <c r="AD650" s="272">
        <f t="shared" si="398"/>
        <v>0</v>
      </c>
      <c r="AE650" s="272">
        <f t="shared" si="398"/>
        <v>0</v>
      </c>
      <c r="AF650" s="272">
        <f t="shared" si="398"/>
        <v>0</v>
      </c>
      <c r="AG650" s="272">
        <f t="shared" si="398"/>
        <v>0</v>
      </c>
      <c r="AH650" s="272">
        <f t="shared" si="398"/>
        <v>0</v>
      </c>
      <c r="AI650" s="272">
        <f t="shared" si="398"/>
        <v>0</v>
      </c>
      <c r="AJ650" s="272">
        <f t="shared" si="398"/>
        <v>0</v>
      </c>
      <c r="AK650" s="272">
        <f t="shared" si="398"/>
        <v>0</v>
      </c>
      <c r="AL650" s="272">
        <f t="shared" si="398"/>
        <v>0</v>
      </c>
      <c r="AM650" s="272">
        <f t="shared" si="398"/>
        <v>0</v>
      </c>
      <c r="AN650" s="272">
        <f t="shared" si="398"/>
        <v>0</v>
      </c>
      <c r="AO650" s="272">
        <f t="shared" si="398"/>
        <v>0</v>
      </c>
      <c r="AP650" s="272">
        <f t="shared" si="398"/>
        <v>0</v>
      </c>
    </row>
    <row r="651" spans="1:42" x14ac:dyDescent="0.2">
      <c r="A651" s="7">
        <f t="shared" ref="A651" si="399">A650+1</f>
        <v>10</v>
      </c>
      <c r="B651" s="297">
        <f t="shared" si="388"/>
        <v>0</v>
      </c>
      <c r="C651" s="277">
        <f t="shared" ref="C651:AP651" si="400">IF(AND(C$2&gt;equip3_reserve_freq*$A638,C$2&lt;=equip3_reserve_freq*$A639),$B639/(equip3_reserve_freq),0)</f>
        <v>0</v>
      </c>
      <c r="D651" s="277">
        <f t="shared" si="400"/>
        <v>0</v>
      </c>
      <c r="E651" s="277">
        <f t="shared" si="400"/>
        <v>0</v>
      </c>
      <c r="F651" s="277">
        <f t="shared" si="400"/>
        <v>0</v>
      </c>
      <c r="G651" s="277">
        <f t="shared" si="400"/>
        <v>0</v>
      </c>
      <c r="H651" s="277">
        <f t="shared" si="400"/>
        <v>0</v>
      </c>
      <c r="I651" s="277">
        <f t="shared" si="400"/>
        <v>0</v>
      </c>
      <c r="J651" s="277">
        <f t="shared" si="400"/>
        <v>0</v>
      </c>
      <c r="K651" s="277">
        <f t="shared" si="400"/>
        <v>0</v>
      </c>
      <c r="L651" s="277">
        <f t="shared" si="400"/>
        <v>0</v>
      </c>
      <c r="M651" s="277">
        <f t="shared" si="400"/>
        <v>0</v>
      </c>
      <c r="N651" s="277">
        <f t="shared" si="400"/>
        <v>0</v>
      </c>
      <c r="O651" s="277">
        <f t="shared" si="400"/>
        <v>0</v>
      </c>
      <c r="P651" s="277">
        <f t="shared" si="400"/>
        <v>0</v>
      </c>
      <c r="Q651" s="277">
        <f t="shared" si="400"/>
        <v>0</v>
      </c>
      <c r="R651" s="277">
        <f t="shared" si="400"/>
        <v>0</v>
      </c>
      <c r="S651" s="277">
        <f t="shared" si="400"/>
        <v>0</v>
      </c>
      <c r="T651" s="277">
        <f t="shared" si="400"/>
        <v>0</v>
      </c>
      <c r="U651" s="277">
        <f t="shared" si="400"/>
        <v>0</v>
      </c>
      <c r="V651" s="277">
        <f t="shared" si="400"/>
        <v>0</v>
      </c>
      <c r="W651" s="277">
        <f t="shared" si="400"/>
        <v>0</v>
      </c>
      <c r="X651" s="277">
        <f t="shared" si="400"/>
        <v>0</v>
      </c>
      <c r="Y651" s="277">
        <f t="shared" si="400"/>
        <v>0</v>
      </c>
      <c r="Z651" s="277">
        <f t="shared" si="400"/>
        <v>0</v>
      </c>
      <c r="AA651" s="277">
        <f t="shared" si="400"/>
        <v>0</v>
      </c>
      <c r="AB651" s="277">
        <f t="shared" si="400"/>
        <v>0</v>
      </c>
      <c r="AC651" s="277">
        <f t="shared" si="400"/>
        <v>0</v>
      </c>
      <c r="AD651" s="277">
        <f t="shared" si="400"/>
        <v>0</v>
      </c>
      <c r="AE651" s="277">
        <f t="shared" si="400"/>
        <v>0</v>
      </c>
      <c r="AF651" s="277">
        <f t="shared" si="400"/>
        <v>0</v>
      </c>
      <c r="AG651" s="277">
        <f t="shared" si="400"/>
        <v>0</v>
      </c>
      <c r="AH651" s="277">
        <f t="shared" si="400"/>
        <v>0</v>
      </c>
      <c r="AI651" s="277">
        <f t="shared" si="400"/>
        <v>0</v>
      </c>
      <c r="AJ651" s="277">
        <f t="shared" si="400"/>
        <v>0</v>
      </c>
      <c r="AK651" s="277">
        <f t="shared" si="400"/>
        <v>0</v>
      </c>
      <c r="AL651" s="277">
        <f t="shared" si="400"/>
        <v>0</v>
      </c>
      <c r="AM651" s="277">
        <f t="shared" si="400"/>
        <v>0</v>
      </c>
      <c r="AN651" s="277">
        <f t="shared" si="400"/>
        <v>0</v>
      </c>
      <c r="AO651" s="277">
        <f t="shared" si="400"/>
        <v>0</v>
      </c>
      <c r="AP651" s="277">
        <f t="shared" si="400"/>
        <v>0</v>
      </c>
    </row>
    <row r="652" spans="1:42" x14ac:dyDescent="0.2">
      <c r="A652" s="44" t="s">
        <v>18</v>
      </c>
      <c r="B652" s="34"/>
      <c r="C652" s="276">
        <f>SUM(C642:C651)</f>
        <v>0</v>
      </c>
      <c r="D652" s="276">
        <f t="shared" ref="D652:AP652" si="401">SUM(D642:D651)</f>
        <v>0</v>
      </c>
      <c r="E652" s="276">
        <f t="shared" si="401"/>
        <v>0</v>
      </c>
      <c r="F652" s="276">
        <f t="shared" si="401"/>
        <v>0</v>
      </c>
      <c r="G652" s="276">
        <f t="shared" si="401"/>
        <v>0</v>
      </c>
      <c r="H652" s="276">
        <f t="shared" si="401"/>
        <v>0</v>
      </c>
      <c r="I652" s="276">
        <f t="shared" si="401"/>
        <v>0</v>
      </c>
      <c r="J652" s="276">
        <f t="shared" si="401"/>
        <v>0</v>
      </c>
      <c r="K652" s="276">
        <f t="shared" si="401"/>
        <v>0</v>
      </c>
      <c r="L652" s="276">
        <f t="shared" si="401"/>
        <v>0</v>
      </c>
      <c r="M652" s="276">
        <f t="shared" si="401"/>
        <v>0</v>
      </c>
      <c r="N652" s="276">
        <f t="shared" si="401"/>
        <v>0</v>
      </c>
      <c r="O652" s="276">
        <f t="shared" si="401"/>
        <v>0</v>
      </c>
      <c r="P652" s="276">
        <f t="shared" si="401"/>
        <v>0</v>
      </c>
      <c r="Q652" s="276">
        <f t="shared" si="401"/>
        <v>0</v>
      </c>
      <c r="R652" s="276">
        <f t="shared" si="401"/>
        <v>0</v>
      </c>
      <c r="S652" s="276">
        <f t="shared" si="401"/>
        <v>0</v>
      </c>
      <c r="T652" s="276">
        <f t="shared" si="401"/>
        <v>0</v>
      </c>
      <c r="U652" s="276">
        <f t="shared" si="401"/>
        <v>0</v>
      </c>
      <c r="V652" s="276">
        <f t="shared" si="401"/>
        <v>0</v>
      </c>
      <c r="W652" s="276">
        <f t="shared" si="401"/>
        <v>0</v>
      </c>
      <c r="X652" s="276">
        <f t="shared" si="401"/>
        <v>0</v>
      </c>
      <c r="Y652" s="276">
        <f t="shared" si="401"/>
        <v>0</v>
      </c>
      <c r="Z652" s="276">
        <f t="shared" si="401"/>
        <v>0</v>
      </c>
      <c r="AA652" s="276">
        <f t="shared" si="401"/>
        <v>0</v>
      </c>
      <c r="AB652" s="276">
        <f t="shared" si="401"/>
        <v>0</v>
      </c>
      <c r="AC652" s="276">
        <f t="shared" si="401"/>
        <v>0</v>
      </c>
      <c r="AD652" s="276">
        <f t="shared" si="401"/>
        <v>0</v>
      </c>
      <c r="AE652" s="276">
        <f t="shared" si="401"/>
        <v>0</v>
      </c>
      <c r="AF652" s="276">
        <f t="shared" si="401"/>
        <v>0</v>
      </c>
      <c r="AG652" s="276">
        <f t="shared" si="401"/>
        <v>0</v>
      </c>
      <c r="AH652" s="276">
        <f t="shared" si="401"/>
        <v>0</v>
      </c>
      <c r="AI652" s="276">
        <f t="shared" si="401"/>
        <v>0</v>
      </c>
      <c r="AJ652" s="276">
        <f t="shared" si="401"/>
        <v>0</v>
      </c>
      <c r="AK652" s="276">
        <f t="shared" si="401"/>
        <v>0</v>
      </c>
      <c r="AL652" s="276">
        <f t="shared" si="401"/>
        <v>0</v>
      </c>
      <c r="AM652" s="276">
        <f t="shared" si="401"/>
        <v>0</v>
      </c>
      <c r="AN652" s="276">
        <f t="shared" si="401"/>
        <v>0</v>
      </c>
      <c r="AO652" s="276">
        <f t="shared" si="401"/>
        <v>0</v>
      </c>
      <c r="AP652" s="276">
        <f t="shared" si="401"/>
        <v>0</v>
      </c>
    </row>
    <row r="653" spans="1:42" s="168" customFormat="1" x14ac:dyDescent="0.2">
      <c r="A653" s="7"/>
      <c r="B653" s="262"/>
    </row>
    <row r="654" spans="1:42" s="168" customFormat="1" x14ac:dyDescent="0.2">
      <c r="A654" s="7" t="s">
        <v>103</v>
      </c>
      <c r="B654" s="262"/>
    </row>
    <row r="655" spans="1:42" x14ac:dyDescent="0.2">
      <c r="A655" s="33" t="s">
        <v>104</v>
      </c>
      <c r="B655" s="276">
        <f>B550+B556+B562+B594+B626</f>
        <v>-153426.06695533107</v>
      </c>
      <c r="C655" s="276">
        <f t="shared" ref="C655:AP655" si="402">C550+C556+C562+C594+C626</f>
        <v>394697.81289776048</v>
      </c>
      <c r="D655" s="276">
        <f t="shared" si="402"/>
        <v>942857.22039508284</v>
      </c>
      <c r="E655" s="276">
        <f t="shared" si="402"/>
        <v>1491053.0437277418</v>
      </c>
      <c r="F655" s="276">
        <f t="shared" si="402"/>
        <v>2039286.1932916206</v>
      </c>
      <c r="G655" s="276">
        <f t="shared" si="402"/>
        <v>2587557.6022424996</v>
      </c>
      <c r="H655" s="276">
        <f t="shared" si="402"/>
        <v>3135868.2270650542</v>
      </c>
      <c r="I655" s="276">
        <f t="shared" si="402"/>
        <v>3684219.0481560761</v>
      </c>
      <c r="J655" s="276">
        <f t="shared" si="402"/>
        <v>4232611.0704222778</v>
      </c>
      <c r="K655" s="276">
        <f t="shared" si="402"/>
        <v>4781045.3238930376</v>
      </c>
      <c r="L655" s="276">
        <f t="shared" si="402"/>
        <v>5329522.8643484702</v>
      </c>
      <c r="M655" s="276">
        <f t="shared" si="402"/>
        <v>5878044.7739631915</v>
      </c>
      <c r="N655" s="276">
        <f t="shared" si="402"/>
        <v>-206341.00279628893</v>
      </c>
      <c r="O655" s="276">
        <f t="shared" si="402"/>
        <v>530824.6775206544</v>
      </c>
      <c r="P655" s="276">
        <f t="shared" si="402"/>
        <v>1268038.1385692754</v>
      </c>
      <c r="Q655" s="276">
        <f t="shared" si="402"/>
        <v>2005300.5748678662</v>
      </c>
      <c r="R655" s="276">
        <f t="shared" si="402"/>
        <v>2742613.2107976764</v>
      </c>
      <c r="S655" s="276">
        <f t="shared" si="402"/>
        <v>3479977.3013494853</v>
      </c>
      <c r="T655" s="276">
        <f t="shared" si="402"/>
        <v>4795709.6399380518</v>
      </c>
      <c r="U655" s="276">
        <f t="shared" si="402"/>
        <v>5540568.6643288611</v>
      </c>
      <c r="V655" s="276">
        <f t="shared" si="402"/>
        <v>6285667.8030531947</v>
      </c>
      <c r="W655" s="276">
        <f t="shared" si="402"/>
        <v>7031013.0589693906</v>
      </c>
      <c r="X655" s="276">
        <f t="shared" si="402"/>
        <v>7776610.5850072457</v>
      </c>
      <c r="Y655" s="276">
        <f t="shared" si="402"/>
        <v>8522466.6879198011</v>
      </c>
      <c r="Z655" s="276">
        <f t="shared" si="402"/>
        <v>445534.41953093128</v>
      </c>
      <c r="AA655" s="276">
        <f t="shared" si="402"/>
        <v>0</v>
      </c>
      <c r="AB655" s="276">
        <f t="shared" si="402"/>
        <v>0</v>
      </c>
      <c r="AC655" s="276">
        <f t="shared" si="402"/>
        <v>0</v>
      </c>
      <c r="AD655" s="276">
        <f t="shared" si="402"/>
        <v>0</v>
      </c>
      <c r="AE655" s="276">
        <f t="shared" si="402"/>
        <v>0</v>
      </c>
      <c r="AF655" s="276">
        <f t="shared" si="402"/>
        <v>0</v>
      </c>
      <c r="AG655" s="276">
        <f t="shared" si="402"/>
        <v>0</v>
      </c>
      <c r="AH655" s="276">
        <f t="shared" si="402"/>
        <v>0</v>
      </c>
      <c r="AI655" s="276">
        <f t="shared" si="402"/>
        <v>0</v>
      </c>
      <c r="AJ655" s="276">
        <f t="shared" si="402"/>
        <v>0</v>
      </c>
      <c r="AK655" s="276">
        <f t="shared" si="402"/>
        <v>0</v>
      </c>
      <c r="AL655" s="276">
        <f t="shared" si="402"/>
        <v>0</v>
      </c>
      <c r="AM655" s="276">
        <f t="shared" si="402"/>
        <v>0</v>
      </c>
      <c r="AN655" s="276">
        <f t="shared" si="402"/>
        <v>0</v>
      </c>
      <c r="AO655" s="276">
        <f t="shared" si="402"/>
        <v>0</v>
      </c>
      <c r="AP655" s="276">
        <f t="shared" si="402"/>
        <v>0</v>
      </c>
    </row>
    <row r="656" spans="1:42" x14ac:dyDescent="0.2">
      <c r="A656" s="33" t="s">
        <v>103</v>
      </c>
      <c r="B656" s="272"/>
      <c r="C656" s="276">
        <f t="shared" ref="C656:AP656" si="403">IF(C$2&lt;=analysis_period,B655*reserves_interest/100,0)</f>
        <v>-2684.9561717182937</v>
      </c>
      <c r="D656" s="276">
        <f t="shared" si="403"/>
        <v>6907.2117257108084</v>
      </c>
      <c r="E656" s="276">
        <f t="shared" si="403"/>
        <v>16500.001356913952</v>
      </c>
      <c r="F656" s="276">
        <f t="shared" si="403"/>
        <v>26093.428265235481</v>
      </c>
      <c r="G656" s="276">
        <f t="shared" si="403"/>
        <v>35687.508382603359</v>
      </c>
      <c r="H656" s="276">
        <f t="shared" si="403"/>
        <v>45282.258039243745</v>
      </c>
      <c r="I656" s="276">
        <f t="shared" si="403"/>
        <v>54877.693973638452</v>
      </c>
      <c r="J656" s="276">
        <f t="shared" si="403"/>
        <v>64473.833342731334</v>
      </c>
      <c r="K656" s="276">
        <f t="shared" si="403"/>
        <v>74070.69373238986</v>
      </c>
      <c r="L656" s="276">
        <f t="shared" si="403"/>
        <v>83668.293168128163</v>
      </c>
      <c r="M656" s="276">
        <f t="shared" si="403"/>
        <v>93266.650126098233</v>
      </c>
      <c r="N656" s="276">
        <f t="shared" si="403"/>
        <v>102865.78354435586</v>
      </c>
      <c r="O656" s="276">
        <f t="shared" si="403"/>
        <v>-3610.9675489350561</v>
      </c>
      <c r="P656" s="276">
        <f t="shared" si="403"/>
        <v>9289.4318566114525</v>
      </c>
      <c r="Q656" s="276">
        <f t="shared" si="403"/>
        <v>22190.667424962321</v>
      </c>
      <c r="R656" s="276">
        <f t="shared" si="403"/>
        <v>35092.760060187655</v>
      </c>
      <c r="S656" s="276">
        <f t="shared" si="403"/>
        <v>47995.73118895934</v>
      </c>
      <c r="T656" s="276">
        <f t="shared" si="403"/>
        <v>60899.602773615996</v>
      </c>
      <c r="U656" s="276">
        <f t="shared" si="403"/>
        <v>83924.918698915921</v>
      </c>
      <c r="V656" s="276">
        <f t="shared" si="403"/>
        <v>96959.951625755071</v>
      </c>
      <c r="W656" s="276">
        <f t="shared" si="403"/>
        <v>109999.18655343092</v>
      </c>
      <c r="X656" s="276">
        <f t="shared" si="403"/>
        <v>123042.72853196433</v>
      </c>
      <c r="Y656" s="276">
        <f t="shared" si="403"/>
        <v>136090.68523762681</v>
      </c>
      <c r="Z656" s="276">
        <f t="shared" si="403"/>
        <v>149143.16703859653</v>
      </c>
      <c r="AA656" s="276">
        <f t="shared" si="403"/>
        <v>7796.8523417912975</v>
      </c>
      <c r="AB656" s="276">
        <f t="shared" si="403"/>
        <v>0</v>
      </c>
      <c r="AC656" s="276">
        <f t="shared" si="403"/>
        <v>0</v>
      </c>
      <c r="AD656" s="276">
        <f t="shared" si="403"/>
        <v>0</v>
      </c>
      <c r="AE656" s="276">
        <f t="shared" si="403"/>
        <v>0</v>
      </c>
      <c r="AF656" s="276">
        <f t="shared" si="403"/>
        <v>0</v>
      </c>
      <c r="AG656" s="276">
        <f t="shared" si="403"/>
        <v>0</v>
      </c>
      <c r="AH656" s="276">
        <f t="shared" si="403"/>
        <v>0</v>
      </c>
      <c r="AI656" s="276">
        <f t="shared" si="403"/>
        <v>0</v>
      </c>
      <c r="AJ656" s="276">
        <f t="shared" si="403"/>
        <v>0</v>
      </c>
      <c r="AK656" s="276">
        <f t="shared" si="403"/>
        <v>0</v>
      </c>
      <c r="AL656" s="276">
        <f t="shared" si="403"/>
        <v>0</v>
      </c>
      <c r="AM656" s="276">
        <f t="shared" si="403"/>
        <v>0</v>
      </c>
      <c r="AN656" s="276">
        <f t="shared" si="403"/>
        <v>0</v>
      </c>
      <c r="AO656" s="276">
        <f t="shared" si="403"/>
        <v>0</v>
      </c>
      <c r="AP656" s="276">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67</v>
      </c>
      <c r="B1" s="2"/>
      <c r="C1" s="178"/>
      <c r="D1" s="2"/>
      <c r="E1" s="2"/>
      <c r="F1" s="2"/>
      <c r="G1" s="3"/>
    </row>
    <row r="2" spans="1:7" s="4" customFormat="1" ht="12.75" x14ac:dyDescent="0.2">
      <c r="A2" s="5" t="s">
        <v>110</v>
      </c>
      <c r="B2" s="6" t="s">
        <v>61</v>
      </c>
      <c r="C2" s="6" t="s">
        <v>62</v>
      </c>
      <c r="D2" s="6" t="s">
        <v>63</v>
      </c>
      <c r="E2" s="6" t="s">
        <v>64</v>
      </c>
      <c r="F2" s="6" t="s">
        <v>65</v>
      </c>
      <c r="G2" s="6" t="s">
        <v>66</v>
      </c>
    </row>
    <row r="3" spans="1:7" s="4" customFormat="1" ht="12.75" x14ac:dyDescent="0.2">
      <c r="A3" s="180">
        <v>1</v>
      </c>
      <c r="B3" s="278">
        <v>20</v>
      </c>
      <c r="C3" s="284">
        <v>5</v>
      </c>
      <c r="D3" s="278">
        <v>10</v>
      </c>
      <c r="E3" s="278">
        <v>3.33</v>
      </c>
      <c r="F3" s="278">
        <v>2.5</v>
      </c>
      <c r="G3" s="278">
        <f>2.56410256410256*0.5</f>
        <v>1.2820512820512799</v>
      </c>
    </row>
    <row r="4" spans="1:7" s="4" customFormat="1" ht="12.75" x14ac:dyDescent="0.2">
      <c r="A4" s="181">
        <v>2</v>
      </c>
      <c r="B4" s="278">
        <v>32</v>
      </c>
      <c r="C4" s="285">
        <v>9.5</v>
      </c>
      <c r="D4" s="280">
        <v>20</v>
      </c>
      <c r="E4" s="280">
        <v>6.67</v>
      </c>
      <c r="F4" s="280">
        <v>5</v>
      </c>
      <c r="G4" s="280">
        <v>2.5641025641025599</v>
      </c>
    </row>
    <row r="5" spans="1:7" s="4" customFormat="1" ht="12.75" x14ac:dyDescent="0.2">
      <c r="A5" s="181">
        <v>3</v>
      </c>
      <c r="B5" s="278">
        <v>19.2</v>
      </c>
      <c r="C5" s="280">
        <v>8.5500000000000007</v>
      </c>
      <c r="D5" s="280">
        <v>20</v>
      </c>
      <c r="E5" s="280">
        <v>6.67</v>
      </c>
      <c r="F5" s="280">
        <v>5</v>
      </c>
      <c r="G5" s="280">
        <v>2.5641025641025599</v>
      </c>
    </row>
    <row r="6" spans="1:7" s="4" customFormat="1" ht="12.75" x14ac:dyDescent="0.2">
      <c r="A6" s="181">
        <v>4</v>
      </c>
      <c r="B6" s="278">
        <v>11.52</v>
      </c>
      <c r="C6" s="280">
        <v>7.7</v>
      </c>
      <c r="D6" s="280">
        <v>20</v>
      </c>
      <c r="E6" s="280">
        <v>6.67</v>
      </c>
      <c r="F6" s="280">
        <v>5</v>
      </c>
      <c r="G6" s="280">
        <v>2.5641025641025599</v>
      </c>
    </row>
    <row r="7" spans="1:7" s="4" customFormat="1" ht="12.75" x14ac:dyDescent="0.2">
      <c r="A7" s="181">
        <v>5</v>
      </c>
      <c r="B7" s="278">
        <v>11.52</v>
      </c>
      <c r="C7" s="280">
        <v>6.93</v>
      </c>
      <c r="D7" s="280">
        <v>20</v>
      </c>
      <c r="E7" s="280">
        <v>6.67</v>
      </c>
      <c r="F7" s="280">
        <v>5</v>
      </c>
      <c r="G7" s="280">
        <v>2.5641025641025599</v>
      </c>
    </row>
    <row r="8" spans="1:7" s="4" customFormat="1" ht="12.75" x14ac:dyDescent="0.2">
      <c r="A8" s="181">
        <v>6</v>
      </c>
      <c r="B8" s="278">
        <v>5.76</v>
      </c>
      <c r="C8" s="280">
        <v>6.23</v>
      </c>
      <c r="D8" s="280">
        <v>10</v>
      </c>
      <c r="E8" s="280">
        <v>6.67</v>
      </c>
      <c r="F8" s="280">
        <v>5</v>
      </c>
      <c r="G8" s="280">
        <v>2.5641025641025599</v>
      </c>
    </row>
    <row r="9" spans="1:7" s="4" customFormat="1" ht="12.75" x14ac:dyDescent="0.2">
      <c r="A9" s="181">
        <v>7</v>
      </c>
      <c r="B9" s="279">
        <v>0</v>
      </c>
      <c r="C9" s="280">
        <v>5.9</v>
      </c>
      <c r="D9" s="280">
        <v>0</v>
      </c>
      <c r="E9" s="280">
        <v>6.67</v>
      </c>
      <c r="F9" s="280">
        <v>5</v>
      </c>
      <c r="G9" s="280">
        <v>2.5641025641025599</v>
      </c>
    </row>
    <row r="10" spans="1:7" s="4" customFormat="1" ht="12.75" x14ac:dyDescent="0.2">
      <c r="A10" s="181">
        <v>8</v>
      </c>
      <c r="B10" s="280">
        <v>0</v>
      </c>
      <c r="C10" s="280">
        <v>5.9</v>
      </c>
      <c r="D10" s="280">
        <v>0</v>
      </c>
      <c r="E10" s="280">
        <v>6.67</v>
      </c>
      <c r="F10" s="280">
        <v>5</v>
      </c>
      <c r="G10" s="280">
        <v>2.5641025641025599</v>
      </c>
    </row>
    <row r="11" spans="1:7" s="4" customFormat="1" ht="12.75" x14ac:dyDescent="0.2">
      <c r="A11" s="181">
        <v>9</v>
      </c>
      <c r="B11" s="280">
        <v>0</v>
      </c>
      <c r="C11" s="280">
        <v>5.91</v>
      </c>
      <c r="D11" s="280">
        <v>0</v>
      </c>
      <c r="E11" s="280">
        <v>6.67</v>
      </c>
      <c r="F11" s="280">
        <v>5</v>
      </c>
      <c r="G11" s="280">
        <v>2.5641025641025599</v>
      </c>
    </row>
    <row r="12" spans="1:7" s="4" customFormat="1" ht="12.75" x14ac:dyDescent="0.2">
      <c r="A12" s="181">
        <v>10</v>
      </c>
      <c r="B12" s="280">
        <v>0</v>
      </c>
      <c r="C12" s="280">
        <v>5.9</v>
      </c>
      <c r="D12" s="280">
        <v>0</v>
      </c>
      <c r="E12" s="280">
        <v>6.67</v>
      </c>
      <c r="F12" s="280">
        <v>5</v>
      </c>
      <c r="G12" s="280">
        <v>2.5641025641025599</v>
      </c>
    </row>
    <row r="13" spans="1:7" s="4" customFormat="1" ht="12.75" x14ac:dyDescent="0.2">
      <c r="A13" s="181">
        <v>11</v>
      </c>
      <c r="B13" s="280">
        <v>0</v>
      </c>
      <c r="C13" s="280">
        <v>5.91</v>
      </c>
      <c r="D13" s="280">
        <v>0</v>
      </c>
      <c r="E13" s="280">
        <v>6.67</v>
      </c>
      <c r="F13" s="280">
        <v>5</v>
      </c>
      <c r="G13" s="280">
        <v>2.5641025641025599</v>
      </c>
    </row>
    <row r="14" spans="1:7" s="4" customFormat="1" ht="12.75" x14ac:dyDescent="0.2">
      <c r="A14" s="181">
        <v>12</v>
      </c>
      <c r="B14" s="280">
        <v>0</v>
      </c>
      <c r="C14" s="280">
        <v>5.9</v>
      </c>
      <c r="D14" s="280">
        <v>0</v>
      </c>
      <c r="E14" s="280">
        <v>6.66</v>
      </c>
      <c r="F14" s="280">
        <v>5</v>
      </c>
      <c r="G14" s="280">
        <v>2.5641025641025599</v>
      </c>
    </row>
    <row r="15" spans="1:7" s="4" customFormat="1" ht="12.75" x14ac:dyDescent="0.2">
      <c r="A15" s="181">
        <v>13</v>
      </c>
      <c r="B15" s="280">
        <v>0</v>
      </c>
      <c r="C15" s="280">
        <v>5.91</v>
      </c>
      <c r="D15" s="280">
        <v>0</v>
      </c>
      <c r="E15" s="280">
        <v>6.67</v>
      </c>
      <c r="F15" s="280">
        <v>5</v>
      </c>
      <c r="G15" s="280">
        <v>2.5641025641025599</v>
      </c>
    </row>
    <row r="16" spans="1:7" s="4" customFormat="1" ht="12.75" x14ac:dyDescent="0.2">
      <c r="A16" s="181">
        <v>14</v>
      </c>
      <c r="B16" s="280">
        <v>0</v>
      </c>
      <c r="C16" s="280">
        <v>5.9</v>
      </c>
      <c r="D16" s="280">
        <v>0</v>
      </c>
      <c r="E16" s="280">
        <v>6.66</v>
      </c>
      <c r="F16" s="280">
        <v>5</v>
      </c>
      <c r="G16" s="280">
        <v>2.5641025641025599</v>
      </c>
    </row>
    <row r="17" spans="1:7" s="4" customFormat="1" ht="12.75" x14ac:dyDescent="0.2">
      <c r="A17" s="181">
        <v>15</v>
      </c>
      <c r="B17" s="280">
        <v>0</v>
      </c>
      <c r="C17" s="280">
        <v>5.9</v>
      </c>
      <c r="D17" s="280">
        <v>0</v>
      </c>
      <c r="E17" s="280">
        <v>6.67</v>
      </c>
      <c r="F17" s="280">
        <v>5</v>
      </c>
      <c r="G17" s="280">
        <v>2.5641025641025599</v>
      </c>
    </row>
    <row r="18" spans="1:7" s="4" customFormat="1" ht="12.75" x14ac:dyDescent="0.2">
      <c r="A18" s="181">
        <v>16</v>
      </c>
      <c r="B18" s="280">
        <v>0</v>
      </c>
      <c r="C18" s="280">
        <v>2.95</v>
      </c>
      <c r="D18" s="280">
        <v>0</v>
      </c>
      <c r="E18" s="280">
        <v>3.33</v>
      </c>
      <c r="F18" s="280">
        <v>5</v>
      </c>
      <c r="G18" s="280">
        <v>2.5641025641025599</v>
      </c>
    </row>
    <row r="19" spans="1:7" s="4" customFormat="1" ht="12.75" x14ac:dyDescent="0.2">
      <c r="A19" s="181">
        <v>17</v>
      </c>
      <c r="B19" s="280">
        <v>0</v>
      </c>
      <c r="C19" s="280">
        <v>0</v>
      </c>
      <c r="D19" s="280">
        <v>0</v>
      </c>
      <c r="E19" s="280">
        <v>0</v>
      </c>
      <c r="F19" s="280">
        <v>5</v>
      </c>
      <c r="G19" s="280">
        <v>2.5641025641025599</v>
      </c>
    </row>
    <row r="20" spans="1:7" s="4" customFormat="1" ht="12.75" x14ac:dyDescent="0.2">
      <c r="A20" s="181">
        <v>18</v>
      </c>
      <c r="B20" s="280">
        <v>0</v>
      </c>
      <c r="C20" s="280">
        <v>0</v>
      </c>
      <c r="D20" s="280">
        <v>0</v>
      </c>
      <c r="E20" s="280">
        <v>0</v>
      </c>
      <c r="F20" s="280">
        <v>5</v>
      </c>
      <c r="G20" s="280">
        <v>2.5641025641025599</v>
      </c>
    </row>
    <row r="21" spans="1:7" s="4" customFormat="1" ht="12.75" x14ac:dyDescent="0.2">
      <c r="A21" s="181">
        <v>19</v>
      </c>
      <c r="B21" s="280">
        <v>0</v>
      </c>
      <c r="C21" s="280">
        <v>0</v>
      </c>
      <c r="D21" s="280">
        <v>0</v>
      </c>
      <c r="E21" s="280">
        <v>0</v>
      </c>
      <c r="F21" s="280">
        <v>5</v>
      </c>
      <c r="G21" s="280">
        <v>2.5641025641025599</v>
      </c>
    </row>
    <row r="22" spans="1:7" s="4" customFormat="1" ht="12.75" x14ac:dyDescent="0.2">
      <c r="A22" s="181">
        <v>20</v>
      </c>
      <c r="B22" s="280">
        <v>0</v>
      </c>
      <c r="C22" s="280">
        <v>0</v>
      </c>
      <c r="D22" s="280">
        <v>0</v>
      </c>
      <c r="E22" s="280">
        <v>0</v>
      </c>
      <c r="F22" s="280">
        <v>5</v>
      </c>
      <c r="G22" s="280">
        <v>2.5641025641025599</v>
      </c>
    </row>
    <row r="23" spans="1:7" s="4" customFormat="1" ht="12.75" x14ac:dyDescent="0.2">
      <c r="A23" s="181">
        <v>21</v>
      </c>
      <c r="B23" s="280">
        <v>0</v>
      </c>
      <c r="C23" s="280">
        <v>0</v>
      </c>
      <c r="D23" s="280">
        <v>0</v>
      </c>
      <c r="E23" s="280">
        <v>0</v>
      </c>
      <c r="F23" s="280">
        <v>2.5</v>
      </c>
      <c r="G23" s="280">
        <v>2.5641025641025599</v>
      </c>
    </row>
    <row r="24" spans="1:7" s="4" customFormat="1" ht="12.75" customHeight="1" x14ac:dyDescent="0.2">
      <c r="A24" s="181">
        <v>22</v>
      </c>
      <c r="B24" s="280">
        <v>0</v>
      </c>
      <c r="C24" s="280">
        <v>0</v>
      </c>
      <c r="D24" s="280">
        <v>0</v>
      </c>
      <c r="E24" s="280">
        <v>0</v>
      </c>
      <c r="F24" s="280">
        <v>0</v>
      </c>
      <c r="G24" s="280">
        <v>2.5641025641025599</v>
      </c>
    </row>
    <row r="25" spans="1:7" s="4" customFormat="1" ht="12.75" customHeight="1" x14ac:dyDescent="0.2">
      <c r="A25" s="181">
        <v>23</v>
      </c>
      <c r="B25" s="280">
        <v>0</v>
      </c>
      <c r="C25" s="280">
        <v>0</v>
      </c>
      <c r="D25" s="280">
        <v>0</v>
      </c>
      <c r="E25" s="280">
        <v>0</v>
      </c>
      <c r="F25" s="280">
        <v>0</v>
      </c>
      <c r="G25" s="280">
        <v>2.5641025641025599</v>
      </c>
    </row>
    <row r="26" spans="1:7" s="4" customFormat="1" ht="12.75" customHeight="1" x14ac:dyDescent="0.2">
      <c r="A26" s="181">
        <v>24</v>
      </c>
      <c r="B26" s="280">
        <v>0</v>
      </c>
      <c r="C26" s="280">
        <v>0</v>
      </c>
      <c r="D26" s="280">
        <v>0</v>
      </c>
      <c r="E26" s="280">
        <v>0</v>
      </c>
      <c r="F26" s="280">
        <v>0</v>
      </c>
      <c r="G26" s="280">
        <v>2.5641025641025599</v>
      </c>
    </row>
    <row r="27" spans="1:7" s="4" customFormat="1" ht="12.75" customHeight="1" x14ac:dyDescent="0.2">
      <c r="A27" s="181">
        <v>25</v>
      </c>
      <c r="B27" s="280">
        <v>0</v>
      </c>
      <c r="C27" s="280">
        <v>0</v>
      </c>
      <c r="D27" s="280">
        <v>0</v>
      </c>
      <c r="E27" s="280">
        <v>0</v>
      </c>
      <c r="F27" s="280">
        <v>0</v>
      </c>
      <c r="G27" s="280">
        <v>2.5641025641025599</v>
      </c>
    </row>
    <row r="28" spans="1:7" s="4" customFormat="1" ht="12.75" customHeight="1" x14ac:dyDescent="0.2">
      <c r="A28" s="181">
        <v>26</v>
      </c>
      <c r="B28" s="280">
        <v>0</v>
      </c>
      <c r="C28" s="280">
        <v>0</v>
      </c>
      <c r="D28" s="280">
        <v>0</v>
      </c>
      <c r="E28" s="280">
        <v>0</v>
      </c>
      <c r="F28" s="280">
        <v>0</v>
      </c>
      <c r="G28" s="280">
        <v>2.5641025641025599</v>
      </c>
    </row>
    <row r="29" spans="1:7" s="4" customFormat="1" ht="12.75" customHeight="1" x14ac:dyDescent="0.2">
      <c r="A29" s="181">
        <v>27</v>
      </c>
      <c r="B29" s="280">
        <v>0</v>
      </c>
      <c r="C29" s="280">
        <v>0</v>
      </c>
      <c r="D29" s="280">
        <v>0</v>
      </c>
      <c r="E29" s="280">
        <v>0</v>
      </c>
      <c r="F29" s="280">
        <v>0</v>
      </c>
      <c r="G29" s="280">
        <v>2.5641025641025599</v>
      </c>
    </row>
    <row r="30" spans="1:7" ht="12.75" customHeight="1" x14ac:dyDescent="0.25">
      <c r="A30" s="181">
        <v>28</v>
      </c>
      <c r="B30" s="280">
        <v>0</v>
      </c>
      <c r="C30" s="280">
        <v>0</v>
      </c>
      <c r="D30" s="280">
        <v>0</v>
      </c>
      <c r="E30" s="280">
        <v>0</v>
      </c>
      <c r="F30" s="280">
        <v>0</v>
      </c>
      <c r="G30" s="280">
        <v>2.5641025641025599</v>
      </c>
    </row>
    <row r="31" spans="1:7" ht="12.75" customHeight="1" x14ac:dyDescent="0.25">
      <c r="A31" s="181">
        <v>29</v>
      </c>
      <c r="B31" s="280">
        <v>0</v>
      </c>
      <c r="C31" s="280">
        <v>0</v>
      </c>
      <c r="D31" s="280">
        <v>0</v>
      </c>
      <c r="E31" s="280">
        <v>0</v>
      </c>
      <c r="F31" s="280">
        <v>0</v>
      </c>
      <c r="G31" s="280">
        <v>2.5641025641025599</v>
      </c>
    </row>
    <row r="32" spans="1:7" ht="12.75" customHeight="1" x14ac:dyDescent="0.25">
      <c r="A32" s="181">
        <v>30</v>
      </c>
      <c r="B32" s="280">
        <v>0</v>
      </c>
      <c r="C32" s="280">
        <v>0</v>
      </c>
      <c r="D32" s="280">
        <v>0</v>
      </c>
      <c r="E32" s="280">
        <v>0</v>
      </c>
      <c r="F32" s="280">
        <v>0</v>
      </c>
      <c r="G32" s="280">
        <v>2.5641025641025599</v>
      </c>
    </row>
    <row r="33" spans="1:7" ht="12.75" customHeight="1" x14ac:dyDescent="0.25">
      <c r="A33" s="181">
        <v>31</v>
      </c>
      <c r="B33" s="280">
        <v>0</v>
      </c>
      <c r="C33" s="280">
        <v>0</v>
      </c>
      <c r="D33" s="280">
        <v>0</v>
      </c>
      <c r="E33" s="280">
        <v>0</v>
      </c>
      <c r="F33" s="280">
        <v>0</v>
      </c>
      <c r="G33" s="280">
        <v>2.5641025641025599</v>
      </c>
    </row>
    <row r="34" spans="1:7" ht="12.75" customHeight="1" x14ac:dyDescent="0.25">
      <c r="A34" s="181">
        <v>32</v>
      </c>
      <c r="B34" s="280">
        <v>0</v>
      </c>
      <c r="C34" s="280">
        <v>0</v>
      </c>
      <c r="D34" s="280">
        <v>0</v>
      </c>
      <c r="E34" s="280">
        <v>0</v>
      </c>
      <c r="F34" s="280">
        <v>0</v>
      </c>
      <c r="G34" s="280">
        <v>2.5641025641025599</v>
      </c>
    </row>
    <row r="35" spans="1:7" ht="12.75" customHeight="1" x14ac:dyDescent="0.25">
      <c r="A35" s="181">
        <v>33</v>
      </c>
      <c r="B35" s="280">
        <v>0</v>
      </c>
      <c r="C35" s="280">
        <v>0</v>
      </c>
      <c r="D35" s="280">
        <v>0</v>
      </c>
      <c r="E35" s="280">
        <v>0</v>
      </c>
      <c r="F35" s="280">
        <v>0</v>
      </c>
      <c r="G35" s="280">
        <v>2.5641025641025599</v>
      </c>
    </row>
    <row r="36" spans="1:7" ht="12.75" customHeight="1" x14ac:dyDescent="0.25">
      <c r="A36" s="181">
        <v>34</v>
      </c>
      <c r="B36" s="280">
        <v>0</v>
      </c>
      <c r="C36" s="280">
        <v>0</v>
      </c>
      <c r="D36" s="280">
        <v>0</v>
      </c>
      <c r="E36" s="280">
        <v>0</v>
      </c>
      <c r="F36" s="280">
        <v>0</v>
      </c>
      <c r="G36" s="280">
        <v>2.5641025641025599</v>
      </c>
    </row>
    <row r="37" spans="1:7" ht="12.75" customHeight="1" x14ac:dyDescent="0.25">
      <c r="A37" s="181">
        <v>35</v>
      </c>
      <c r="B37" s="280">
        <v>0</v>
      </c>
      <c r="C37" s="280">
        <v>0</v>
      </c>
      <c r="D37" s="280">
        <v>0</v>
      </c>
      <c r="E37" s="280">
        <v>0</v>
      </c>
      <c r="F37" s="280">
        <v>0</v>
      </c>
      <c r="G37" s="280">
        <v>2.5641025641025599</v>
      </c>
    </row>
    <row r="38" spans="1:7" ht="12.75" customHeight="1" x14ac:dyDescent="0.25">
      <c r="A38" s="181">
        <v>36</v>
      </c>
      <c r="B38" s="280">
        <v>0</v>
      </c>
      <c r="C38" s="280">
        <v>0</v>
      </c>
      <c r="D38" s="280">
        <v>0</v>
      </c>
      <c r="E38" s="280">
        <v>0</v>
      </c>
      <c r="F38" s="280">
        <v>0</v>
      </c>
      <c r="G38" s="280">
        <v>2.5641025641025599</v>
      </c>
    </row>
    <row r="39" spans="1:7" ht="12.75" customHeight="1" x14ac:dyDescent="0.25">
      <c r="A39" s="181">
        <v>37</v>
      </c>
      <c r="B39" s="280">
        <v>0</v>
      </c>
      <c r="C39" s="280">
        <v>0</v>
      </c>
      <c r="D39" s="280">
        <v>0</v>
      </c>
      <c r="E39" s="280">
        <v>0</v>
      </c>
      <c r="F39" s="280">
        <v>0</v>
      </c>
      <c r="G39" s="280">
        <v>2.5641025641025599</v>
      </c>
    </row>
    <row r="40" spans="1:7" ht="12.75" customHeight="1" x14ac:dyDescent="0.25">
      <c r="A40" s="181">
        <v>38</v>
      </c>
      <c r="B40" s="280">
        <v>0</v>
      </c>
      <c r="C40" s="280">
        <v>0</v>
      </c>
      <c r="D40" s="280">
        <v>0</v>
      </c>
      <c r="E40" s="280">
        <v>0</v>
      </c>
      <c r="F40" s="280">
        <v>0</v>
      </c>
      <c r="G40" s="280">
        <v>2.5641025641025599</v>
      </c>
    </row>
    <row r="41" spans="1:7" ht="12.75" customHeight="1" x14ac:dyDescent="0.25">
      <c r="A41" s="181">
        <v>39</v>
      </c>
      <c r="B41" s="280">
        <v>0</v>
      </c>
      <c r="C41" s="280">
        <v>0</v>
      </c>
      <c r="D41" s="280">
        <v>0</v>
      </c>
      <c r="E41" s="280">
        <v>0</v>
      </c>
      <c r="F41" s="280">
        <v>0</v>
      </c>
      <c r="G41" s="280">
        <v>2.5641025641025599</v>
      </c>
    </row>
    <row r="42" spans="1:7" ht="12.75" customHeight="1" x14ac:dyDescent="0.25">
      <c r="A42" s="182">
        <v>40</v>
      </c>
      <c r="B42" s="281">
        <v>0</v>
      </c>
      <c r="C42" s="281">
        <v>0</v>
      </c>
      <c r="D42" s="281">
        <v>0</v>
      </c>
      <c r="E42" s="281">
        <v>0</v>
      </c>
      <c r="F42" s="281">
        <v>0</v>
      </c>
      <c r="G42" s="281">
        <f>2.56410256410256*0.5</f>
        <v>1.2820512820512799</v>
      </c>
    </row>
    <row r="43" spans="1:7" x14ac:dyDescent="0.25">
      <c r="A43" s="179" t="s">
        <v>261</v>
      </c>
      <c r="B43" s="179"/>
      <c r="C43" s="179"/>
      <c r="D43" s="179"/>
      <c r="E43" s="179"/>
      <c r="F43" s="179"/>
      <c r="G43" s="179"/>
    </row>
    <row r="44" spans="1:7" x14ac:dyDescent="0.25">
      <c r="A44" s="179" t="s">
        <v>147</v>
      </c>
      <c r="B44" s="179"/>
      <c r="C44" s="179"/>
      <c r="D44" s="179"/>
      <c r="E44" s="179"/>
      <c r="F44" s="179"/>
      <c r="G44" s="179"/>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2014-09-24T16:35:55Z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