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70" windowWidth="18795" windowHeight="11760" tabRatio="683"/>
  </bookViews>
  <sheets>
    <sheet name="Input &amp; Summary" sheetId="1" r:id="rId1"/>
    <sheet name="Cost Summary" sheetId="2" r:id="rId2"/>
    <sheet name="Cost &amp; Mass Functions" sheetId="3" r:id="rId3"/>
    <sheet name="AEP Input Output sheet" sheetId="4" r:id="rId4"/>
    <sheet name="PPI Calculation" sheetId="5" r:id="rId5"/>
    <sheet name="PPI Look Up Table" sheetId="6" r:id="rId6"/>
  </sheets>
  <definedNames>
    <definedName name="_xlnm.Print_Area" localSheetId="3">'AEP Input Output sheet'!$A$1:$P$48</definedName>
    <definedName name="_xlnm.Print_Area" localSheetId="2">'Cost &amp; Mass Functions'!$B$226:$J$263</definedName>
    <definedName name="_xlnm.Print_Area" localSheetId="1">'Cost Summary'!$A$9:$C$70</definedName>
    <definedName name="_xlnm.Print_Area" localSheetId="5">'PPI Look Up Table'!$A$4:$M$34</definedName>
    <definedName name="solver_adj" localSheetId="3" hidden="1">'AEP Input Output sheet'!$T$1:$T$3</definedName>
    <definedName name="solver_cvg" localSheetId="3" hidden="1">0.0001</definedName>
    <definedName name="solver_drv" localSheetId="3" hidden="1">1</definedName>
    <definedName name="solver_est" localSheetId="3" hidden="1">1</definedName>
    <definedName name="solver_itr" localSheetId="3" hidden="1">100</definedName>
    <definedName name="solver_lhs1" localSheetId="3" hidden="1">'AEP Input Output sheet'!$T$3</definedName>
    <definedName name="solver_lhs2" localSheetId="3" hidden="1">'AEP Input Output sheet'!$T$2</definedName>
    <definedName name="solver_lhs3" localSheetId="3" hidden="1">'AEP Input Output sheet'!$T$3</definedName>
    <definedName name="solver_lin" localSheetId="3" hidden="1">2</definedName>
    <definedName name="solver_neg" localSheetId="3" hidden="1">2</definedName>
    <definedName name="solver_num" localSheetId="3" hidden="1">1</definedName>
    <definedName name="solver_nwt" localSheetId="3" hidden="1">1</definedName>
    <definedName name="solver_opt" localSheetId="3" hidden="1">'Cost &amp; Mass Functions'!$L$140</definedName>
    <definedName name="solver_pre" localSheetId="3" hidden="1">0.000001</definedName>
    <definedName name="solver_rel1" localSheetId="3" hidden="1">2</definedName>
    <definedName name="solver_rel2" localSheetId="3" hidden="1">3</definedName>
    <definedName name="solver_rel3" localSheetId="3" hidden="1">3</definedName>
    <definedName name="solver_rhs1" localSheetId="3" hidden="1">0</definedName>
    <definedName name="solver_rhs2" localSheetId="3" hidden="1">0</definedName>
    <definedName name="solver_rhs3" localSheetId="3" hidden="1">0</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2</definedName>
    <definedName name="solver_val" localSheetId="3" hidden="1">0</definedName>
    <definedName name="TurbineChoices">'AEP Input Output sheet'!$N$50:$CO$50</definedName>
  </definedNames>
  <calcPr calcId="145621"/>
</workbook>
</file>

<file path=xl/calcChain.xml><?xml version="1.0" encoding="utf-8"?>
<calcChain xmlns="http://schemas.openxmlformats.org/spreadsheetml/2006/main">
  <c r="D339" i="3" l="1"/>
  <c r="A1" i="6"/>
  <c r="D266" i="5"/>
  <c r="D260" i="5"/>
  <c r="D215" i="5"/>
  <c r="D212" i="5"/>
  <c r="D209" i="5"/>
  <c r="D199" i="5"/>
  <c r="D196" i="5"/>
  <c r="D193" i="5"/>
  <c r="D187" i="5"/>
  <c r="D181" i="5"/>
  <c r="D175" i="5"/>
  <c r="D169" i="5"/>
  <c r="D163" i="5"/>
  <c r="D157" i="5"/>
  <c r="D139" i="5"/>
  <c r="D129" i="5"/>
  <c r="D126" i="5"/>
  <c r="D120" i="5"/>
  <c r="D110" i="5"/>
  <c r="D107" i="5"/>
  <c r="D101" i="5"/>
  <c r="D95" i="5"/>
  <c r="D92" i="5"/>
  <c r="D86" i="5"/>
  <c r="D80" i="5"/>
  <c r="D74" i="5"/>
  <c r="D68" i="5"/>
  <c r="D62" i="5"/>
  <c r="D56" i="5"/>
  <c r="D50" i="5"/>
  <c r="D47" i="5"/>
  <c r="D44" i="5"/>
  <c r="D41" i="5"/>
  <c r="D35" i="5"/>
  <c r="D28" i="5"/>
  <c r="D24" i="5"/>
  <c r="D20" i="5"/>
  <c r="D17" i="5"/>
  <c r="J18" i="5"/>
  <c r="I18" i="5"/>
  <c r="J21" i="5"/>
  <c r="I21" i="5"/>
  <c r="J25" i="5"/>
  <c r="I25" i="5"/>
  <c r="K28" i="5"/>
  <c r="K24" i="5"/>
  <c r="K20" i="5"/>
  <c r="K17" i="5"/>
  <c r="K21" i="5" l="1"/>
  <c r="K18" i="5"/>
  <c r="K25" i="5"/>
  <c r="C6" i="1"/>
  <c r="A60" i="2"/>
  <c r="A47" i="2"/>
  <c r="A50" i="2"/>
  <c r="A34" i="2"/>
  <c r="C271" i="5"/>
  <c r="C267" i="5"/>
  <c r="B267" i="5"/>
  <c r="D267" i="5" s="1"/>
  <c r="D268" i="5" s="1"/>
  <c r="C261" i="5"/>
  <c r="B261" i="5"/>
  <c r="C255" i="5"/>
  <c r="C250" i="5"/>
  <c r="C245" i="5"/>
  <c r="C240" i="5"/>
  <c r="C235" i="5"/>
  <c r="C230" i="5"/>
  <c r="C225" i="5"/>
  <c r="C219" i="5"/>
  <c r="C216" i="5"/>
  <c r="B216" i="5"/>
  <c r="D216" i="5" s="1"/>
  <c r="C213" i="5"/>
  <c r="B213" i="5"/>
  <c r="C210" i="5"/>
  <c r="B210" i="5"/>
  <c r="D210" i="5" s="1"/>
  <c r="C203" i="5"/>
  <c r="C200" i="5"/>
  <c r="B200" i="5"/>
  <c r="C197" i="5"/>
  <c r="B197" i="5"/>
  <c r="C194" i="5"/>
  <c r="B194" i="5"/>
  <c r="C188" i="5"/>
  <c r="B188" i="5"/>
  <c r="C182" i="5"/>
  <c r="B182" i="5"/>
  <c r="C176" i="5"/>
  <c r="B176" i="5"/>
  <c r="C170" i="5"/>
  <c r="B170" i="5"/>
  <c r="C164" i="5"/>
  <c r="B164" i="5"/>
  <c r="C158" i="5"/>
  <c r="B158" i="5"/>
  <c r="C151" i="5"/>
  <c r="C145" i="5"/>
  <c r="C140" i="5"/>
  <c r="B140" i="5"/>
  <c r="C133" i="5"/>
  <c r="C130" i="5"/>
  <c r="B130" i="5"/>
  <c r="C127" i="5"/>
  <c r="B127" i="5"/>
  <c r="D127" i="5" s="1"/>
  <c r="C121" i="5"/>
  <c r="B121" i="5"/>
  <c r="C114" i="5"/>
  <c r="C111" i="5"/>
  <c r="B111" i="5"/>
  <c r="C108" i="5"/>
  <c r="B108" i="5"/>
  <c r="C102" i="5"/>
  <c r="B102" i="5"/>
  <c r="C96" i="5"/>
  <c r="B96" i="5"/>
  <c r="C93" i="5"/>
  <c r="B93" i="5"/>
  <c r="C87" i="5"/>
  <c r="B87" i="5"/>
  <c r="C81" i="5"/>
  <c r="B81" i="5"/>
  <c r="C75" i="5"/>
  <c r="B75" i="5"/>
  <c r="C69" i="5"/>
  <c r="B69" i="5"/>
  <c r="C63" i="5"/>
  <c r="B63" i="5"/>
  <c r="C57" i="5"/>
  <c r="B57" i="5"/>
  <c r="C51" i="5"/>
  <c r="B51" i="5"/>
  <c r="C48" i="5"/>
  <c r="B48" i="5"/>
  <c r="C45" i="5"/>
  <c r="B45" i="5"/>
  <c r="C42" i="5"/>
  <c r="B42" i="5"/>
  <c r="C36" i="5"/>
  <c r="B36" i="5"/>
  <c r="J29" i="5"/>
  <c r="I29" i="5"/>
  <c r="C29" i="5"/>
  <c r="B29" i="5"/>
  <c r="C25" i="5"/>
  <c r="B25" i="5"/>
  <c r="C21" i="5"/>
  <c r="B21" i="5"/>
  <c r="C18" i="5"/>
  <c r="B18" i="5"/>
  <c r="C10" i="5"/>
  <c r="A1" i="5"/>
  <c r="N214" i="4"/>
  <c r="B8" i="1" s="1"/>
  <c r="D6" i="3" s="1"/>
  <c r="D222" i="3" s="1"/>
  <c r="N213" i="4"/>
  <c r="B7" i="1" s="1"/>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BS100" i="4"/>
  <c r="BS101" i="4" s="1"/>
  <c r="BS102" i="4" s="1"/>
  <c r="BC100" i="4"/>
  <c r="AB100" i="4"/>
  <c r="BS96" i="4"/>
  <c r="BS97" i="4" s="1"/>
  <c r="BS98" i="4" s="1"/>
  <c r="BC96" i="4"/>
  <c r="BC97" i="4" s="1"/>
  <c r="BC98" i="4" s="1"/>
  <c r="AB96" i="4"/>
  <c r="AB97" i="4" s="1"/>
  <c r="AB98" i="4" s="1"/>
  <c r="BS92" i="4"/>
  <c r="BS93" i="4" s="1"/>
  <c r="BS94" i="4" s="1"/>
  <c r="BC92" i="4"/>
  <c r="BC93" i="4" s="1"/>
  <c r="BC94" i="4" s="1"/>
  <c r="AB92" i="4"/>
  <c r="AB93" i="4" s="1"/>
  <c r="AB94" i="4" s="1"/>
  <c r="BS88" i="4"/>
  <c r="BS89" i="4" s="1"/>
  <c r="BS90" i="4" s="1"/>
  <c r="BC88" i="4"/>
  <c r="BC89" i="4" s="1"/>
  <c r="BC90" i="4" s="1"/>
  <c r="AB88" i="4"/>
  <c r="AB89" i="4" s="1"/>
  <c r="AB90" i="4" s="1"/>
  <c r="BS84" i="4"/>
  <c r="BS85" i="4" s="1"/>
  <c r="BS86" i="4" s="1"/>
  <c r="BC84" i="4"/>
  <c r="BC85" i="4" s="1"/>
  <c r="BC86" i="4" s="1"/>
  <c r="AB84" i="4"/>
  <c r="AB85" i="4" s="1"/>
  <c r="AB86" i="4" s="1"/>
  <c r="BS80" i="4"/>
  <c r="BS81" i="4" s="1"/>
  <c r="BS82" i="4" s="1"/>
  <c r="BC80" i="4"/>
  <c r="BC81" i="4" s="1"/>
  <c r="BC82" i="4" s="1"/>
  <c r="AB80" i="4"/>
  <c r="AB81" i="4" s="1"/>
  <c r="AB82" i="4" s="1"/>
  <c r="BS76" i="4"/>
  <c r="BS77" i="4" s="1"/>
  <c r="BS78" i="4" s="1"/>
  <c r="BC76" i="4"/>
  <c r="BC77" i="4" s="1"/>
  <c r="BC78" i="4" s="1"/>
  <c r="AB76" i="4"/>
  <c r="AB77" i="4" s="1"/>
  <c r="AB78" i="4" s="1"/>
  <c r="BS72" i="4"/>
  <c r="BS73" i="4" s="1"/>
  <c r="BS74" i="4" s="1"/>
  <c r="BC72" i="4"/>
  <c r="BC73" i="4" s="1"/>
  <c r="BC74" i="4" s="1"/>
  <c r="AB72" i="4"/>
  <c r="AB73" i="4" s="1"/>
  <c r="AB74" i="4" s="1"/>
  <c r="BS68" i="4"/>
  <c r="BS69" i="4" s="1"/>
  <c r="BS70" i="4" s="1"/>
  <c r="BC68" i="4"/>
  <c r="BC69" i="4" s="1"/>
  <c r="BC70" i="4" s="1"/>
  <c r="AB68" i="4"/>
  <c r="AB69" i="4" s="1"/>
  <c r="AB70" i="4" s="1"/>
  <c r="H67" i="4"/>
  <c r="H66" i="4"/>
  <c r="H65" i="4"/>
  <c r="AB64" i="4"/>
  <c r="AB65" i="4" s="1"/>
  <c r="AB66" i="4" s="1"/>
  <c r="H64" i="4"/>
  <c r="H63" i="4"/>
  <c r="H62" i="4"/>
  <c r="CJ61" i="4"/>
  <c r="CJ62" i="4" s="1"/>
  <c r="CJ63" i="4" s="1"/>
  <c r="H61" i="4"/>
  <c r="H60" i="4"/>
  <c r="H59" i="4"/>
  <c r="H58" i="4"/>
  <c r="H57" i="4"/>
  <c r="H56" i="4"/>
  <c r="H55" i="4"/>
  <c r="H54" i="4"/>
  <c r="H53" i="4"/>
  <c r="H52" i="4"/>
  <c r="H51" i="4"/>
  <c r="G50" i="4"/>
  <c r="B24" i="4"/>
  <c r="B23" i="4"/>
  <c r="B22" i="4"/>
  <c r="B7" i="4"/>
  <c r="B6" i="4"/>
  <c r="B15" i="4" s="1"/>
  <c r="B5" i="4"/>
  <c r="D507" i="3"/>
  <c r="D338" i="3"/>
  <c r="D329" i="3"/>
  <c r="D184" i="3"/>
  <c r="D148" i="3"/>
  <c r="B21" i="4"/>
  <c r="B20" i="4"/>
  <c r="B19" i="4"/>
  <c r="D96" i="3"/>
  <c r="J6" i="3"/>
  <c r="D277" i="3" s="1"/>
  <c r="I6" i="3"/>
  <c r="H6" i="3"/>
  <c r="G6" i="3"/>
  <c r="F6" i="3"/>
  <c r="E6" i="3"/>
  <c r="B1" i="3"/>
  <c r="B46" i="2"/>
  <c r="A46" i="2"/>
  <c r="B45" i="2"/>
  <c r="A45" i="2"/>
  <c r="A44" i="2"/>
  <c r="A43" i="2"/>
  <c r="A42" i="2"/>
  <c r="A41" i="2"/>
  <c r="A40" i="2"/>
  <c r="A39" i="2"/>
  <c r="A38" i="2"/>
  <c r="A37" i="2"/>
  <c r="B10" i="2"/>
  <c r="A9" i="2"/>
  <c r="B7" i="2"/>
  <c r="A1" i="2"/>
  <c r="A10" i="1"/>
  <c r="E9" i="1"/>
  <c r="D121" i="5" l="1"/>
  <c r="D122" i="5" s="1"/>
  <c r="D130" i="5"/>
  <c r="D213" i="5"/>
  <c r="D202" i="5"/>
  <c r="D132" i="5"/>
  <c r="D244" i="5"/>
  <c r="D224" i="5"/>
  <c r="D144" i="5"/>
  <c r="D150" i="5"/>
  <c r="D9" i="5"/>
  <c r="D254" i="5"/>
  <c r="D234" i="5"/>
  <c r="D113" i="5"/>
  <c r="K29" i="5"/>
  <c r="K31" i="5" s="1"/>
  <c r="F30" i="3" s="1"/>
  <c r="D18" i="5"/>
  <c r="E10" i="1" s="1"/>
  <c r="D21" i="5"/>
  <c r="D25" i="5"/>
  <c r="D29" i="5"/>
  <c r="D36" i="5"/>
  <c r="D37" i="5" s="1"/>
  <c r="D45" i="3" s="1"/>
  <c r="D42" i="5"/>
  <c r="D45" i="5"/>
  <c r="D48" i="5"/>
  <c r="D51" i="5"/>
  <c r="D57" i="5"/>
  <c r="D58" i="5" s="1"/>
  <c r="D116" i="3" s="1"/>
  <c r="D63" i="5"/>
  <c r="D64" i="5" s="1"/>
  <c r="D136" i="3" s="1"/>
  <c r="D69" i="5"/>
  <c r="D70" i="5" s="1"/>
  <c r="D158" i="3" s="1"/>
  <c r="D75" i="5"/>
  <c r="D76" i="5" s="1"/>
  <c r="D171" i="3" s="1"/>
  <c r="D81" i="5"/>
  <c r="D82" i="5" s="1"/>
  <c r="D196" i="3" s="1"/>
  <c r="D87" i="5"/>
  <c r="D88" i="5" s="1"/>
  <c r="D206" i="3" s="1"/>
  <c r="D93" i="5"/>
  <c r="D96" i="5"/>
  <c r="D102" i="5"/>
  <c r="D103" i="5" s="1"/>
  <c r="D280" i="3" s="1"/>
  <c r="D108" i="5"/>
  <c r="D111" i="5"/>
  <c r="D140" i="5"/>
  <c r="D141" i="5" s="1"/>
  <c r="D158" i="5"/>
  <c r="D159" i="5" s="1"/>
  <c r="D360" i="3" s="1"/>
  <c r="D164" i="5"/>
  <c r="D165" i="5" s="1"/>
  <c r="D576" i="3" s="1"/>
  <c r="D170" i="5"/>
  <c r="D171" i="5" s="1"/>
  <c r="D176" i="5"/>
  <c r="D177" i="5" s="1"/>
  <c r="D182" i="5"/>
  <c r="D183" i="5" s="1"/>
  <c r="D414" i="3" s="1"/>
  <c r="D188" i="5"/>
  <c r="D189" i="5" s="1"/>
  <c r="D194" i="5"/>
  <c r="D197" i="5"/>
  <c r="D200" i="5"/>
  <c r="D261" i="5"/>
  <c r="D262" i="5" s="1"/>
  <c r="D374" i="3" s="1"/>
  <c r="B16" i="4"/>
  <c r="D305" i="3"/>
  <c r="D403" i="3"/>
  <c r="B5" i="2"/>
  <c r="D358" i="3"/>
  <c r="C33" i="2" s="1"/>
  <c r="D268" i="3"/>
  <c r="G11" i="4"/>
  <c r="G9" i="4"/>
  <c r="G8" i="4"/>
  <c r="G7" i="4"/>
  <c r="G6" i="4"/>
  <c r="G5" i="4"/>
  <c r="G4" i="4"/>
  <c r="G3" i="4"/>
  <c r="G2" i="4"/>
  <c r="G22" i="4"/>
  <c r="G21" i="4"/>
  <c r="G20" i="4"/>
  <c r="G19" i="4"/>
  <c r="G18" i="4"/>
  <c r="G17" i="4"/>
  <c r="G16" i="4"/>
  <c r="G15" i="4"/>
  <c r="G14" i="4"/>
  <c r="G13" i="4"/>
  <c r="G12" i="4"/>
  <c r="G10" i="4"/>
  <c r="B17" i="4"/>
  <c r="I62" i="4" s="1"/>
  <c r="N62" i="4" s="1"/>
  <c r="G62" i="4" s="1"/>
  <c r="D221" i="3"/>
  <c r="C27" i="2" s="1"/>
  <c r="D373" i="3"/>
  <c r="D192" i="3"/>
  <c r="D154" i="3"/>
  <c r="D130" i="3"/>
  <c r="D115" i="3"/>
  <c r="D111" i="3"/>
  <c r="D85" i="3"/>
  <c r="D70" i="3"/>
  <c r="D71" i="3" s="1"/>
  <c r="D238" i="3"/>
  <c r="D237" i="3" s="1"/>
  <c r="D233" i="3" s="1"/>
  <c r="D236" i="3"/>
  <c r="D94" i="3"/>
  <c r="D99" i="3" s="1"/>
  <c r="G70" i="3"/>
  <c r="B210" i="4"/>
  <c r="B188" i="4"/>
  <c r="B175" i="4"/>
  <c r="B165" i="4"/>
  <c r="B164" i="4"/>
  <c r="B155" i="4"/>
  <c r="B153" i="4"/>
  <c r="B144" i="4"/>
  <c r="B143" i="4"/>
  <c r="B136" i="4"/>
  <c r="B135" i="4"/>
  <c r="B128" i="4"/>
  <c r="B127" i="4"/>
  <c r="B120" i="4"/>
  <c r="B119" i="4"/>
  <c r="B112" i="4"/>
  <c r="B111" i="4"/>
  <c r="B104" i="4"/>
  <c r="B103" i="4"/>
  <c r="B97" i="4"/>
  <c r="B90" i="4"/>
  <c r="B77" i="4"/>
  <c r="B74" i="4"/>
  <c r="C53" i="4"/>
  <c r="C52" i="4"/>
  <c r="B91" i="4"/>
  <c r="B89" i="4"/>
  <c r="B75" i="4"/>
  <c r="B73" i="4"/>
  <c r="B60" i="4"/>
  <c r="B59" i="4"/>
  <c r="B52" i="4"/>
  <c r="B51" i="4"/>
  <c r="D275" i="3"/>
  <c r="D413" i="3"/>
  <c r="C211" i="4"/>
  <c r="C210" i="4"/>
  <c r="C203" i="4"/>
  <c r="C202" i="4"/>
  <c r="C195" i="4"/>
  <c r="C194" i="4"/>
  <c r="C187" i="4"/>
  <c r="C186" i="4"/>
  <c r="C179" i="4"/>
  <c r="C178" i="4"/>
  <c r="C168" i="4"/>
  <c r="C167" i="4"/>
  <c r="C160" i="4"/>
  <c r="C159" i="4"/>
  <c r="C152" i="4"/>
  <c r="C151" i="4"/>
  <c r="C144" i="4"/>
  <c r="C143" i="4"/>
  <c r="C136" i="4"/>
  <c r="C135" i="4"/>
  <c r="C128" i="4"/>
  <c r="C127" i="4"/>
  <c r="C120" i="4"/>
  <c r="C119" i="4"/>
  <c r="C112" i="4"/>
  <c r="C111" i="4"/>
  <c r="C175" i="4"/>
  <c r="C173" i="4"/>
  <c r="C91" i="4"/>
  <c r="B6" i="2"/>
  <c r="C6" i="3"/>
  <c r="D575" i="3" s="1"/>
  <c r="D28" i="3"/>
  <c r="C62" i="4"/>
  <c r="C77" i="4"/>
  <c r="C79" i="4"/>
  <c r="C95" i="4"/>
  <c r="C96" i="4"/>
  <c r="D273" i="3"/>
  <c r="C56" i="4"/>
  <c r="C57" i="4"/>
  <c r="C67" i="4"/>
  <c r="C68" i="4"/>
  <c r="C81" i="4"/>
  <c r="C83" i="4"/>
  <c r="C93" i="4"/>
  <c r="C98" i="4"/>
  <c r="I198" i="4"/>
  <c r="B211" i="4" l="1"/>
  <c r="B204" i="4"/>
  <c r="B194" i="4"/>
  <c r="B184" i="4"/>
  <c r="B177" i="4"/>
  <c r="B172" i="4"/>
  <c r="B167" i="4"/>
  <c r="B161" i="4"/>
  <c r="B156" i="4"/>
  <c r="B151" i="4"/>
  <c r="B145" i="4"/>
  <c r="B141" i="4"/>
  <c r="B137" i="4"/>
  <c r="B133" i="4"/>
  <c r="B129" i="4"/>
  <c r="B125" i="4"/>
  <c r="B121" i="4"/>
  <c r="B117" i="4"/>
  <c r="B113" i="4"/>
  <c r="B109" i="4"/>
  <c r="B105" i="4"/>
  <c r="B98" i="4"/>
  <c r="B102" i="4"/>
  <c r="B87" i="4"/>
  <c r="B79" i="4"/>
  <c r="B71" i="4"/>
  <c r="B62" i="4"/>
  <c r="D14" i="4"/>
  <c r="B92" i="4"/>
  <c r="B84" i="4"/>
  <c r="B76" i="4"/>
  <c r="B68" i="4"/>
  <c r="B61" i="4"/>
  <c r="B57" i="4"/>
  <c r="B53" i="4"/>
  <c r="C208" i="4"/>
  <c r="C204" i="4"/>
  <c r="C200" i="4"/>
  <c r="D200" i="4" s="1"/>
  <c r="C196" i="4"/>
  <c r="C192" i="4"/>
  <c r="C188" i="4"/>
  <c r="C184" i="4"/>
  <c r="C180" i="4"/>
  <c r="D180" i="4" s="1"/>
  <c r="C174" i="4"/>
  <c r="C169" i="4"/>
  <c r="C165" i="4"/>
  <c r="C161" i="4"/>
  <c r="D161" i="4" s="1"/>
  <c r="C157" i="4"/>
  <c r="C153" i="4"/>
  <c r="C149" i="4"/>
  <c r="D149" i="4" s="1"/>
  <c r="C145" i="4"/>
  <c r="D145" i="4" s="1"/>
  <c r="C141" i="4"/>
  <c r="C137" i="4"/>
  <c r="C129" i="4"/>
  <c r="C125" i="4"/>
  <c r="D125" i="4" s="1"/>
  <c r="C117" i="4"/>
  <c r="C109" i="4"/>
  <c r="C92" i="4"/>
  <c r="D92" i="4" s="1"/>
  <c r="C74" i="4"/>
  <c r="D74" i="4" s="1"/>
  <c r="C104" i="4"/>
  <c r="C65" i="4"/>
  <c r="B208" i="4"/>
  <c r="B196" i="4"/>
  <c r="B186" i="4"/>
  <c r="B179" i="4"/>
  <c r="B173" i="4"/>
  <c r="B168" i="4"/>
  <c r="B163" i="4"/>
  <c r="B157" i="4"/>
  <c r="B152" i="4"/>
  <c r="B147" i="4"/>
  <c r="B142" i="4"/>
  <c r="B138" i="4"/>
  <c r="B134" i="4"/>
  <c r="B130" i="4"/>
  <c r="B126" i="4"/>
  <c r="B122" i="4"/>
  <c r="B118" i="4"/>
  <c r="B114" i="4"/>
  <c r="B110" i="4"/>
  <c r="B106" i="4"/>
  <c r="B101" i="4"/>
  <c r="B93" i="4"/>
  <c r="B88" i="4"/>
  <c r="B80" i="4"/>
  <c r="B72" i="4"/>
  <c r="B64" i="4"/>
  <c r="C51" i="4"/>
  <c r="B94" i="4"/>
  <c r="B86" i="4"/>
  <c r="B78" i="4"/>
  <c r="B70" i="4"/>
  <c r="B63" i="4"/>
  <c r="B58" i="4"/>
  <c r="B54" i="4"/>
  <c r="C209" i="4"/>
  <c r="C205" i="4"/>
  <c r="C201" i="4"/>
  <c r="D201" i="4" s="1"/>
  <c r="C197" i="4"/>
  <c r="D197" i="4" s="1"/>
  <c r="C193" i="4"/>
  <c r="C189" i="4"/>
  <c r="C185" i="4"/>
  <c r="D185" i="4" s="1"/>
  <c r="C181" i="4"/>
  <c r="D181" i="4" s="1"/>
  <c r="C176" i="4"/>
  <c r="C170" i="4"/>
  <c r="C166" i="4"/>
  <c r="D166" i="4" s="1"/>
  <c r="C162" i="4"/>
  <c r="D162" i="4" s="1"/>
  <c r="C158" i="4"/>
  <c r="C154" i="4"/>
  <c r="C150" i="4"/>
  <c r="D150" i="4" s="1"/>
  <c r="C146" i="4"/>
  <c r="D146" i="4" s="1"/>
  <c r="C142" i="4"/>
  <c r="C138" i="4"/>
  <c r="C134" i="4"/>
  <c r="D134" i="4" s="1"/>
  <c r="C130" i="4"/>
  <c r="D130" i="4" s="1"/>
  <c r="C126" i="4"/>
  <c r="C122" i="4"/>
  <c r="C118" i="4"/>
  <c r="D118" i="4" s="1"/>
  <c r="C114" i="4"/>
  <c r="D114" i="4" s="1"/>
  <c r="C110" i="4"/>
  <c r="C106" i="4"/>
  <c r="C102" i="4"/>
  <c r="D102" i="4" s="1"/>
  <c r="C94" i="4"/>
  <c r="C64" i="4"/>
  <c r="C72" i="4"/>
  <c r="C80" i="4"/>
  <c r="D80" i="4" s="1"/>
  <c r="C88" i="4"/>
  <c r="D88" i="4" s="1"/>
  <c r="C103" i="4"/>
  <c r="C54" i="4"/>
  <c r="C58" i="4"/>
  <c r="C63" i="4"/>
  <c r="D63" i="4" s="1"/>
  <c r="C70" i="4"/>
  <c r="C78" i="4"/>
  <c r="C86" i="4"/>
  <c r="C101" i="4"/>
  <c r="D101" i="4" s="1"/>
  <c r="C133" i="4"/>
  <c r="C121" i="4"/>
  <c r="C113" i="4"/>
  <c r="D113" i="4" s="1"/>
  <c r="C177" i="4"/>
  <c r="D177" i="4" s="1"/>
  <c r="C100" i="4"/>
  <c r="C66" i="4"/>
  <c r="C82" i="4"/>
  <c r="D82" i="4" s="1"/>
  <c r="C90" i="4"/>
  <c r="D90" i="4" s="1"/>
  <c r="C55" i="4"/>
  <c r="C59" i="4"/>
  <c r="C73" i="4"/>
  <c r="C89" i="4"/>
  <c r="D89" i="4" s="1"/>
  <c r="C61" i="4"/>
  <c r="C87" i="4"/>
  <c r="C71" i="4"/>
  <c r="D71" i="4" s="1"/>
  <c r="C97" i="4"/>
  <c r="C107" i="4"/>
  <c r="C123" i="4"/>
  <c r="C131" i="4"/>
  <c r="D131" i="4" s="1"/>
  <c r="C139" i="4"/>
  <c r="D139" i="4" s="1"/>
  <c r="C147" i="4"/>
  <c r="C155" i="4"/>
  <c r="C163" i="4"/>
  <c r="D163" i="4" s="1"/>
  <c r="C171" i="4"/>
  <c r="D171" i="4" s="1"/>
  <c r="C190" i="4"/>
  <c r="C198" i="4"/>
  <c r="C206" i="4"/>
  <c r="D206" i="4" s="1"/>
  <c r="B55" i="4"/>
  <c r="B65" i="4"/>
  <c r="B99" i="4"/>
  <c r="B66" i="4"/>
  <c r="B82" i="4"/>
  <c r="B95" i="4"/>
  <c r="B107" i="4"/>
  <c r="B115" i="4"/>
  <c r="B131" i="4"/>
  <c r="B139" i="4"/>
  <c r="B148" i="4"/>
  <c r="B159" i="4"/>
  <c r="B169" i="4"/>
  <c r="B180" i="4"/>
  <c r="C84" i="4"/>
  <c r="C75" i="4"/>
  <c r="D75" i="4" s="1"/>
  <c r="C60" i="4"/>
  <c r="D60" i="4" s="1"/>
  <c r="C105" i="4"/>
  <c r="C85" i="4"/>
  <c r="C69" i="4"/>
  <c r="D69" i="4" s="1"/>
  <c r="C99" i="4"/>
  <c r="D99" i="4" s="1"/>
  <c r="C108" i="4"/>
  <c r="C116" i="4"/>
  <c r="C124" i="4"/>
  <c r="C132" i="4"/>
  <c r="C140" i="4"/>
  <c r="C148" i="4"/>
  <c r="C156" i="4"/>
  <c r="C164" i="4"/>
  <c r="C172" i="4"/>
  <c r="C183" i="4"/>
  <c r="C191" i="4"/>
  <c r="C199" i="4"/>
  <c r="D199" i="4" s="1"/>
  <c r="C207" i="4"/>
  <c r="D207" i="4" s="1"/>
  <c r="B56" i="4"/>
  <c r="B67" i="4"/>
  <c r="B83" i="4"/>
  <c r="B100" i="4"/>
  <c r="B69" i="4"/>
  <c r="B85" i="4"/>
  <c r="B96" i="4"/>
  <c r="B108" i="4"/>
  <c r="B116" i="4"/>
  <c r="B124" i="4"/>
  <c r="B132" i="4"/>
  <c r="B140" i="4"/>
  <c r="B149" i="4"/>
  <c r="B160" i="4"/>
  <c r="B171" i="4"/>
  <c r="B181" i="4"/>
  <c r="B202" i="4"/>
  <c r="B176" i="4"/>
  <c r="B192" i="4"/>
  <c r="C76" i="4"/>
  <c r="C115" i="4"/>
  <c r="C182" i="4"/>
  <c r="D182" i="4" s="1"/>
  <c r="B81" i="4"/>
  <c r="B123" i="4"/>
  <c r="B200" i="4"/>
  <c r="B146" i="4"/>
  <c r="B150" i="4"/>
  <c r="B154" i="4"/>
  <c r="B158" i="4"/>
  <c r="B162" i="4"/>
  <c r="B166" i="4"/>
  <c r="B170" i="4"/>
  <c r="B174" i="4"/>
  <c r="B178" i="4"/>
  <c r="B182" i="4"/>
  <c r="B190" i="4"/>
  <c r="B198" i="4"/>
  <c r="B206" i="4"/>
  <c r="D239" i="5"/>
  <c r="D218" i="5"/>
  <c r="D270" i="5"/>
  <c r="D249" i="5"/>
  <c r="D229" i="5"/>
  <c r="D577" i="3"/>
  <c r="L37" i="2" s="1"/>
  <c r="D97" i="5"/>
  <c r="D223" i="3" s="1"/>
  <c r="D224" i="3" s="1"/>
  <c r="B27" i="2" s="1"/>
  <c r="D52" i="5"/>
  <c r="D72" i="3" s="1"/>
  <c r="D73" i="3" s="1"/>
  <c r="B18" i="2" s="1"/>
  <c r="D31" i="5"/>
  <c r="F29" i="3" s="1"/>
  <c r="D375" i="3"/>
  <c r="K37" i="2" s="1"/>
  <c r="I206" i="4"/>
  <c r="D359" i="3"/>
  <c r="D361" i="3" s="1"/>
  <c r="B33" i="2" s="1"/>
  <c r="I210" i="4"/>
  <c r="N210" i="4" s="1"/>
  <c r="G210" i="4" s="1"/>
  <c r="F210" i="4" s="1"/>
  <c r="I202" i="4"/>
  <c r="E202" i="4" s="1"/>
  <c r="B183" i="4"/>
  <c r="B185" i="4"/>
  <c r="B187" i="4"/>
  <c r="B189" i="4"/>
  <c r="B191" i="4"/>
  <c r="B193" i="4"/>
  <c r="B195" i="4"/>
  <c r="B197" i="4"/>
  <c r="B199" i="4"/>
  <c r="B201" i="4"/>
  <c r="B203" i="4"/>
  <c r="B205" i="4"/>
  <c r="B207" i="4"/>
  <c r="B209" i="4"/>
  <c r="D85" i="4"/>
  <c r="D77" i="4"/>
  <c r="I208" i="4"/>
  <c r="N208" i="4" s="1"/>
  <c r="G208" i="4" s="1"/>
  <c r="F208" i="4" s="1"/>
  <c r="I204" i="4"/>
  <c r="E204" i="4" s="1"/>
  <c r="I200" i="4"/>
  <c r="I196" i="4"/>
  <c r="N196" i="4" s="1"/>
  <c r="G196" i="4" s="1"/>
  <c r="I66" i="4"/>
  <c r="N66" i="4" s="1"/>
  <c r="G66" i="4" s="1"/>
  <c r="F66" i="4" s="1"/>
  <c r="I64" i="4"/>
  <c r="N64" i="4" s="1"/>
  <c r="G64" i="4" s="1"/>
  <c r="F64" i="4" s="1"/>
  <c r="D105" i="4"/>
  <c r="D133" i="4"/>
  <c r="D165" i="4"/>
  <c r="E198" i="4"/>
  <c r="D72" i="4"/>
  <c r="G28" i="4"/>
  <c r="J210" i="4" s="1"/>
  <c r="D95" i="4"/>
  <c r="D117" i="4"/>
  <c r="D179" i="4"/>
  <c r="D94" i="4"/>
  <c r="D81" i="4"/>
  <c r="D103" i="4"/>
  <c r="D109" i="4"/>
  <c r="D141" i="4"/>
  <c r="D157" i="4"/>
  <c r="D173" i="4"/>
  <c r="D186" i="4"/>
  <c r="D100" i="4"/>
  <c r="D98" i="4"/>
  <c r="D93" i="4"/>
  <c r="D87" i="4"/>
  <c r="D84" i="4"/>
  <c r="D76" i="4"/>
  <c r="D73" i="4"/>
  <c r="D68" i="4"/>
  <c r="D66" i="4"/>
  <c r="D64" i="4"/>
  <c r="D62" i="4"/>
  <c r="D58" i="4"/>
  <c r="D56" i="4"/>
  <c r="D54" i="4"/>
  <c r="D96" i="4"/>
  <c r="D104" i="4"/>
  <c r="D107" i="4"/>
  <c r="D121" i="4"/>
  <c r="D129" i="4"/>
  <c r="D137" i="4"/>
  <c r="D153" i="4"/>
  <c r="D169" i="4"/>
  <c r="D191" i="4"/>
  <c r="D111" i="4"/>
  <c r="D115" i="4"/>
  <c r="D119" i="4"/>
  <c r="D123" i="4"/>
  <c r="D127" i="4"/>
  <c r="D135" i="4"/>
  <c r="D143" i="4"/>
  <c r="D147" i="4"/>
  <c r="D151" i="4"/>
  <c r="D155" i="4"/>
  <c r="D159" i="4"/>
  <c r="D167" i="4"/>
  <c r="D174" i="4"/>
  <c r="D178" i="4"/>
  <c r="D184" i="4"/>
  <c r="D188" i="4"/>
  <c r="D79" i="4"/>
  <c r="D91" i="4"/>
  <c r="D175" i="4"/>
  <c r="D106" i="4"/>
  <c r="D108" i="4"/>
  <c r="D157" i="3"/>
  <c r="D159" i="3" s="1"/>
  <c r="B23" i="2" s="1"/>
  <c r="D110" i="4"/>
  <c r="D112" i="4"/>
  <c r="D116" i="4"/>
  <c r="D120" i="4"/>
  <c r="D122" i="4"/>
  <c r="D124" i="4"/>
  <c r="D126" i="4"/>
  <c r="D128" i="4"/>
  <c r="D132" i="4"/>
  <c r="D136" i="4"/>
  <c r="D138" i="4"/>
  <c r="D140" i="4"/>
  <c r="D142" i="4"/>
  <c r="D144" i="4"/>
  <c r="D148" i="4"/>
  <c r="D152" i="4"/>
  <c r="D154" i="4"/>
  <c r="D156" i="4"/>
  <c r="D158" i="4"/>
  <c r="D160" i="4"/>
  <c r="D164" i="4"/>
  <c r="D168" i="4"/>
  <c r="D170" i="4"/>
  <c r="D172" i="4"/>
  <c r="D176" i="4"/>
  <c r="D195" i="4"/>
  <c r="D203" i="4"/>
  <c r="D211" i="4"/>
  <c r="I211" i="4"/>
  <c r="E211" i="4" s="1"/>
  <c r="I209" i="4"/>
  <c r="N209" i="4" s="1"/>
  <c r="G209" i="4" s="1"/>
  <c r="F209" i="4" s="1"/>
  <c r="I207" i="4"/>
  <c r="E207" i="4" s="1"/>
  <c r="I205" i="4"/>
  <c r="E205" i="4" s="1"/>
  <c r="I203" i="4"/>
  <c r="N203" i="4" s="1"/>
  <c r="G203" i="4" s="1"/>
  <c r="F203" i="4" s="1"/>
  <c r="I201" i="4"/>
  <c r="N201" i="4" s="1"/>
  <c r="G201" i="4" s="1"/>
  <c r="F201" i="4" s="1"/>
  <c r="I199" i="4"/>
  <c r="E199" i="4" s="1"/>
  <c r="I197" i="4"/>
  <c r="D415" i="3"/>
  <c r="K40" i="2" s="1"/>
  <c r="D117" i="3"/>
  <c r="B21" i="2" s="1"/>
  <c r="D194" i="3"/>
  <c r="C25" i="2" s="1"/>
  <c r="D51" i="4"/>
  <c r="F62" i="4"/>
  <c r="D183" i="4"/>
  <c r="D187" i="4"/>
  <c r="D189" i="4"/>
  <c r="D193" i="4"/>
  <c r="D205" i="4"/>
  <c r="D209" i="4"/>
  <c r="D190" i="4"/>
  <c r="D192" i="4"/>
  <c r="D194" i="4"/>
  <c r="D196" i="4"/>
  <c r="D198" i="4"/>
  <c r="D202" i="4"/>
  <c r="D204" i="4"/>
  <c r="D208" i="4"/>
  <c r="D210" i="4"/>
  <c r="D644" i="3"/>
  <c r="D598" i="3"/>
  <c r="D389" i="3"/>
  <c r="D652" i="3"/>
  <c r="D635" i="3"/>
  <c r="D618" i="3"/>
  <c r="D584" i="3"/>
  <c r="D626" i="3"/>
  <c r="D518" i="3"/>
  <c r="D490" i="3"/>
  <c r="D340" i="3"/>
  <c r="D330" i="3"/>
  <c r="D331" i="3" s="1"/>
  <c r="D97" i="4"/>
  <c r="D52" i="4"/>
  <c r="C16" i="2"/>
  <c r="D278" i="3"/>
  <c r="C19" i="2"/>
  <c r="D86" i="3"/>
  <c r="N198" i="4"/>
  <c r="G198" i="4" s="1"/>
  <c r="F198" i="4" s="1"/>
  <c r="D86" i="4"/>
  <c r="D83" i="4"/>
  <c r="D78" i="4"/>
  <c r="D70" i="4"/>
  <c r="D67" i="4"/>
  <c r="D65" i="4"/>
  <c r="E62" i="4"/>
  <c r="D61" i="4"/>
  <c r="D59" i="4"/>
  <c r="D57" i="4"/>
  <c r="D55" i="4"/>
  <c r="D53" i="4"/>
  <c r="D195" i="3"/>
  <c r="D197" i="3" s="1"/>
  <c r="B25" i="2" s="1"/>
  <c r="D659" i="3"/>
  <c r="D643" i="3"/>
  <c r="D625" i="3"/>
  <c r="D543" i="3"/>
  <c r="D517" i="3"/>
  <c r="D489" i="3"/>
  <c r="D438" i="3"/>
  <c r="D402" i="3"/>
  <c r="D404" i="3" s="1"/>
  <c r="K39" i="2" s="1"/>
  <c r="D320" i="3"/>
  <c r="D319" i="3" s="1"/>
  <c r="C31" i="2" s="1"/>
  <c r="D597" i="3"/>
  <c r="J201" i="4"/>
  <c r="J199" i="4"/>
  <c r="J185" i="4"/>
  <c r="J183" i="4"/>
  <c r="J169" i="4"/>
  <c r="J167" i="4"/>
  <c r="J153" i="4"/>
  <c r="J151" i="4"/>
  <c r="J137" i="4"/>
  <c r="J135" i="4"/>
  <c r="J121" i="4"/>
  <c r="J119" i="4"/>
  <c r="J105" i="4"/>
  <c r="J103" i="4"/>
  <c r="J79" i="4"/>
  <c r="J74" i="4"/>
  <c r="J84" i="4"/>
  <c r="J81" i="4"/>
  <c r="J57" i="4"/>
  <c r="J55" i="4"/>
  <c r="G25" i="4"/>
  <c r="G26" i="4" s="1"/>
  <c r="B14" i="4"/>
  <c r="D427" i="3"/>
  <c r="D289" i="3"/>
  <c r="D205" i="3"/>
  <c r="D207" i="3" s="1"/>
  <c r="B26" i="2" s="1"/>
  <c r="D170" i="3"/>
  <c r="D113" i="3"/>
  <c r="D448" i="3"/>
  <c r="D270" i="3"/>
  <c r="D230" i="3" s="1"/>
  <c r="D193" i="3"/>
  <c r="D155" i="3"/>
  <c r="D156" i="3" s="1"/>
  <c r="C23" i="2" s="1"/>
  <c r="D133" i="3"/>
  <c r="D131" i="3"/>
  <c r="D134" i="3" s="1"/>
  <c r="I195" i="4"/>
  <c r="I194" i="4"/>
  <c r="I193" i="4"/>
  <c r="I192" i="4"/>
  <c r="I191" i="4"/>
  <c r="I190" i="4"/>
  <c r="I189" i="4"/>
  <c r="I188" i="4"/>
  <c r="I187" i="4"/>
  <c r="I186" i="4"/>
  <c r="I185" i="4"/>
  <c r="I184" i="4"/>
  <c r="I183" i="4"/>
  <c r="I182" i="4"/>
  <c r="I181" i="4"/>
  <c r="I180" i="4"/>
  <c r="I179" i="4"/>
  <c r="I178"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I176" i="4"/>
  <c r="I174" i="4"/>
  <c r="I172" i="4"/>
  <c r="I171" i="4"/>
  <c r="I170" i="4"/>
  <c r="I169" i="4"/>
  <c r="I168" i="4"/>
  <c r="I167" i="4"/>
  <c r="I166" i="4"/>
  <c r="I165" i="4"/>
  <c r="I164" i="4"/>
  <c r="I163" i="4"/>
  <c r="I162" i="4"/>
  <c r="I161" i="4"/>
  <c r="I160" i="4"/>
  <c r="I159" i="4"/>
  <c r="I158" i="4"/>
  <c r="I157" i="4"/>
  <c r="I156" i="4"/>
  <c r="I155" i="4"/>
  <c r="I154" i="4"/>
  <c r="I153" i="4"/>
  <c r="I152" i="4"/>
  <c r="I151" i="4"/>
  <c r="I177" i="4"/>
  <c r="I175" i="4"/>
  <c r="I173"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1" i="4"/>
  <c r="L98" i="4"/>
  <c r="L96" i="4"/>
  <c r="L95" i="4"/>
  <c r="L93" i="4"/>
  <c r="L90" i="4"/>
  <c r="L100" i="4"/>
  <c r="L99" i="4"/>
  <c r="L94" i="4"/>
  <c r="L92" i="4"/>
  <c r="L91" i="4"/>
  <c r="L88" i="4"/>
  <c r="L87" i="4"/>
  <c r="L85" i="4"/>
  <c r="L82" i="4"/>
  <c r="L80" i="4"/>
  <c r="L79" i="4"/>
  <c r="L77" i="4"/>
  <c r="L74" i="4"/>
  <c r="L72" i="4"/>
  <c r="L71" i="4"/>
  <c r="L69" i="4"/>
  <c r="I67" i="4"/>
  <c r="L66" i="4"/>
  <c r="I65" i="4"/>
  <c r="N65" i="4" s="1"/>
  <c r="G65" i="4" s="1"/>
  <c r="F65" i="4" s="1"/>
  <c r="L64" i="4"/>
  <c r="I63" i="4"/>
  <c r="L62" i="4"/>
  <c r="I61" i="4"/>
  <c r="N61" i="4" s="1"/>
  <c r="G61" i="4" s="1"/>
  <c r="F61" i="4" s="1"/>
  <c r="I60" i="4"/>
  <c r="N60" i="4" s="1"/>
  <c r="G60" i="4" s="1"/>
  <c r="F60" i="4" s="1"/>
  <c r="I59" i="4"/>
  <c r="N59" i="4" s="1"/>
  <c r="G59" i="4" s="1"/>
  <c r="F59" i="4" s="1"/>
  <c r="I58" i="4"/>
  <c r="N58" i="4" s="1"/>
  <c r="G58" i="4" s="1"/>
  <c r="I57" i="4"/>
  <c r="N57" i="4" s="1"/>
  <c r="G57" i="4" s="1"/>
  <c r="F57" i="4" s="1"/>
  <c r="I56" i="4"/>
  <c r="N56" i="4" s="1"/>
  <c r="G56" i="4" s="1"/>
  <c r="F56" i="4" s="1"/>
  <c r="I55" i="4"/>
  <c r="N55" i="4" s="1"/>
  <c r="G55" i="4" s="1"/>
  <c r="F55" i="4" s="1"/>
  <c r="I54" i="4"/>
  <c r="N54" i="4" s="1"/>
  <c r="G54" i="4" s="1"/>
  <c r="F54" i="4" s="1"/>
  <c r="I53" i="4"/>
  <c r="I52" i="4"/>
  <c r="I51" i="4"/>
  <c r="L102" i="4"/>
  <c r="L97" i="4"/>
  <c r="L89" i="4"/>
  <c r="L86" i="4"/>
  <c r="L84" i="4"/>
  <c r="L83" i="4"/>
  <c r="L81" i="4"/>
  <c r="L78" i="4"/>
  <c r="L76" i="4"/>
  <c r="L75" i="4"/>
  <c r="L73" i="4"/>
  <c r="L70" i="4"/>
  <c r="L68" i="4"/>
  <c r="L67" i="4"/>
  <c r="L65" i="4"/>
  <c r="L63" i="4"/>
  <c r="L61" i="4"/>
  <c r="L60" i="4"/>
  <c r="L59" i="4"/>
  <c r="L58" i="4"/>
  <c r="L57" i="4"/>
  <c r="L56" i="4"/>
  <c r="L55" i="4"/>
  <c r="L54" i="4"/>
  <c r="L53" i="4"/>
  <c r="L52" i="4"/>
  <c r="L51" i="4"/>
  <c r="D18" i="4"/>
  <c r="D651" i="3"/>
  <c r="D634" i="3"/>
  <c r="D617" i="3"/>
  <c r="D499" i="3"/>
  <c r="D388" i="3"/>
  <c r="D304" i="3"/>
  <c r="D306" i="3" s="1"/>
  <c r="B30" i="2" s="1"/>
  <c r="D605" i="3"/>
  <c r="D583" i="3"/>
  <c r="D303" i="3"/>
  <c r="C30" i="2" s="1"/>
  <c r="E197" i="4" l="1"/>
  <c r="E200" i="4"/>
  <c r="F58" i="4"/>
  <c r="F196" i="4"/>
  <c r="E206" i="4"/>
  <c r="N199" i="4"/>
  <c r="G199" i="4" s="1"/>
  <c r="F199" i="4" s="1"/>
  <c r="E210" i="4"/>
  <c r="N205" i="4"/>
  <c r="G205" i="4" s="1"/>
  <c r="F205" i="4" s="1"/>
  <c r="N204" i="4"/>
  <c r="G204" i="4" s="1"/>
  <c r="F204" i="4" s="1"/>
  <c r="N197" i="4"/>
  <c r="G197" i="4" s="1"/>
  <c r="F197" i="4" s="1"/>
  <c r="N200" i="4"/>
  <c r="G200" i="4" s="1"/>
  <c r="F200" i="4" s="1"/>
  <c r="J65" i="4"/>
  <c r="J99" i="4"/>
  <c r="J97" i="4"/>
  <c r="J111" i="4"/>
  <c r="J127" i="4"/>
  <c r="J143" i="4"/>
  <c r="J159" i="4"/>
  <c r="J175" i="4"/>
  <c r="J191" i="4"/>
  <c r="J207" i="4"/>
  <c r="E201" i="4"/>
  <c r="J68" i="4"/>
  <c r="J62" i="4"/>
  <c r="J90" i="4"/>
  <c r="J113" i="4"/>
  <c r="J129" i="4"/>
  <c r="J145" i="4"/>
  <c r="J161" i="4"/>
  <c r="J177" i="4"/>
  <c r="J193" i="4"/>
  <c r="J209" i="4"/>
  <c r="E203" i="4"/>
  <c r="J51" i="4"/>
  <c r="J59" i="4"/>
  <c r="J73" i="4"/>
  <c r="J89" i="4"/>
  <c r="J66" i="4"/>
  <c r="J82" i="4"/>
  <c r="J95" i="4"/>
  <c r="J107" i="4"/>
  <c r="J115" i="4"/>
  <c r="J123" i="4"/>
  <c r="J131" i="4"/>
  <c r="J139" i="4"/>
  <c r="J147" i="4"/>
  <c r="J155" i="4"/>
  <c r="J163" i="4"/>
  <c r="J171" i="4"/>
  <c r="J179" i="4"/>
  <c r="J187" i="4"/>
  <c r="J195" i="4"/>
  <c r="J203" i="4"/>
  <c r="J211" i="4"/>
  <c r="E66" i="4"/>
  <c r="E208" i="4"/>
  <c r="E209" i="4"/>
  <c r="N211" i="4"/>
  <c r="G211" i="4" s="1"/>
  <c r="F211" i="4" s="1"/>
  <c r="J53" i="4"/>
  <c r="J61" i="4"/>
  <c r="J76" i="4"/>
  <c r="J92" i="4"/>
  <c r="J71" i="4"/>
  <c r="J87" i="4"/>
  <c r="J98" i="4"/>
  <c r="J109" i="4"/>
  <c r="J117" i="4"/>
  <c r="J125" i="4"/>
  <c r="J133" i="4"/>
  <c r="J141" i="4"/>
  <c r="J149" i="4"/>
  <c r="J157" i="4"/>
  <c r="J165" i="4"/>
  <c r="J173" i="4"/>
  <c r="J181" i="4"/>
  <c r="J189" i="4"/>
  <c r="J197" i="4"/>
  <c r="J205" i="4"/>
  <c r="N207" i="4"/>
  <c r="G207" i="4" s="1"/>
  <c r="F207" i="4" s="1"/>
  <c r="N206" i="4"/>
  <c r="G206" i="4" s="1"/>
  <c r="F206" i="4" s="1"/>
  <c r="E196" i="4"/>
  <c r="D585" i="3"/>
  <c r="L40" i="2" s="1"/>
  <c r="D390" i="3"/>
  <c r="K38" i="2" s="1"/>
  <c r="B38" i="2" s="1"/>
  <c r="D10" i="5"/>
  <c r="D12" i="5" s="1"/>
  <c r="F28" i="3" s="1"/>
  <c r="D29" i="3" s="1"/>
  <c r="D30" i="3" s="1"/>
  <c r="B16" i="2" s="1"/>
  <c r="D240" i="5"/>
  <c r="D241" i="5" s="1"/>
  <c r="D544" i="3" s="1"/>
  <c r="D545" i="3" s="1"/>
  <c r="D145" i="5"/>
  <c r="D147" i="5" s="1"/>
  <c r="D219" i="5"/>
  <c r="D221" i="5" s="1"/>
  <c r="D606" i="3" s="1"/>
  <c r="D607" i="3" s="1"/>
  <c r="L41" i="2" s="1"/>
  <c r="D151" i="5"/>
  <c r="D153" i="5" s="1"/>
  <c r="D255" i="5"/>
  <c r="D256" i="5" s="1"/>
  <c r="D133" i="5"/>
  <c r="D135" i="5" s="1"/>
  <c r="D321" i="3" s="1"/>
  <c r="D322" i="3" s="1"/>
  <c r="B31" i="2" s="1"/>
  <c r="D225" i="5"/>
  <c r="D226" i="5" s="1"/>
  <c r="D439" i="3" s="1"/>
  <c r="D440" i="3" s="1"/>
  <c r="K42" i="2" s="1"/>
  <c r="D230" i="5"/>
  <c r="D231" i="5" s="1"/>
  <c r="D500" i="3" s="1"/>
  <c r="D501" i="3" s="1"/>
  <c r="D271" i="5"/>
  <c r="D273" i="5" s="1"/>
  <c r="D508" i="3" s="1"/>
  <c r="D509" i="3" s="1"/>
  <c r="M45" i="2" s="1"/>
  <c r="D203" i="5"/>
  <c r="D205" i="5" s="1"/>
  <c r="D428" i="3" s="1"/>
  <c r="D429" i="3" s="1"/>
  <c r="K41" i="2" s="1"/>
  <c r="D114" i="5"/>
  <c r="D116" i="5" s="1"/>
  <c r="D290" i="3" s="1"/>
  <c r="D291" i="3" s="1"/>
  <c r="B29" i="2" s="1"/>
  <c r="D245" i="5"/>
  <c r="D246" i="5" s="1"/>
  <c r="D459" i="3" s="1"/>
  <c r="D250" i="5"/>
  <c r="D251" i="5" s="1"/>
  <c r="D554" i="3" s="1"/>
  <c r="D235" i="5"/>
  <c r="D236" i="5" s="1"/>
  <c r="D449" i="3" s="1"/>
  <c r="D450" i="3" s="1"/>
  <c r="B58" i="2" s="1"/>
  <c r="B31" i="1" s="1"/>
  <c r="B40" i="2"/>
  <c r="D636" i="3"/>
  <c r="M39" i="2" s="1"/>
  <c r="D519" i="3"/>
  <c r="M46" i="2" s="1"/>
  <c r="B37" i="2"/>
  <c r="D599" i="3"/>
  <c r="L38" i="2" s="1"/>
  <c r="D627" i="3"/>
  <c r="M38" i="2" s="1"/>
  <c r="D645" i="3"/>
  <c r="M40" i="2" s="1"/>
  <c r="J25" i="4"/>
  <c r="J52" i="4"/>
  <c r="J54" i="4"/>
  <c r="J56" i="4"/>
  <c r="J58" i="4"/>
  <c r="J60" i="4"/>
  <c r="J63" i="4"/>
  <c r="J67" i="4"/>
  <c r="J70" i="4"/>
  <c r="J75" i="4"/>
  <c r="J78" i="4"/>
  <c r="J83" i="4"/>
  <c r="J86" i="4"/>
  <c r="J91" i="4"/>
  <c r="J94" i="4"/>
  <c r="J100" i="4"/>
  <c r="J64" i="4"/>
  <c r="J69" i="4"/>
  <c r="J72" i="4"/>
  <c r="J77" i="4"/>
  <c r="J80" i="4"/>
  <c r="J85" i="4"/>
  <c r="J88" i="4"/>
  <c r="J102" i="4"/>
  <c r="J93" i="4"/>
  <c r="J96" i="4"/>
  <c r="J101" i="4"/>
  <c r="J104" i="4"/>
  <c r="J106" i="4"/>
  <c r="J108" i="4"/>
  <c r="J110" i="4"/>
  <c r="J112" i="4"/>
  <c r="J114" i="4"/>
  <c r="J116" i="4"/>
  <c r="J118" i="4"/>
  <c r="J120" i="4"/>
  <c r="J122" i="4"/>
  <c r="J124" i="4"/>
  <c r="J126" i="4"/>
  <c r="J128" i="4"/>
  <c r="J130" i="4"/>
  <c r="J132" i="4"/>
  <c r="J134" i="4"/>
  <c r="J136" i="4"/>
  <c r="J138" i="4"/>
  <c r="J140" i="4"/>
  <c r="J142" i="4"/>
  <c r="J144" i="4"/>
  <c r="J146" i="4"/>
  <c r="J148" i="4"/>
  <c r="J150" i="4"/>
  <c r="J152" i="4"/>
  <c r="J154" i="4"/>
  <c r="J156" i="4"/>
  <c r="J158" i="4"/>
  <c r="J160" i="4"/>
  <c r="J162" i="4"/>
  <c r="J164" i="4"/>
  <c r="J166" i="4"/>
  <c r="J168" i="4"/>
  <c r="J170" i="4"/>
  <c r="J172" i="4"/>
  <c r="J174" i="4"/>
  <c r="J176" i="4"/>
  <c r="J178" i="4"/>
  <c r="J180" i="4"/>
  <c r="J182" i="4"/>
  <c r="J184" i="4"/>
  <c r="J186" i="4"/>
  <c r="J188" i="4"/>
  <c r="J190" i="4"/>
  <c r="J192" i="4"/>
  <c r="J194" i="4"/>
  <c r="J196" i="4"/>
  <c r="J198" i="4"/>
  <c r="J200" i="4"/>
  <c r="J202" i="4"/>
  <c r="J204" i="4"/>
  <c r="J206" i="4"/>
  <c r="J208" i="4"/>
  <c r="E64" i="4"/>
  <c r="N202" i="4"/>
  <c r="G202" i="4" s="1"/>
  <c r="F202" i="4" s="1"/>
  <c r="B32" i="2"/>
  <c r="D619" i="3"/>
  <c r="M37" i="2" s="1"/>
  <c r="D653" i="3"/>
  <c r="M41" i="2" s="1"/>
  <c r="G27" i="4"/>
  <c r="J26" i="4" s="1"/>
  <c r="D491" i="3"/>
  <c r="M42" i="2" s="1"/>
  <c r="D26" i="4"/>
  <c r="D135" i="3"/>
  <c r="D137" i="3" s="1"/>
  <c r="B22" i="2" s="1"/>
  <c r="N51" i="4"/>
  <c r="G51" i="4" s="1"/>
  <c r="F51" i="4" s="1"/>
  <c r="E51" i="4"/>
  <c r="N53" i="4"/>
  <c r="G53" i="4" s="1"/>
  <c r="F53" i="4" s="1"/>
  <c r="E53" i="4"/>
  <c r="N63" i="4"/>
  <c r="G63" i="4" s="1"/>
  <c r="F63" i="4" s="1"/>
  <c r="E63" i="4"/>
  <c r="N67" i="4"/>
  <c r="G67" i="4" s="1"/>
  <c r="F67" i="4" s="1"/>
  <c r="E67" i="4"/>
  <c r="N173" i="4"/>
  <c r="G173" i="4" s="1"/>
  <c r="F173" i="4" s="1"/>
  <c r="E173" i="4"/>
  <c r="N177" i="4"/>
  <c r="G177" i="4" s="1"/>
  <c r="F177" i="4" s="1"/>
  <c r="E177" i="4"/>
  <c r="N152" i="4"/>
  <c r="G152" i="4" s="1"/>
  <c r="F152" i="4" s="1"/>
  <c r="E152" i="4"/>
  <c r="N154" i="4"/>
  <c r="G154" i="4" s="1"/>
  <c r="F154" i="4" s="1"/>
  <c r="E154" i="4"/>
  <c r="N156" i="4"/>
  <c r="G156" i="4" s="1"/>
  <c r="F156" i="4" s="1"/>
  <c r="E156" i="4"/>
  <c r="N158" i="4"/>
  <c r="G158" i="4" s="1"/>
  <c r="F158" i="4" s="1"/>
  <c r="E158" i="4"/>
  <c r="N160" i="4"/>
  <c r="G160" i="4" s="1"/>
  <c r="F160" i="4" s="1"/>
  <c r="E160" i="4"/>
  <c r="N162" i="4"/>
  <c r="G162" i="4" s="1"/>
  <c r="F162" i="4" s="1"/>
  <c r="E162" i="4"/>
  <c r="N164" i="4"/>
  <c r="G164" i="4" s="1"/>
  <c r="F164" i="4" s="1"/>
  <c r="E164" i="4"/>
  <c r="N166" i="4"/>
  <c r="G166" i="4" s="1"/>
  <c r="F166" i="4" s="1"/>
  <c r="E166" i="4"/>
  <c r="N168" i="4"/>
  <c r="G168" i="4" s="1"/>
  <c r="F168" i="4" s="1"/>
  <c r="E168" i="4"/>
  <c r="N170" i="4"/>
  <c r="G170" i="4" s="1"/>
  <c r="F170" i="4" s="1"/>
  <c r="E170" i="4"/>
  <c r="N172" i="4"/>
  <c r="G172" i="4" s="1"/>
  <c r="F172" i="4" s="1"/>
  <c r="E172" i="4"/>
  <c r="N176" i="4"/>
  <c r="G176" i="4" s="1"/>
  <c r="F176" i="4" s="1"/>
  <c r="E176" i="4"/>
  <c r="N179" i="4"/>
  <c r="G179" i="4" s="1"/>
  <c r="F179" i="4" s="1"/>
  <c r="E179" i="4"/>
  <c r="N181" i="4"/>
  <c r="G181" i="4" s="1"/>
  <c r="F181" i="4" s="1"/>
  <c r="E181" i="4"/>
  <c r="N183" i="4"/>
  <c r="G183" i="4" s="1"/>
  <c r="F183" i="4" s="1"/>
  <c r="E183" i="4"/>
  <c r="N185" i="4"/>
  <c r="G185" i="4" s="1"/>
  <c r="F185" i="4" s="1"/>
  <c r="E185" i="4"/>
  <c r="N187" i="4"/>
  <c r="G187" i="4" s="1"/>
  <c r="F187" i="4" s="1"/>
  <c r="E187" i="4"/>
  <c r="N189" i="4"/>
  <c r="G189" i="4" s="1"/>
  <c r="F189" i="4" s="1"/>
  <c r="E189" i="4"/>
  <c r="N191" i="4"/>
  <c r="G191" i="4" s="1"/>
  <c r="F191" i="4" s="1"/>
  <c r="E191" i="4"/>
  <c r="N193" i="4"/>
  <c r="G193" i="4" s="1"/>
  <c r="F193" i="4" s="1"/>
  <c r="E193" i="4"/>
  <c r="E195" i="4"/>
  <c r="N195" i="4"/>
  <c r="G195" i="4" s="1"/>
  <c r="F195" i="4" s="1"/>
  <c r="L44" i="2"/>
  <c r="B44" i="2" s="1"/>
  <c r="D59" i="3"/>
  <c r="D60" i="3" s="1"/>
  <c r="D61" i="3" s="1"/>
  <c r="C18" i="2" s="1"/>
  <c r="D43" i="3"/>
  <c r="E54" i="4"/>
  <c r="E58" i="4"/>
  <c r="E55" i="4"/>
  <c r="E59" i="4"/>
  <c r="E65" i="4"/>
  <c r="N52" i="4"/>
  <c r="G52" i="4" s="1"/>
  <c r="F52" i="4" s="1"/>
  <c r="E52" i="4"/>
  <c r="N175" i="4"/>
  <c r="G175" i="4" s="1"/>
  <c r="F175" i="4" s="1"/>
  <c r="E175" i="4"/>
  <c r="N151" i="4"/>
  <c r="G151" i="4" s="1"/>
  <c r="F151" i="4" s="1"/>
  <c r="E151" i="4"/>
  <c r="N153" i="4"/>
  <c r="G153" i="4" s="1"/>
  <c r="F153" i="4" s="1"/>
  <c r="E153" i="4"/>
  <c r="N155" i="4"/>
  <c r="G155" i="4" s="1"/>
  <c r="F155" i="4" s="1"/>
  <c r="E155" i="4"/>
  <c r="N157" i="4"/>
  <c r="G157" i="4" s="1"/>
  <c r="F157" i="4" s="1"/>
  <c r="E157" i="4"/>
  <c r="N159" i="4"/>
  <c r="G159" i="4" s="1"/>
  <c r="F159" i="4" s="1"/>
  <c r="E159" i="4"/>
  <c r="N161" i="4"/>
  <c r="G161" i="4" s="1"/>
  <c r="F161" i="4" s="1"/>
  <c r="E161" i="4"/>
  <c r="N163" i="4"/>
  <c r="G163" i="4" s="1"/>
  <c r="F163" i="4" s="1"/>
  <c r="E163" i="4"/>
  <c r="N165" i="4"/>
  <c r="G165" i="4" s="1"/>
  <c r="F165" i="4" s="1"/>
  <c r="E165" i="4"/>
  <c r="N167" i="4"/>
  <c r="G167" i="4" s="1"/>
  <c r="F167" i="4" s="1"/>
  <c r="E167" i="4"/>
  <c r="N169" i="4"/>
  <c r="G169" i="4" s="1"/>
  <c r="F169" i="4" s="1"/>
  <c r="E169" i="4"/>
  <c r="N171" i="4"/>
  <c r="G171" i="4" s="1"/>
  <c r="F171" i="4" s="1"/>
  <c r="E171" i="4"/>
  <c r="N174" i="4"/>
  <c r="G174" i="4" s="1"/>
  <c r="F174" i="4" s="1"/>
  <c r="E174" i="4"/>
  <c r="N178" i="4"/>
  <c r="G178" i="4" s="1"/>
  <c r="F178" i="4" s="1"/>
  <c r="E178" i="4"/>
  <c r="N180" i="4"/>
  <c r="G180" i="4" s="1"/>
  <c r="F180" i="4" s="1"/>
  <c r="E180" i="4"/>
  <c r="N182" i="4"/>
  <c r="G182" i="4" s="1"/>
  <c r="F182" i="4" s="1"/>
  <c r="E182" i="4"/>
  <c r="N184" i="4"/>
  <c r="G184" i="4" s="1"/>
  <c r="F184" i="4" s="1"/>
  <c r="E184" i="4"/>
  <c r="N186" i="4"/>
  <c r="G186" i="4" s="1"/>
  <c r="F186" i="4" s="1"/>
  <c r="E186" i="4"/>
  <c r="N188" i="4"/>
  <c r="G188" i="4" s="1"/>
  <c r="F188" i="4" s="1"/>
  <c r="E188" i="4"/>
  <c r="N190" i="4"/>
  <c r="G190" i="4" s="1"/>
  <c r="F190" i="4" s="1"/>
  <c r="E190" i="4"/>
  <c r="N192" i="4"/>
  <c r="G192" i="4" s="1"/>
  <c r="F192" i="4" s="1"/>
  <c r="E192" i="4"/>
  <c r="N194" i="4"/>
  <c r="G194" i="4" s="1"/>
  <c r="F194" i="4" s="1"/>
  <c r="E194" i="4"/>
  <c r="D172" i="3"/>
  <c r="B24" i="2" s="1"/>
  <c r="D173" i="3"/>
  <c r="C24" i="2" s="1"/>
  <c r="D132" i="3"/>
  <c r="C22" i="2" s="1"/>
  <c r="E56" i="4"/>
  <c r="E60" i="4"/>
  <c r="E57" i="4"/>
  <c r="E61" i="4"/>
  <c r="D87" i="3" l="1"/>
  <c r="D88" i="3" s="1"/>
  <c r="B19" i="2" s="1"/>
  <c r="L43" i="2"/>
  <c r="B43" i="2" s="1"/>
  <c r="D660" i="3"/>
  <c r="D661" i="3" s="1"/>
  <c r="M43" i="2" s="1"/>
  <c r="D469" i="3"/>
  <c r="D564" i="3"/>
  <c r="L39" i="2"/>
  <c r="B39" i="2" s="1"/>
  <c r="J27" i="4"/>
  <c r="J28" i="4" s="1"/>
  <c r="M25" i="4" s="1"/>
  <c r="B41" i="2"/>
  <c r="L42" i="2"/>
  <c r="B42" i="2" s="1"/>
  <c r="M44" i="2"/>
  <c r="C17" i="2"/>
  <c r="C15" i="2" s="1"/>
  <c r="D44" i="3"/>
  <c r="D46" i="3" s="1"/>
  <c r="B17" i="2" s="1"/>
  <c r="D112" i="3"/>
  <c r="D98" i="3" s="1"/>
  <c r="D97" i="3" s="1"/>
  <c r="D92" i="3" s="1"/>
  <c r="D269" i="3"/>
  <c r="D232" i="3" s="1"/>
  <c r="B15" i="2" l="1"/>
  <c r="C14" i="4"/>
  <c r="C18" i="1" s="1"/>
  <c r="M26" i="4"/>
  <c r="E18" i="4" s="1"/>
  <c r="D93" i="3"/>
  <c r="D114" i="3" s="1"/>
  <c r="C21" i="2" s="1"/>
  <c r="K53" i="4"/>
  <c r="K52" i="4"/>
  <c r="K51" i="4"/>
  <c r="B18" i="4" l="1"/>
  <c r="K210" i="4" s="1"/>
  <c r="K64" i="4"/>
  <c r="K69" i="4"/>
  <c r="K72" i="4"/>
  <c r="K77" i="4"/>
  <c r="K80" i="4"/>
  <c r="K85" i="4"/>
  <c r="K54" i="4"/>
  <c r="K56" i="4"/>
  <c r="K58" i="4"/>
  <c r="K60" i="4"/>
  <c r="K63" i="4"/>
  <c r="K67" i="4"/>
  <c r="K70" i="4"/>
  <c r="K75" i="4"/>
  <c r="K78" i="4"/>
  <c r="K83" i="4"/>
  <c r="K86" i="4"/>
  <c r="K62" i="4"/>
  <c r="K66" i="4"/>
  <c r="K71" i="4"/>
  <c r="K74" i="4"/>
  <c r="K79" i="4"/>
  <c r="K82" i="4"/>
  <c r="K87" i="4"/>
  <c r="K55" i="4"/>
  <c r="K57" i="4"/>
  <c r="K59" i="4"/>
  <c r="K61" i="4"/>
  <c r="K65" i="4"/>
  <c r="K68" i="4"/>
  <c r="K73" i="4"/>
  <c r="K76" i="4"/>
  <c r="K81" i="4"/>
  <c r="K84" i="4"/>
  <c r="D95" i="3"/>
  <c r="H74" i="4"/>
  <c r="K185" i="4"/>
  <c r="K89" i="4" l="1"/>
  <c r="D229" i="3"/>
  <c r="D239" i="3" s="1"/>
  <c r="D231" i="3" s="1"/>
  <c r="D234" i="3" s="1"/>
  <c r="D248" i="3" s="1"/>
  <c r="D271" i="3" s="1"/>
  <c r="K118" i="4"/>
  <c r="H118" i="4" s="1"/>
  <c r="I118" i="4" s="1"/>
  <c r="E118" i="4" s="1"/>
  <c r="K155" i="4"/>
  <c r="K90" i="4"/>
  <c r="H90" i="4" s="1"/>
  <c r="I90" i="4" s="1"/>
  <c r="E90" i="4" s="1"/>
  <c r="K150" i="4"/>
  <c r="H150" i="4" s="1"/>
  <c r="I150" i="4" s="1"/>
  <c r="E150" i="4" s="1"/>
  <c r="H137" i="4"/>
  <c r="I137" i="4" s="1"/>
  <c r="E137" i="4" s="1"/>
  <c r="K88" i="4"/>
  <c r="K201" i="4"/>
  <c r="K166" i="4"/>
  <c r="K134" i="4"/>
  <c r="H134" i="4" s="1"/>
  <c r="I134" i="4" s="1"/>
  <c r="E134" i="4" s="1"/>
  <c r="K172" i="4"/>
  <c r="H83" i="4"/>
  <c r="H105" i="4"/>
  <c r="I105" i="4" s="1"/>
  <c r="E105" i="4" s="1"/>
  <c r="K190" i="4"/>
  <c r="K123" i="4"/>
  <c r="K209" i="4"/>
  <c r="K193" i="4"/>
  <c r="K177" i="4"/>
  <c r="K158" i="4"/>
  <c r="K142" i="4"/>
  <c r="H142" i="4" s="1"/>
  <c r="I142" i="4" s="1"/>
  <c r="E142" i="4" s="1"/>
  <c r="K126" i="4"/>
  <c r="H126" i="4" s="1"/>
  <c r="I126" i="4" s="1"/>
  <c r="E126" i="4" s="1"/>
  <c r="K110" i="4"/>
  <c r="H110" i="4" s="1"/>
  <c r="I110" i="4" s="1"/>
  <c r="E110" i="4" s="1"/>
  <c r="K101" i="4"/>
  <c r="H101" i="4" s="1"/>
  <c r="I101" i="4" s="1"/>
  <c r="E101" i="4" s="1"/>
  <c r="H75" i="4"/>
  <c r="H102" i="4"/>
  <c r="I102" i="4" s="1"/>
  <c r="E102" i="4" s="1"/>
  <c r="H82" i="4"/>
  <c r="I82" i="4" s="1"/>
  <c r="E82" i="4" s="1"/>
  <c r="H121" i="4"/>
  <c r="I121" i="4" s="1"/>
  <c r="E121" i="4" s="1"/>
  <c r="K206" i="4"/>
  <c r="K171" i="4"/>
  <c r="K139" i="4"/>
  <c r="K107" i="4"/>
  <c r="K205" i="4"/>
  <c r="K197" i="4"/>
  <c r="K189" i="4"/>
  <c r="K181" i="4"/>
  <c r="K170" i="4"/>
  <c r="K162" i="4"/>
  <c r="K154" i="4"/>
  <c r="K146" i="4"/>
  <c r="H146" i="4" s="1"/>
  <c r="I146" i="4" s="1"/>
  <c r="E146" i="4" s="1"/>
  <c r="K138" i="4"/>
  <c r="H138" i="4" s="1"/>
  <c r="I138" i="4" s="1"/>
  <c r="E138" i="4" s="1"/>
  <c r="K130" i="4"/>
  <c r="H130" i="4" s="1"/>
  <c r="I130" i="4" s="1"/>
  <c r="E130" i="4" s="1"/>
  <c r="K122" i="4"/>
  <c r="H122" i="4" s="1"/>
  <c r="I122" i="4" s="1"/>
  <c r="E122" i="4" s="1"/>
  <c r="K114" i="4"/>
  <c r="H114" i="4" s="1"/>
  <c r="I114" i="4" s="1"/>
  <c r="E114" i="4" s="1"/>
  <c r="K106" i="4"/>
  <c r="H106" i="4" s="1"/>
  <c r="I106" i="4" s="1"/>
  <c r="E106" i="4" s="1"/>
  <c r="K97" i="4"/>
  <c r="H97" i="4" s="1"/>
  <c r="I97" i="4" s="1"/>
  <c r="E97" i="4" s="1"/>
  <c r="K103" i="4"/>
  <c r="H103" i="4" s="1"/>
  <c r="I103" i="4" s="1"/>
  <c r="E103" i="4" s="1"/>
  <c r="H70" i="4"/>
  <c r="I70" i="4" s="1"/>
  <c r="E70" i="4" s="1"/>
  <c r="H78" i="4"/>
  <c r="I78" i="4" s="1"/>
  <c r="E78" i="4" s="1"/>
  <c r="H86" i="4"/>
  <c r="I86" i="4" s="1"/>
  <c r="E86" i="4" s="1"/>
  <c r="H71" i="4"/>
  <c r="I71" i="4" s="1"/>
  <c r="E71" i="4" s="1"/>
  <c r="H79" i="4"/>
  <c r="I79" i="4" s="1"/>
  <c r="E79" i="4" s="1"/>
  <c r="H87" i="4"/>
  <c r="H113" i="4"/>
  <c r="I113" i="4" s="1"/>
  <c r="E113" i="4" s="1"/>
  <c r="H129" i="4"/>
  <c r="I129" i="4" s="1"/>
  <c r="E129" i="4" s="1"/>
  <c r="H145" i="4"/>
  <c r="I145" i="4" s="1"/>
  <c r="E145" i="4" s="1"/>
  <c r="K198" i="4"/>
  <c r="K182" i="4"/>
  <c r="K163" i="4"/>
  <c r="K147" i="4"/>
  <c r="K131" i="4"/>
  <c r="K115" i="4"/>
  <c r="K99" i="4"/>
  <c r="H99" i="4" s="1"/>
  <c r="I99" i="4" s="1"/>
  <c r="E99" i="4" s="1"/>
  <c r="K211" i="4"/>
  <c r="K207" i="4"/>
  <c r="K203" i="4"/>
  <c r="K199" i="4"/>
  <c r="K195" i="4"/>
  <c r="K191" i="4"/>
  <c r="K187" i="4"/>
  <c r="K183" i="4"/>
  <c r="K179" i="4"/>
  <c r="K173" i="4"/>
  <c r="K168" i="4"/>
  <c r="K164" i="4"/>
  <c r="K160" i="4"/>
  <c r="K156" i="4"/>
  <c r="K152" i="4"/>
  <c r="K148" i="4"/>
  <c r="H148" i="4" s="1"/>
  <c r="I148" i="4" s="1"/>
  <c r="E148" i="4" s="1"/>
  <c r="K144" i="4"/>
  <c r="H144" i="4" s="1"/>
  <c r="I144" i="4" s="1"/>
  <c r="E144" i="4" s="1"/>
  <c r="K140" i="4"/>
  <c r="H140" i="4" s="1"/>
  <c r="K136" i="4"/>
  <c r="H136" i="4" s="1"/>
  <c r="I136" i="4" s="1"/>
  <c r="E136" i="4" s="1"/>
  <c r="K132" i="4"/>
  <c r="H132" i="4" s="1"/>
  <c r="I132" i="4" s="1"/>
  <c r="E132" i="4" s="1"/>
  <c r="K128" i="4"/>
  <c r="H128" i="4" s="1"/>
  <c r="I128" i="4" s="1"/>
  <c r="E128" i="4" s="1"/>
  <c r="K124" i="4"/>
  <c r="H124" i="4" s="1"/>
  <c r="I124" i="4" s="1"/>
  <c r="E124" i="4" s="1"/>
  <c r="K120" i="4"/>
  <c r="H120" i="4" s="1"/>
  <c r="I120" i="4" s="1"/>
  <c r="E120" i="4" s="1"/>
  <c r="K116" i="4"/>
  <c r="H116" i="4" s="1"/>
  <c r="I116" i="4" s="1"/>
  <c r="E116" i="4" s="1"/>
  <c r="K112" i="4"/>
  <c r="H112" i="4" s="1"/>
  <c r="I112" i="4" s="1"/>
  <c r="E112" i="4" s="1"/>
  <c r="K108" i="4"/>
  <c r="H108" i="4" s="1"/>
  <c r="K176" i="4"/>
  <c r="K100" i="4"/>
  <c r="H100" i="4" s="1"/>
  <c r="I100" i="4" s="1"/>
  <c r="E100" i="4" s="1"/>
  <c r="K92" i="4"/>
  <c r="H92" i="4" s="1"/>
  <c r="I92" i="4" s="1"/>
  <c r="E92" i="4" s="1"/>
  <c r="K93" i="4"/>
  <c r="H93" i="4" s="1"/>
  <c r="K95" i="4"/>
  <c r="H95" i="4" s="1"/>
  <c r="I95" i="4" s="1"/>
  <c r="E95" i="4" s="1"/>
  <c r="H68" i="4"/>
  <c r="I68" i="4" s="1"/>
  <c r="E68" i="4" s="1"/>
  <c r="H73" i="4"/>
  <c r="I73" i="4" s="1"/>
  <c r="E73" i="4" s="1"/>
  <c r="H76" i="4"/>
  <c r="I76" i="4" s="1"/>
  <c r="E76" i="4" s="1"/>
  <c r="H81" i="4"/>
  <c r="I81" i="4" s="1"/>
  <c r="E81" i="4" s="1"/>
  <c r="H84" i="4"/>
  <c r="H89" i="4"/>
  <c r="I89" i="4" s="1"/>
  <c r="E89" i="4" s="1"/>
  <c r="H69" i="4"/>
  <c r="I69" i="4" s="1"/>
  <c r="E69" i="4" s="1"/>
  <c r="H72" i="4"/>
  <c r="I72" i="4" s="1"/>
  <c r="E72" i="4" s="1"/>
  <c r="H77" i="4"/>
  <c r="I77" i="4" s="1"/>
  <c r="E77" i="4" s="1"/>
  <c r="H80" i="4"/>
  <c r="I80" i="4" s="1"/>
  <c r="E80" i="4" s="1"/>
  <c r="H85" i="4"/>
  <c r="H109" i="4"/>
  <c r="I109" i="4" s="1"/>
  <c r="E109" i="4" s="1"/>
  <c r="H117" i="4"/>
  <c r="I117" i="4" s="1"/>
  <c r="E117" i="4" s="1"/>
  <c r="H125" i="4"/>
  <c r="I125" i="4" s="1"/>
  <c r="E125" i="4" s="1"/>
  <c r="H133" i="4"/>
  <c r="I133" i="4" s="1"/>
  <c r="E133" i="4" s="1"/>
  <c r="H141" i="4"/>
  <c r="I141" i="4" s="1"/>
  <c r="E141" i="4" s="1"/>
  <c r="H149" i="4"/>
  <c r="I149" i="4" s="1"/>
  <c r="E149" i="4" s="1"/>
  <c r="K202" i="4"/>
  <c r="K194" i="4"/>
  <c r="K186" i="4"/>
  <c r="K178" i="4"/>
  <c r="K167" i="4"/>
  <c r="K159" i="4"/>
  <c r="K151" i="4"/>
  <c r="K143" i="4"/>
  <c r="K135" i="4"/>
  <c r="K127" i="4"/>
  <c r="K119" i="4"/>
  <c r="K111" i="4"/>
  <c r="K174" i="4"/>
  <c r="K91" i="4"/>
  <c r="H91" i="4" s="1"/>
  <c r="I91" i="4" s="1"/>
  <c r="E91" i="4" s="1"/>
  <c r="K104" i="4"/>
  <c r="H88" i="4"/>
  <c r="I88" i="4" s="1"/>
  <c r="E88" i="4" s="1"/>
  <c r="H104" i="4"/>
  <c r="I104" i="4" s="1"/>
  <c r="E104" i="4" s="1"/>
  <c r="H107" i="4"/>
  <c r="I107" i="4" s="1"/>
  <c r="E107" i="4" s="1"/>
  <c r="H111" i="4"/>
  <c r="I111" i="4" s="1"/>
  <c r="E111" i="4" s="1"/>
  <c r="H115" i="4"/>
  <c r="I115" i="4" s="1"/>
  <c r="E115" i="4" s="1"/>
  <c r="H119" i="4"/>
  <c r="I119" i="4" s="1"/>
  <c r="E119" i="4" s="1"/>
  <c r="H123" i="4"/>
  <c r="I123" i="4" s="1"/>
  <c r="E123" i="4" s="1"/>
  <c r="H127" i="4"/>
  <c r="I127" i="4" s="1"/>
  <c r="E127" i="4" s="1"/>
  <c r="H131" i="4"/>
  <c r="I131" i="4" s="1"/>
  <c r="E131" i="4" s="1"/>
  <c r="H135" i="4"/>
  <c r="I135" i="4" s="1"/>
  <c r="E135" i="4" s="1"/>
  <c r="H139" i="4"/>
  <c r="H143" i="4"/>
  <c r="I143" i="4" s="1"/>
  <c r="E143" i="4" s="1"/>
  <c r="H147" i="4"/>
  <c r="I147" i="4" s="1"/>
  <c r="E147" i="4" s="1"/>
  <c r="K208" i="4"/>
  <c r="K204" i="4"/>
  <c r="K200" i="4"/>
  <c r="K196" i="4"/>
  <c r="K192" i="4"/>
  <c r="K188" i="4"/>
  <c r="K184" i="4"/>
  <c r="K180" i="4"/>
  <c r="K175" i="4"/>
  <c r="K169" i="4"/>
  <c r="K165" i="4"/>
  <c r="K161" i="4"/>
  <c r="K157" i="4"/>
  <c r="K153" i="4"/>
  <c r="K149" i="4"/>
  <c r="K145" i="4"/>
  <c r="K141" i="4"/>
  <c r="K137" i="4"/>
  <c r="K133" i="4"/>
  <c r="K129" i="4"/>
  <c r="K125" i="4"/>
  <c r="K121" i="4"/>
  <c r="K117" i="4"/>
  <c r="K113" i="4"/>
  <c r="K109" i="4"/>
  <c r="K105" i="4"/>
  <c r="K102" i="4"/>
  <c r="K94" i="4"/>
  <c r="H94" i="4" s="1"/>
  <c r="I94" i="4" s="1"/>
  <c r="E94" i="4" s="1"/>
  <c r="K98" i="4"/>
  <c r="H98" i="4" s="1"/>
  <c r="I98" i="4" s="1"/>
  <c r="E98" i="4" s="1"/>
  <c r="K96" i="4"/>
  <c r="H96" i="4" s="1"/>
  <c r="I93" i="4"/>
  <c r="E93" i="4" s="1"/>
  <c r="I84" i="4"/>
  <c r="E84" i="4" s="1"/>
  <c r="I74" i="4"/>
  <c r="E74" i="4" s="1"/>
  <c r="I87" i="4"/>
  <c r="E87" i="4" s="1"/>
  <c r="I96" i="4"/>
  <c r="E96" i="4" s="1"/>
  <c r="I108" i="4"/>
  <c r="E108" i="4" s="1"/>
  <c r="I140" i="4"/>
  <c r="E140" i="4" s="1"/>
  <c r="I75" i="4"/>
  <c r="E75" i="4" s="1"/>
  <c r="I83" i="4"/>
  <c r="E83" i="4" s="1"/>
  <c r="I85" i="4"/>
  <c r="E85" i="4" s="1"/>
  <c r="I139" i="4"/>
  <c r="E139" i="4" s="1"/>
  <c r="G248" i="3" l="1"/>
  <c r="D272" i="3"/>
  <c r="D276" i="3" s="1"/>
  <c r="D279" i="3" s="1"/>
  <c r="D281" i="3" s="1"/>
  <c r="B28" i="2" s="1"/>
  <c r="B20" i="2" s="1"/>
  <c r="D481" i="3" s="1"/>
  <c r="C26" i="4"/>
  <c r="C27" i="4" s="1"/>
  <c r="N149" i="4"/>
  <c r="G149" i="4" s="1"/>
  <c r="F149" i="4" s="1"/>
  <c r="N147" i="4"/>
  <c r="G147" i="4" s="1"/>
  <c r="F147" i="4" s="1"/>
  <c r="N145" i="4"/>
  <c r="G145" i="4" s="1"/>
  <c r="F145" i="4" s="1"/>
  <c r="N143" i="4"/>
  <c r="G143" i="4" s="1"/>
  <c r="F143" i="4" s="1"/>
  <c r="N141" i="4"/>
  <c r="G141" i="4" s="1"/>
  <c r="F141" i="4" s="1"/>
  <c r="N139" i="4"/>
  <c r="G139" i="4" s="1"/>
  <c r="F139" i="4" s="1"/>
  <c r="N137" i="4"/>
  <c r="G137" i="4" s="1"/>
  <c r="F137" i="4" s="1"/>
  <c r="N135" i="4"/>
  <c r="G135" i="4" s="1"/>
  <c r="F135" i="4" s="1"/>
  <c r="N133" i="4"/>
  <c r="G133" i="4" s="1"/>
  <c r="F133" i="4" s="1"/>
  <c r="N131" i="4"/>
  <c r="G131" i="4" s="1"/>
  <c r="F131" i="4" s="1"/>
  <c r="N129" i="4"/>
  <c r="G129" i="4" s="1"/>
  <c r="F129" i="4" s="1"/>
  <c r="N127" i="4"/>
  <c r="G127" i="4" s="1"/>
  <c r="F127" i="4" s="1"/>
  <c r="N125" i="4"/>
  <c r="G125" i="4" s="1"/>
  <c r="F125" i="4" s="1"/>
  <c r="N123" i="4"/>
  <c r="G123" i="4" s="1"/>
  <c r="F123" i="4" s="1"/>
  <c r="N121" i="4"/>
  <c r="G121" i="4" s="1"/>
  <c r="F121" i="4" s="1"/>
  <c r="N119" i="4"/>
  <c r="G119" i="4" s="1"/>
  <c r="F119" i="4" s="1"/>
  <c r="N117" i="4"/>
  <c r="G117" i="4" s="1"/>
  <c r="F117" i="4" s="1"/>
  <c r="N115" i="4"/>
  <c r="G115" i="4" s="1"/>
  <c r="F115" i="4" s="1"/>
  <c r="N113" i="4"/>
  <c r="G113" i="4" s="1"/>
  <c r="F113" i="4" s="1"/>
  <c r="N111" i="4"/>
  <c r="G111" i="4" s="1"/>
  <c r="F111" i="4" s="1"/>
  <c r="N109" i="4"/>
  <c r="G109" i="4" s="1"/>
  <c r="F109" i="4" s="1"/>
  <c r="N107" i="4"/>
  <c r="G107" i="4" s="1"/>
  <c r="F107" i="4" s="1"/>
  <c r="N105" i="4"/>
  <c r="G105" i="4" s="1"/>
  <c r="F105" i="4" s="1"/>
  <c r="N103" i="4"/>
  <c r="G103" i="4" s="1"/>
  <c r="F103" i="4" s="1"/>
  <c r="N98" i="4"/>
  <c r="G98" i="4" s="1"/>
  <c r="F98" i="4" s="1"/>
  <c r="N90" i="4"/>
  <c r="G90" i="4" s="1"/>
  <c r="F90" i="4" s="1"/>
  <c r="N99" i="4"/>
  <c r="G99" i="4" s="1"/>
  <c r="F99" i="4" s="1"/>
  <c r="N88" i="4"/>
  <c r="G88" i="4" s="1"/>
  <c r="F88" i="4" s="1"/>
  <c r="N85" i="4"/>
  <c r="G85" i="4" s="1"/>
  <c r="F85" i="4" s="1"/>
  <c r="N80" i="4"/>
  <c r="G80" i="4" s="1"/>
  <c r="F80" i="4" s="1"/>
  <c r="N77" i="4"/>
  <c r="G77" i="4" s="1"/>
  <c r="F77" i="4" s="1"/>
  <c r="N72" i="4"/>
  <c r="G72" i="4" s="1"/>
  <c r="F72" i="4" s="1"/>
  <c r="N69" i="4"/>
  <c r="G69" i="4" s="1"/>
  <c r="F69" i="4" s="1"/>
  <c r="N86" i="4"/>
  <c r="G86" i="4" s="1"/>
  <c r="F86" i="4" s="1"/>
  <c r="N83" i="4"/>
  <c r="G83" i="4" s="1"/>
  <c r="F83" i="4" s="1"/>
  <c r="N78" i="4"/>
  <c r="G78" i="4" s="1"/>
  <c r="F78" i="4" s="1"/>
  <c r="N75" i="4"/>
  <c r="G75" i="4" s="1"/>
  <c r="F75" i="4" s="1"/>
  <c r="N70" i="4"/>
  <c r="G70" i="4" s="1"/>
  <c r="F70" i="4" s="1"/>
  <c r="N150" i="4"/>
  <c r="G150" i="4" s="1"/>
  <c r="F150" i="4" s="1"/>
  <c r="N148" i="4"/>
  <c r="G148" i="4" s="1"/>
  <c r="F148" i="4" s="1"/>
  <c r="N146" i="4"/>
  <c r="G146" i="4" s="1"/>
  <c r="F146" i="4" s="1"/>
  <c r="N144" i="4"/>
  <c r="G144" i="4" s="1"/>
  <c r="F144" i="4" s="1"/>
  <c r="N142" i="4"/>
  <c r="G142" i="4" s="1"/>
  <c r="F142" i="4" s="1"/>
  <c r="N140" i="4"/>
  <c r="G140" i="4" s="1"/>
  <c r="F140" i="4" s="1"/>
  <c r="N138" i="4"/>
  <c r="G138" i="4" s="1"/>
  <c r="F138" i="4" s="1"/>
  <c r="N136" i="4"/>
  <c r="G136" i="4" s="1"/>
  <c r="F136" i="4" s="1"/>
  <c r="N134" i="4"/>
  <c r="G134" i="4" s="1"/>
  <c r="F134" i="4" s="1"/>
  <c r="N132" i="4"/>
  <c r="G132" i="4" s="1"/>
  <c r="F132" i="4" s="1"/>
  <c r="N130" i="4"/>
  <c r="G130" i="4" s="1"/>
  <c r="F130" i="4" s="1"/>
  <c r="N128" i="4"/>
  <c r="G128" i="4" s="1"/>
  <c r="F128" i="4" s="1"/>
  <c r="N126" i="4"/>
  <c r="G126" i="4" s="1"/>
  <c r="F126" i="4" s="1"/>
  <c r="N124" i="4"/>
  <c r="G124" i="4" s="1"/>
  <c r="F124" i="4" s="1"/>
  <c r="N122" i="4"/>
  <c r="G122" i="4" s="1"/>
  <c r="F122" i="4" s="1"/>
  <c r="N120" i="4"/>
  <c r="G120" i="4" s="1"/>
  <c r="F120" i="4" s="1"/>
  <c r="N118" i="4"/>
  <c r="G118" i="4" s="1"/>
  <c r="F118" i="4" s="1"/>
  <c r="N116" i="4"/>
  <c r="G116" i="4" s="1"/>
  <c r="F116" i="4" s="1"/>
  <c r="N114" i="4"/>
  <c r="G114" i="4" s="1"/>
  <c r="F114" i="4" s="1"/>
  <c r="N112" i="4"/>
  <c r="G112" i="4" s="1"/>
  <c r="F112" i="4" s="1"/>
  <c r="N110" i="4"/>
  <c r="G110" i="4" s="1"/>
  <c r="F110" i="4" s="1"/>
  <c r="N108" i="4"/>
  <c r="G108" i="4" s="1"/>
  <c r="F108" i="4" s="1"/>
  <c r="N106" i="4"/>
  <c r="G106" i="4" s="1"/>
  <c r="F106" i="4" s="1"/>
  <c r="N104" i="4"/>
  <c r="G104" i="4" s="1"/>
  <c r="F104" i="4" s="1"/>
  <c r="N101" i="4"/>
  <c r="G101" i="4" s="1"/>
  <c r="F101" i="4" s="1"/>
  <c r="N96" i="4"/>
  <c r="G96" i="4" s="1"/>
  <c r="F96" i="4" s="1"/>
  <c r="N100" i="4"/>
  <c r="G100" i="4" s="1"/>
  <c r="F100" i="4" s="1"/>
  <c r="N94" i="4"/>
  <c r="G94" i="4" s="1"/>
  <c r="F94" i="4" s="1"/>
  <c r="N91" i="4"/>
  <c r="G91" i="4" s="1"/>
  <c r="F91" i="4" s="1"/>
  <c r="N87" i="4"/>
  <c r="G87" i="4" s="1"/>
  <c r="F87" i="4" s="1"/>
  <c r="N82" i="4"/>
  <c r="G82" i="4" s="1"/>
  <c r="F82" i="4" s="1"/>
  <c r="N79" i="4"/>
  <c r="G79" i="4" s="1"/>
  <c r="F79" i="4" s="1"/>
  <c r="N74" i="4"/>
  <c r="G74" i="4" s="1"/>
  <c r="F74" i="4" s="1"/>
  <c r="N71" i="4"/>
  <c r="G71" i="4" s="1"/>
  <c r="F71" i="4" s="1"/>
  <c r="N102" i="4"/>
  <c r="G102" i="4" s="1"/>
  <c r="F102" i="4" s="1"/>
  <c r="N89" i="4"/>
  <c r="G89" i="4" s="1"/>
  <c r="F89" i="4" s="1"/>
  <c r="N84" i="4"/>
  <c r="G84" i="4" s="1"/>
  <c r="F84" i="4" s="1"/>
  <c r="N81" i="4"/>
  <c r="G81" i="4" s="1"/>
  <c r="F81" i="4" s="1"/>
  <c r="N76" i="4"/>
  <c r="G76" i="4" s="1"/>
  <c r="F76" i="4" s="1"/>
  <c r="N73" i="4"/>
  <c r="G73" i="4" s="1"/>
  <c r="F73" i="4" s="1"/>
  <c r="N68" i="4"/>
  <c r="G68" i="4" s="1"/>
  <c r="F68" i="4" s="1"/>
  <c r="N95" i="4"/>
  <c r="G95" i="4" s="1"/>
  <c r="F95" i="4" s="1"/>
  <c r="N92" i="4"/>
  <c r="G92" i="4" s="1"/>
  <c r="F92" i="4" s="1"/>
  <c r="N97" i="4"/>
  <c r="G97" i="4" s="1"/>
  <c r="F97" i="4" s="1"/>
  <c r="N93" i="4"/>
  <c r="G93" i="4" s="1"/>
  <c r="F93" i="4" s="1"/>
  <c r="B26" i="4" l="1"/>
  <c r="D274" i="3"/>
  <c r="C28" i="2" s="1"/>
  <c r="C20" i="2" s="1"/>
  <c r="C35" i="2" s="1"/>
  <c r="B34" i="2"/>
  <c r="B35" i="2" s="1"/>
  <c r="D535" i="3"/>
  <c r="B50" i="2" s="1"/>
  <c r="B55" i="2" l="1"/>
  <c r="B28" i="1"/>
  <c r="D527" i="3"/>
  <c r="B47" i="2" s="1"/>
  <c r="B48" i="2" s="1"/>
  <c r="B65" i="2"/>
  <c r="B72" i="2" s="1"/>
  <c r="B28" i="4"/>
  <c r="B27" i="4"/>
  <c r="B64" i="2" s="1"/>
  <c r="B34" i="1" s="1"/>
  <c r="C55" i="2"/>
  <c r="C52" i="2"/>
  <c r="C53" i="2" s="1"/>
  <c r="B73" i="2" l="1"/>
  <c r="B68" i="1" s="1"/>
  <c r="B67" i="1"/>
  <c r="B76" i="2"/>
  <c r="B29" i="1"/>
  <c r="B52" i="2"/>
  <c r="B33" i="1"/>
  <c r="D553" i="3"/>
  <c r="D555" i="3" s="1"/>
  <c r="D468" i="3"/>
  <c r="D470" i="3" s="1"/>
  <c r="D563" i="3"/>
  <c r="D565" i="3" s="1"/>
  <c r="D458" i="3"/>
  <c r="D460" i="3" s="1"/>
  <c r="B74" i="2"/>
  <c r="B75" i="2"/>
  <c r="B77" i="2"/>
  <c r="B71" i="1" s="1"/>
  <c r="B37" i="1" l="1"/>
  <c r="B60" i="2"/>
  <c r="B78" i="2" s="1"/>
  <c r="B59" i="2"/>
  <c r="B79" i="2" s="1"/>
  <c r="B72" i="1"/>
  <c r="B40" i="1"/>
  <c r="B69" i="1"/>
  <c r="B39" i="1"/>
  <c r="B70" i="1"/>
  <c r="B38" i="1"/>
  <c r="B53" i="2"/>
  <c r="B32" i="1" l="1"/>
  <c r="B70" i="2"/>
  <c r="B30" i="1"/>
  <c r="B81" i="2"/>
  <c r="B74" i="1"/>
  <c r="B42" i="1"/>
  <c r="B73" i="1"/>
  <c r="B41" i="1"/>
  <c r="B36" i="1" l="1"/>
  <c r="C41" i="1" s="1"/>
  <c r="B66" i="1"/>
  <c r="C42" i="1" l="1"/>
  <c r="C68" i="1"/>
  <c r="C67" i="1"/>
  <c r="C71" i="1"/>
  <c r="C69" i="1"/>
  <c r="C70" i="1"/>
  <c r="C72" i="1"/>
  <c r="C74" i="1"/>
  <c r="C37" i="1"/>
  <c r="C38" i="1"/>
  <c r="C39" i="1"/>
  <c r="C40" i="1"/>
  <c r="C73" i="1"/>
</calcChain>
</file>

<file path=xl/comments1.xml><?xml version="1.0" encoding="utf-8"?>
<comments xmlns="http://schemas.openxmlformats.org/spreadsheetml/2006/main">
  <authors>
    <author>NREL</author>
    <author>mhand</author>
  </authors>
  <commentList>
    <comment ref="B4" authorId="0">
      <text>
        <r>
          <rPr>
            <b/>
            <sz val="10"/>
            <color indexed="81"/>
            <rFont val="Tahoma"/>
            <family val="2"/>
          </rPr>
          <t>Enter 1 for Land Based
Enter 2 for Shallow Offshore &lt; 30 meters
Enter 3 for Transitional Offshore &gt; 30, &gt;60 meters
Enter 4 for Deep Offshore &gt; 60 meters</t>
        </r>
      </text>
    </comment>
    <comment ref="J6" authorId="1">
      <text>
        <r>
          <rPr>
            <b/>
            <sz val="8"/>
            <color indexed="81"/>
            <rFont val="Tahoma"/>
            <family val="2"/>
          </rPr>
          <t>For the time being, the text for the dropdown boxes is located here.  When we get the text settled better, it could be moved to another page if needed.</t>
        </r>
      </text>
    </comment>
    <comment ref="C8" authorId="0">
      <text>
        <r>
          <rPr>
            <sz val="10"/>
            <color indexed="81"/>
            <rFont val="Tahoma"/>
            <family val="2"/>
          </rPr>
          <t xml:space="preserve">Use drop-down box to select blade technology type.
</t>
        </r>
        <r>
          <rPr>
            <b/>
            <sz val="10"/>
            <color indexed="81"/>
            <rFont val="Tahoma"/>
            <family val="2"/>
          </rPr>
          <t>Note:</t>
        </r>
        <r>
          <rPr>
            <sz val="10"/>
            <color indexed="81"/>
            <rFont val="Tahoma"/>
            <family val="2"/>
          </rPr>
          <t xml:space="preserve"> Advanced blade technology should not be used for rotor diameters &lt; 100 meters
</t>
        </r>
      </text>
    </comment>
    <comment ref="C9" authorId="0">
      <text>
        <r>
          <rPr>
            <sz val="10"/>
            <color indexed="81"/>
            <rFont val="Tahoma"/>
            <family val="2"/>
          </rPr>
          <t>Use drop-down box to select tower technology type.</t>
        </r>
      </text>
    </comment>
    <comment ref="B18" authorId="0">
      <text>
        <r>
          <rPr>
            <b/>
            <sz val="10"/>
            <color indexed="81"/>
            <rFont val="Tahoma"/>
            <family val="2"/>
          </rPr>
          <t>Rotor Tip Speed and RPM are limited by a subroutine for calculating power in Region 2 1/2.</t>
        </r>
      </text>
    </comment>
    <comment ref="C18" authorId="0">
      <text>
        <r>
          <rPr>
            <b/>
            <sz val="10"/>
            <color indexed="81"/>
            <rFont val="Tahoma"/>
            <family val="2"/>
          </rPr>
          <t>On Error; Either Rotor Diameter is too Small, Tip Speed is too High, or TSR is too Low</t>
        </r>
      </text>
    </comment>
    <comment ref="B24" authorId="0">
      <text>
        <r>
          <rPr>
            <sz val="10"/>
            <color indexed="81"/>
            <rFont val="Tahoma"/>
            <family val="2"/>
          </rPr>
          <t xml:space="preserve">1= 3 stage planetary
2= Single stage, low speed generator
3= Multi-Generator
4= Direct Drive
</t>
        </r>
      </text>
    </comment>
    <comment ref="B25" authorId="0">
      <text>
        <r>
          <rPr>
            <b/>
            <sz val="10"/>
            <color indexed="81"/>
            <rFont val="Tahoma"/>
            <family val="2"/>
          </rPr>
          <t>1 = Yes
2= No
Will be Included in Mainframe Cost and Mass.  Should be Included for All Offshore Turbines</t>
        </r>
      </text>
    </comment>
  </commentList>
</comments>
</file>

<file path=xl/comments2.xml><?xml version="1.0" encoding="utf-8"?>
<comments xmlns="http://schemas.openxmlformats.org/spreadsheetml/2006/main">
  <authors>
    <author>NREL</author>
  </authors>
  <commentList>
    <comment ref="B59" authorId="0">
      <text>
        <r>
          <rPr>
            <b/>
            <sz val="8"/>
            <color indexed="81"/>
            <rFont val="Tahoma"/>
            <family val="2"/>
          </rPr>
          <t>Because O&amp;M is tax deductible, the final O&amp;M value in the COE calculation is multiplied by 60% (1-40%, where 40% is the combined federal-state tax rate.)</t>
        </r>
      </text>
    </comment>
  </commentList>
</comments>
</file>

<file path=xl/comments3.xml><?xml version="1.0" encoding="utf-8"?>
<comments xmlns="http://schemas.openxmlformats.org/spreadsheetml/2006/main">
  <authors>
    <author>mhand</author>
    <author>NREL</author>
    <author>Ben Maples</author>
    <author>BMaples</author>
  </authors>
  <commentList>
    <comment ref="D28" authorId="0">
      <text>
        <r>
          <rPr>
            <b/>
            <sz val="8"/>
            <color indexed="81"/>
            <rFont val="Tahoma"/>
            <family val="2"/>
          </rPr>
          <t>Baseline = WindPACT, Advanced = LM</t>
        </r>
      </text>
    </comment>
    <comment ref="D130" authorId="1">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 ref="D131" authorId="1">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 ref="L141" authorId="2">
      <text>
        <r>
          <rPr>
            <b/>
            <sz val="8"/>
            <color indexed="81"/>
            <rFont val="Tahoma"/>
            <family val="2"/>
          </rPr>
          <t>Ben Maples:</t>
        </r>
        <r>
          <rPr>
            <sz val="8"/>
            <color indexed="81"/>
            <rFont val="Tahoma"/>
            <family val="2"/>
          </rPr>
          <t xml:space="preserve">
These values used for the Idealized Turbine in the AEP Input Output sheet.</t>
        </r>
      </text>
    </comment>
    <comment ref="O141" authorId="2">
      <text>
        <r>
          <rPr>
            <b/>
            <sz val="8"/>
            <color indexed="81"/>
            <rFont val="Tahoma"/>
            <family val="2"/>
          </rPr>
          <t>Ben Maples:</t>
        </r>
        <r>
          <rPr>
            <sz val="8"/>
            <color indexed="81"/>
            <rFont val="Tahoma"/>
            <family val="2"/>
          </rPr>
          <t xml:space="preserve">
Based on a 6 generator drive train</t>
        </r>
      </text>
    </comment>
    <comment ref="D142" authorId="1">
      <text>
        <r>
          <rPr>
            <sz val="10"/>
            <color indexed="81"/>
            <rFont val="Tahoma"/>
            <family val="2"/>
          </rPr>
          <t>Gearbox mass calculations for 3 stage planetary designs (Design Option 1) were developed by calculating torque for each of 4 different size designs from the WindPACT rotor study and plotting the torques against gearbox mass.  This provided a power law curve based on torque.</t>
        </r>
      </text>
    </comment>
    <comment ref="E142" authorId="1">
      <text>
        <r>
          <rPr>
            <sz val="8"/>
            <color indexed="81"/>
            <rFont val="Tahoma"/>
            <family val="2"/>
          </rPr>
          <t>Gearbox mass calculations for single stage designs with a medium speed generator (Design Option 2) were developed assuming the gearbox would also scale by torque with the same shape as the 3 stage planetary (thus using the same power).  The multiplier was developed by ratioing the GEC single stage gearbox mass to the 3 stage planetary of the same rating.  The Mainshaft and Main Bearings are incorporated into this design, where in option 1, they are separate.</t>
        </r>
      </text>
    </comment>
    <comment ref="F142" authorId="1">
      <text>
        <r>
          <rPr>
            <sz val="8"/>
            <color indexed="81"/>
            <rFont val="Tahoma"/>
            <family val="2"/>
          </rPr>
          <t>Gearbox mass calculations for multi stage designs with multiple generators (Design Option 3) were developed assuming the gearbox would also scale by torque with the same shape as the 3 stage planetary (thus using the same power).  The multiplier was developed by ratioing the Multi stage gearbox mass to the 3 stage planetary of the same rating.  The Mainshaft and Main Bearings are incorporated into this design, where in option 1, they are separate.</t>
        </r>
      </text>
    </comment>
    <comment ref="G142" authorId="1">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D147" authorId="1">
      <text>
        <r>
          <rPr>
            <sz val="8"/>
            <color indexed="81"/>
            <rFont val="Tahoma"/>
            <family val="2"/>
          </rPr>
          <t>The Cost Factor for 3 stage planetary gearboxes (Design Option 1) was developed by plotting cost versus machine rating from the WindPACT Rotor Design Study.  This provided a power law equation based on rating.</t>
        </r>
      </text>
    </comment>
    <comment ref="E147" authorId="1">
      <text>
        <r>
          <rPr>
            <sz val="8"/>
            <color indexed="81"/>
            <rFont val="Tahoma"/>
            <family val="2"/>
          </rPr>
          <t xml:space="preserve">The Cost Factor for single stage gearboxes with medium speed generators (Design Option 2) was developed by plotting cost versus machine rating from the WindPACT GEC Drive Train Design Report, which provided cost estimates for three designs at different ratings.  This provided a power law equation based on rating.  From Curve Plotted Below  
</t>
        </r>
      </text>
    </comment>
    <comment ref="F147" authorId="1">
      <text>
        <r>
          <rPr>
            <sz val="8"/>
            <color indexed="81"/>
            <rFont val="Tahoma"/>
            <family val="2"/>
          </rPr>
          <t xml:space="preserve">The Cost Factor for a multi stage gearboxes with high speed generators (Design Option 3) was developed by assuming the curve had the same shape (power) as the 3 stage planetary but a different multiplier.  A new multiplier was developed by ratioing a multi drive gearbox to a 3 stage planetary of the same size.  This ratio was taken once the two design had been converted to 2002 $.  This provided a power law equation based on rating. </t>
        </r>
      </text>
    </comment>
    <comment ref="G147" authorId="1">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D178" authorId="1">
      <text>
        <r>
          <rPr>
            <b/>
            <sz val="8"/>
            <color indexed="81"/>
            <rFont val="Tahoma"/>
            <family val="2"/>
          </rPr>
          <t>Rotor Study:
Generator Mass = 3.3*Rating(kw) + 471</t>
        </r>
      </text>
    </comment>
    <comment ref="E178" authorId="1">
      <text>
        <r>
          <rPr>
            <b/>
            <sz val="8"/>
            <color indexed="81"/>
            <rFont val="Tahoma"/>
            <family val="2"/>
          </rPr>
          <t>Curve multiplier is based on ratio between GEC Mass and WindPACT planetary mass, with same shape exponent</t>
        </r>
      </text>
    </comment>
    <comment ref="F178" authorId="1">
      <text>
        <r>
          <rPr>
            <b/>
            <sz val="8"/>
            <color indexed="81"/>
            <rFont val="Tahoma"/>
            <family val="2"/>
          </rPr>
          <t>Curve multiplier is based on ratio between a multi generator mass and planetary mass, with same shape exponent</t>
        </r>
      </text>
    </comment>
    <comment ref="G178" authorId="1">
      <text>
        <r>
          <rPr>
            <b/>
            <sz val="8"/>
            <color indexed="81"/>
            <rFont val="Tahoma"/>
            <family val="2"/>
          </rPr>
          <t>Curve multiplier and exponent is based on torque vs mass calculated in section below</t>
        </r>
      </text>
    </comment>
    <comment ref="D183" authorId="1">
      <text>
        <r>
          <rPr>
            <sz val="8"/>
            <color indexed="81"/>
            <rFont val="Tahoma"/>
            <family val="2"/>
          </rPr>
          <t>The Cost Factor for generators for 3 stage planetary drives (Design Option 1) was taken from the WindPACT Rotor Design Study.  This multiplier assumes generators scale at at set $ amount per kW of rating.  This formula was adjusted from 2002 $ to 2005$ using the PPI indexes for Generators.</t>
        </r>
        <r>
          <rPr>
            <sz val="10"/>
            <color indexed="81"/>
            <rFont val="Tahoma"/>
            <family val="2"/>
          </rPr>
          <t xml:space="preserve">
</t>
        </r>
      </text>
    </comment>
    <comment ref="E183" authorId="1">
      <text>
        <r>
          <rPr>
            <sz val="8"/>
            <color indexed="81"/>
            <rFont val="Tahoma"/>
            <family val="2"/>
          </rPr>
          <t>The Cost Factor for generators for single stage drives with medium speed generators (Design Option 2) scales much the same as generators for planetary drives, on a $ per kW basis.  This multiplier was developed as a ratio between the WindPACT medium speed generator and the WindPACT baseline planetary generators.  This formula was adjusted from 2002 $ to 2005$ using the PPI indexes for Generators.</t>
        </r>
        <r>
          <rPr>
            <sz val="10"/>
            <color indexed="81"/>
            <rFont val="Tahoma"/>
            <family val="2"/>
          </rPr>
          <t xml:space="preserve">
</t>
        </r>
      </text>
    </comment>
    <comment ref="F183" authorId="1">
      <text>
        <r>
          <rPr>
            <sz val="8"/>
            <color indexed="81"/>
            <rFont val="Tahoma"/>
            <family val="2"/>
          </rPr>
          <t>The Cost Factor for generators for multi generator drives (Design Option 3) scales the same as generators for planetary drives, on a $ per kW basis.  This multiplier was developed as a ratio between the multi generator costs and the baseline planetary generators.  This formula was adjusted from 2002 $ to 2005$ using the PPI indexes for Generators.</t>
        </r>
        <r>
          <rPr>
            <sz val="10"/>
            <color indexed="81"/>
            <rFont val="Tahoma"/>
            <family val="2"/>
          </rPr>
          <t xml:space="preserve">
</t>
        </r>
      </text>
    </comment>
    <comment ref="G183" authorId="1">
      <text>
        <r>
          <rPr>
            <sz val="8"/>
            <color indexed="81"/>
            <rFont val="Tahoma"/>
            <family val="2"/>
          </rPr>
          <t>The Cost Factor for direct drive generators (Design Option 4) scales the same as generators for planetary drives, on a $ per kW basis.  This multiplier was developed as a ratio between the WindPACT direct drive generator and the WindPACT baseline planetary generators.  This formula was adjusted from 2002 $ to 2005$ using the PPI indexes for Generators.</t>
        </r>
      </text>
    </comment>
    <comment ref="D201" authorId="1">
      <text>
        <r>
          <rPr>
            <b/>
            <sz val="8"/>
            <color indexed="81"/>
            <rFont val="Tahoma"/>
            <family val="2"/>
          </rPr>
          <t>Based on Wind Turbine Rating.  From GEC WindPACT Drive Train Study.  Based on Full power conversion, using back to back PWM modulated IGBT systems, as described in Appendix F "1.5 MW IGBT-IGBT Drive Pricing Estimate", page F.4-4.</t>
        </r>
      </text>
    </comment>
    <comment ref="D235" authorId="3">
      <text>
        <r>
          <rPr>
            <b/>
            <sz val="8"/>
            <color indexed="81"/>
            <rFont val="Tahoma"/>
            <family val="2"/>
          </rPr>
          <t>BMaples:</t>
        </r>
        <r>
          <rPr>
            <sz val="8"/>
            <color indexed="81"/>
            <rFont val="Tahoma"/>
            <family val="2"/>
          </rPr>
          <t xml:space="preserve">
Modular= 2.86  Modular-advanced= 2.4  Integral= 0.71</t>
        </r>
      </text>
    </comment>
    <comment ref="D236" authorId="3">
      <text>
        <r>
          <rPr>
            <b/>
            <sz val="8"/>
            <color indexed="81"/>
            <rFont val="Tahoma"/>
            <family val="2"/>
          </rPr>
          <t>BMaples:</t>
        </r>
        <r>
          <rPr>
            <sz val="8"/>
            <color indexed="81"/>
            <rFont val="Tahoma"/>
            <family val="2"/>
          </rPr>
          <t xml:space="preserve">
For Rotor Diameter:     
0m&lt;D&lt;15m=0.3      15m&lt;D&lt;60m=0.07042*D-.715     60m&lt;D=.01229*D+2.648</t>
        </r>
      </text>
    </comment>
    <comment ref="D239" authorId="3">
      <text>
        <r>
          <rPr>
            <b/>
            <sz val="8"/>
            <color indexed="81"/>
            <rFont val="Tahoma"/>
            <family val="2"/>
          </rPr>
          <t>BMaples:</t>
        </r>
        <r>
          <rPr>
            <sz val="8"/>
            <color indexed="81"/>
            <rFont val="Tahoma"/>
            <family val="2"/>
          </rPr>
          <t xml:space="preserve">
Need more info on aerodynamic drag and thrust factors (see pg.35 of Sunderland report)</t>
        </r>
      </text>
    </comment>
    <comment ref="D240" authorId="3">
      <text>
        <r>
          <rPr>
            <b/>
            <sz val="8"/>
            <color indexed="81"/>
            <rFont val="Tahoma"/>
            <family val="2"/>
          </rPr>
          <t>BMaples:</t>
        </r>
        <r>
          <rPr>
            <sz val="8"/>
            <color indexed="81"/>
            <rFont val="Tahoma"/>
            <family val="2"/>
          </rPr>
          <t xml:space="preserve">
Sources found with coefficients ranging from .1 to 1</t>
        </r>
      </text>
    </comment>
    <comment ref="D247" authorId="1">
      <text>
        <r>
          <rPr>
            <b/>
            <sz val="8"/>
            <color indexed="81"/>
            <rFont val="Tahoma"/>
            <family val="2"/>
          </rPr>
          <t>Design Option 1, 3 stage gearbox.  Data from above calculations, derived from the University of Sunderland's "Cost Modelling of Horizontal Axis Wind Turbines" 1994</t>
        </r>
      </text>
    </comment>
    <comment ref="E247" authorId="1">
      <text>
        <r>
          <rPr>
            <b/>
            <sz val="8"/>
            <color indexed="81"/>
            <rFont val="Tahoma"/>
            <family val="2"/>
          </rPr>
          <t>Drive Trian Type 2, (Single Stage Drive Medium Speed Generator), is Generally self supporting and requires no Mainframe.  However additional mass is associated with supports for ancilliary equipment in the Nacelle.  Based on Comparison of Type 2 to Type 1 design in GEC Drive Train Study, Single Stage will be .58 of the Baseline (Page 13 - cost of Single PM Support Structure/Baseline Support Structure).  Using the same factor (since cost and mass are a simple product relationship in WindPACT Rotor Study), then multiplier is therefore .58x.02=.00116.  Will still follow a roughly cubic Power law.</t>
        </r>
      </text>
    </comment>
    <comment ref="F247" authorId="1">
      <text>
        <r>
          <rPr>
            <b/>
            <sz val="8"/>
            <color indexed="81"/>
            <rFont val="Tahoma"/>
            <family val="2"/>
          </rPr>
          <t>Drive Trian Type 3, (Multi Generator), requires a limited mainframe.  It is assumed to be a roughly cubic relationship like the Baseline.  But multipliers are calculated from the ratio of the multiple generator drive to the baseline mass and cost.</t>
        </r>
      </text>
    </comment>
    <comment ref="G247" authorId="1">
      <text>
        <r>
          <rPr>
            <b/>
            <sz val="8"/>
            <color indexed="81"/>
            <rFont val="Tahoma"/>
            <family val="2"/>
          </rPr>
          <t xml:space="preserve">Drive Trian Type 4, (Direct Drive), is Generally self supporting but still requires a limited bedplate.  Based on Comparison of Type 4 to Type 1 design in NPS Drive Train Study, DD bedplate will be .55 of the Baseline (Page 9-1 - cost of DD 4 m/Baseline Bedplate).  This assumes there is a direct linear relationship between cost and masss. </t>
        </r>
      </text>
    </comment>
    <comment ref="D252" authorId="1">
      <text>
        <r>
          <rPr>
            <b/>
            <sz val="8"/>
            <color indexed="81"/>
            <rFont val="Tahoma"/>
            <family val="2"/>
          </rPr>
          <t>Design Option 1, Standard 3 stage Gearbox.  Based on Mainframe vs Diameter Type 1</t>
        </r>
      </text>
    </comment>
    <comment ref="E252" authorId="1">
      <text>
        <r>
          <rPr>
            <b/>
            <sz val="8"/>
            <color indexed="81"/>
            <rFont val="Tahoma"/>
            <family val="2"/>
          </rPr>
          <t>Drive Trian Type 2, (Single Stage Drive Medium Speed Generator), is Generally self supporting and requires no Mainframe.  However additional costs are associated with supports for ancilliary equipment in the Nacelle.  Multiplier and Power law developed from Type 2 Plot.  Based on data from Drive train reports.</t>
        </r>
      </text>
    </comment>
    <comment ref="F252" authorId="1">
      <text>
        <r>
          <rPr>
            <b/>
            <sz val="8"/>
            <color indexed="81"/>
            <rFont val="Tahoma"/>
            <family val="2"/>
          </rPr>
          <t xml:space="preserve">Drive Trian Type 3, (Multi Generator), requires a limited mainframe.  Plot follows Type 3 Plot. </t>
        </r>
      </text>
    </comment>
    <comment ref="G252" authorId="1">
      <text>
        <r>
          <rPr>
            <b/>
            <sz val="8"/>
            <color indexed="81"/>
            <rFont val="Tahoma"/>
            <family val="2"/>
          </rPr>
          <t>Drive Trian Type 4, (Direct Drive), is Generally self supporting but still requires a limited bedplate.  Based on NPS Drive Train Report Data and Curve.</t>
        </r>
      </text>
    </comment>
    <comment ref="B264" authorId="1">
      <text>
        <r>
          <rPr>
            <b/>
            <sz val="10"/>
            <color indexed="81"/>
            <rFont val="Tahoma"/>
            <family val="2"/>
          </rPr>
          <t>(Covers Miscellaneous brackets, bolts, fittings, supports, ladders etc.)</t>
        </r>
        <r>
          <rPr>
            <sz val="10"/>
            <color indexed="81"/>
            <rFont val="Tahoma"/>
            <family val="2"/>
          </rPr>
          <t xml:space="preserve">
</t>
        </r>
      </text>
    </comment>
    <comment ref="D271" authorId="1">
      <text>
        <r>
          <rPr>
            <b/>
            <sz val="8"/>
            <color indexed="81"/>
            <rFont val="Tahoma"/>
            <family val="2"/>
          </rPr>
          <t>Calculated Using Lookup Table below, based on type of design.</t>
        </r>
      </text>
    </comment>
    <comment ref="D273" authorId="1">
      <text>
        <r>
          <rPr>
            <b/>
            <sz val="10"/>
            <color indexed="81"/>
            <rFont val="Tahoma"/>
            <family val="2"/>
          </rPr>
          <t>Based on an LWST Report Service Crane is Roughly 3000 kgs</t>
        </r>
      </text>
    </comment>
    <comment ref="D277" authorId="1">
      <text>
        <r>
          <rPr>
            <b/>
            <sz val="8"/>
            <color indexed="81"/>
            <rFont val="Tahoma"/>
            <family val="2"/>
          </rPr>
          <t>Based on LWST Cost onboard Service Crane is Approximately $12,000.  (Clipper - Wind Technology Protected Data)</t>
        </r>
      </text>
    </comment>
    <comment ref="B384" authorId="0">
      <text>
        <r>
          <rPr>
            <b/>
            <sz val="8"/>
            <color indexed="81"/>
            <rFont val="Tahoma"/>
            <family val="2"/>
          </rPr>
          <t>WindPACT Rotor Study (Malcolm &amp; Hanson 2002) p. 14.  Used for both Land Based and Offshore Transportation.</t>
        </r>
      </text>
    </comment>
    <comment ref="B398" authorId="0">
      <text>
        <r>
          <rPr>
            <b/>
            <sz val="8"/>
            <color indexed="81"/>
            <rFont val="Tahoma"/>
            <family val="2"/>
          </rPr>
          <t>WindPACT Rotor Study (Malcolm &amp; Hanson 2002) p. 14.</t>
        </r>
      </text>
    </comment>
    <comment ref="B423" authorId="0">
      <text>
        <r>
          <rPr>
            <b/>
            <sz val="8"/>
            <color indexed="81"/>
            <rFont val="Tahoma"/>
            <family val="2"/>
          </rPr>
          <t>WindPACT Rotor Study (Malcolm &amp; Hanson 2002) p. 14.</t>
        </r>
      </text>
    </comment>
    <comment ref="B436" authorId="0">
      <text>
        <r>
          <rPr>
            <b/>
            <sz val="8"/>
            <color indexed="81"/>
            <rFont val="Tahoma"/>
            <family val="2"/>
          </rPr>
          <t>WindPACT Rotor Study (Malcolm &amp; Hanson 2002) p. 14.</t>
        </r>
      </text>
    </comment>
    <comment ref="B593" authorId="0">
      <text>
        <r>
          <rPr>
            <b/>
            <sz val="8"/>
            <color indexed="81"/>
            <rFont val="Tahoma"/>
            <family val="2"/>
          </rPr>
          <t>WindPACT Rotor Study (Malcolm &amp; Hanson 2002) p. 14.  Used for both Land Based and Offshore Transportation.</t>
        </r>
      </text>
    </comment>
  </commentList>
</comments>
</file>

<file path=xl/comments4.xml><?xml version="1.0" encoding="utf-8"?>
<comments xmlns="http://schemas.openxmlformats.org/spreadsheetml/2006/main">
  <authors>
    <author>NREL</author>
    <author>ljfinger</author>
    <author>Lee Jay Fingersh</author>
    <author>mhand</author>
    <author>BMaples</author>
  </authors>
  <commentList>
    <comment ref="C14" authorId="0">
      <text>
        <r>
          <rPr>
            <b/>
            <sz val="10"/>
            <color indexed="81"/>
            <rFont val="Tahoma"/>
            <family val="2"/>
          </rPr>
          <t>On Error; Either Rotor Diameter Too Small, Tip Speed Too High, or TSR too Low</t>
        </r>
      </text>
    </comment>
    <comment ref="B18" authorId="1">
      <text>
        <r>
          <rPr>
            <b/>
            <sz val="8"/>
            <color indexed="81"/>
            <rFont val="Tahoma"/>
            <family val="2"/>
          </rPr>
          <t>Lee Jay Fingersh:</t>
        </r>
        <r>
          <rPr>
            <sz val="8"/>
            <color indexed="81"/>
            <rFont val="Tahoma"/>
            <family val="2"/>
          </rPr>
          <t xml:space="preserve">
2/3 of the distance from where the end of region 2 would be at rated power to where a linear extrapolation of the slope at the end of region 2 would be at rated power.
Since we don't have the Cp-TSR curve or any way to derive it, an estimate of the performance in region 2 1/2 is required.  A linear power vs. windspeed characteristic is assumed and this "2/3" approximation of the location of the windspeed at rated power has been derived from BEM models of large machines.
</t>
        </r>
      </text>
    </comment>
    <comment ref="B19" authorId="2">
      <text>
        <r>
          <rPr>
            <b/>
            <sz val="10"/>
            <color indexed="81"/>
            <rFont val="Tahoma"/>
            <family val="2"/>
          </rPr>
          <t>Lee Jay Fingersh:</t>
        </r>
        <r>
          <rPr>
            <sz val="10"/>
            <color indexed="81"/>
            <rFont val="Tahoma"/>
            <family val="2"/>
          </rPr>
          <t xml:space="preserve">
0.02 matches GEC original model</t>
        </r>
      </text>
    </comment>
    <comment ref="C19" authorId="2">
      <text>
        <r>
          <rPr>
            <b/>
            <sz val="10"/>
            <color indexed="81"/>
            <rFont val="Tahoma"/>
            <family val="2"/>
          </rPr>
          <t>Lee Jay Fingersh:</t>
        </r>
        <r>
          <rPr>
            <sz val="10"/>
            <color indexed="81"/>
            <rFont val="Tahoma"/>
            <family val="2"/>
          </rPr>
          <t xml:space="preserve">
Losses that are constant with varying power (hotel loads, for example)
</t>
        </r>
      </text>
    </comment>
    <comment ref="D19" authorId="2">
      <text>
        <r>
          <rPr>
            <b/>
            <sz val="10"/>
            <color indexed="81"/>
            <rFont val="Tahoma"/>
            <family val="2"/>
          </rPr>
          <t>Lee Jay Fingersh:</t>
        </r>
        <r>
          <rPr>
            <sz val="10"/>
            <color indexed="81"/>
            <rFont val="Tahoma"/>
            <family val="2"/>
          </rPr>
          <t xml:space="preserve">
0.02 matches GEC original model</t>
        </r>
      </text>
    </comment>
    <comment ref="B20" authorId="2">
      <text>
        <r>
          <rPr>
            <b/>
            <sz val="10"/>
            <color indexed="81"/>
            <rFont val="Tahoma"/>
            <family val="2"/>
          </rPr>
          <t>Lee Jay Fingersh:</t>
        </r>
        <r>
          <rPr>
            <sz val="10"/>
            <color indexed="81"/>
            <rFont val="Tahoma"/>
            <family val="2"/>
          </rPr>
          <t xml:space="preserve">
0.055 matches GEC original model</t>
        </r>
      </text>
    </comment>
    <comment ref="C20" authorId="2">
      <text>
        <r>
          <rPr>
            <b/>
            <sz val="10"/>
            <color indexed="81"/>
            <rFont val="Tahoma"/>
            <family val="2"/>
          </rPr>
          <t>Lee Jay Fingersh:</t>
        </r>
        <r>
          <rPr>
            <sz val="10"/>
            <color indexed="81"/>
            <rFont val="Tahoma"/>
            <family val="2"/>
          </rPr>
          <t xml:space="preserve">
Losses that are linear with varying power (switching losses, for example)</t>
        </r>
      </text>
    </comment>
    <comment ref="D20" authorId="2">
      <text>
        <r>
          <rPr>
            <b/>
            <sz val="10"/>
            <color indexed="81"/>
            <rFont val="Tahoma"/>
            <family val="2"/>
          </rPr>
          <t>Lee Jay Fingersh:</t>
        </r>
        <r>
          <rPr>
            <sz val="10"/>
            <color indexed="81"/>
            <rFont val="Tahoma"/>
            <family val="2"/>
          </rPr>
          <t xml:space="preserve">
0.055 matches GEC original model</t>
        </r>
      </text>
    </comment>
    <comment ref="B21" authorId="2">
      <text>
        <r>
          <rPr>
            <b/>
            <sz val="10"/>
            <color indexed="81"/>
            <rFont val="Tahoma"/>
            <family val="2"/>
          </rPr>
          <t>Lee Jay Fingersh:</t>
        </r>
        <r>
          <rPr>
            <sz val="10"/>
            <color indexed="81"/>
            <rFont val="Tahoma"/>
            <family val="2"/>
          </rPr>
          <t xml:space="preserve">
0 matches GEC original model</t>
        </r>
      </text>
    </comment>
    <comment ref="C21" authorId="2">
      <text>
        <r>
          <rPr>
            <b/>
            <sz val="10"/>
            <color indexed="81"/>
            <rFont val="Tahoma"/>
            <family val="2"/>
          </rPr>
          <t>Lee Jay Fingersh:</t>
        </r>
        <r>
          <rPr>
            <sz val="10"/>
            <color indexed="81"/>
            <rFont val="Tahoma"/>
            <family val="2"/>
          </rPr>
          <t xml:space="preserve">
Losses that are quadratic with varying power (I^2 * R, for example)
</t>
        </r>
      </text>
    </comment>
    <comment ref="D21" authorId="2">
      <text>
        <r>
          <rPr>
            <b/>
            <sz val="10"/>
            <color indexed="81"/>
            <rFont val="Tahoma"/>
            <family val="2"/>
          </rPr>
          <t>Lee Jay Fingersh:</t>
        </r>
        <r>
          <rPr>
            <sz val="10"/>
            <color indexed="81"/>
            <rFont val="Tahoma"/>
            <family val="2"/>
          </rPr>
          <t xml:space="preserve">
0 matches GEC original model</t>
        </r>
      </text>
    </comment>
    <comment ref="G50" authorId="3">
      <text>
        <r>
          <rPr>
            <b/>
            <sz val="8"/>
            <color indexed="81"/>
            <rFont val="Tahoma"/>
            <family val="2"/>
          </rPr>
          <t>mhand:</t>
        </r>
        <r>
          <rPr>
            <sz val="8"/>
            <color indexed="81"/>
            <rFont val="Tahoma"/>
            <family val="2"/>
          </rPr>
          <t xml:space="preserve">
Data read from power curve in manufacturer brochures. Linear interpolation between points from curve; </t>
        </r>
        <r>
          <rPr>
            <i/>
            <sz val="8"/>
            <color indexed="81"/>
            <rFont val="Tahoma"/>
            <family val="2"/>
          </rPr>
          <t>not always a very good fit</t>
        </r>
        <r>
          <rPr>
            <sz val="8"/>
            <color indexed="81"/>
            <rFont val="Tahoma"/>
            <family val="2"/>
          </rPr>
          <t xml:space="preserve">
</t>
        </r>
      </text>
    </comment>
    <comment ref="AB50" authorId="4">
      <text>
        <r>
          <rPr>
            <b/>
            <sz val="8"/>
            <color indexed="81"/>
            <rFont val="Tahoma"/>
            <family val="2"/>
          </rPr>
          <t>BMaples:</t>
        </r>
        <r>
          <rPr>
            <sz val="8"/>
            <color indexed="81"/>
            <rFont val="Tahoma"/>
            <family val="2"/>
          </rPr>
          <t xml:space="preserve">
Data read from power curve in BARD brochure.
Linear interpolation between points read from brochure.</t>
        </r>
      </text>
    </comment>
    <comment ref="BC50" authorId="4">
      <text>
        <r>
          <rPr>
            <b/>
            <sz val="8"/>
            <color indexed="81"/>
            <rFont val="Tahoma"/>
            <family val="2"/>
          </rPr>
          <t>BMaples:</t>
        </r>
        <r>
          <rPr>
            <sz val="8"/>
            <color indexed="81"/>
            <rFont val="Tahoma"/>
            <family val="2"/>
          </rPr>
          <t xml:space="preserve">
Data read from power curve in Multibrid brochure.
Linear interpolation between points read from brochure.</t>
        </r>
      </text>
    </comment>
    <comment ref="BS50" authorId="4">
      <text>
        <r>
          <rPr>
            <b/>
            <sz val="8"/>
            <color indexed="81"/>
            <rFont val="Tahoma"/>
            <family val="2"/>
          </rPr>
          <t>BMaples:</t>
        </r>
        <r>
          <rPr>
            <sz val="8"/>
            <color indexed="81"/>
            <rFont val="Tahoma"/>
            <family val="2"/>
          </rPr>
          <t xml:space="preserve">
Data read from power curve in RePower brochure.
Linear interpolation between points read from brochure.</t>
        </r>
      </text>
    </comment>
  </commentList>
</comments>
</file>

<file path=xl/comments5.xml><?xml version="1.0" encoding="utf-8"?>
<comments xmlns="http://schemas.openxmlformats.org/spreadsheetml/2006/main">
  <authors>
    <author>elantz</author>
  </authors>
  <commentList>
    <comment ref="R4" authorId="0">
      <text>
        <r>
          <rPr>
            <b/>
            <sz val="8"/>
            <color indexed="81"/>
            <rFont val="Tahoma"/>
            <family val="2"/>
          </rPr>
          <t>elantz:</t>
        </r>
        <r>
          <rPr>
            <sz val="8"/>
            <color indexed="81"/>
            <rFont val="Tahoma"/>
            <family val="2"/>
          </rPr>
          <t xml:space="preserve">
3rd quarter 2009 estimate; annualized growth rate.</t>
        </r>
      </text>
    </comment>
    <comment ref="K8" authorId="0">
      <text>
        <r>
          <rPr>
            <b/>
            <sz val="8"/>
            <color indexed="81"/>
            <rFont val="Tahoma"/>
            <family val="2"/>
          </rPr>
          <t>elantz:</t>
        </r>
        <r>
          <rPr>
            <sz val="8"/>
            <color indexed="81"/>
            <rFont val="Tahoma"/>
            <family val="2"/>
          </rPr>
          <t xml:space="preserve">
Q3 estimate; annualized growth rate</t>
        </r>
      </text>
    </comment>
    <comment ref="D11" authorId="0">
      <text>
        <r>
          <rPr>
            <b/>
            <sz val="8"/>
            <color indexed="81"/>
            <rFont val="Tahoma"/>
            <family val="2"/>
          </rPr>
          <t>elantz:</t>
        </r>
        <r>
          <rPr>
            <sz val="8"/>
            <color indexed="81"/>
            <rFont val="Tahoma"/>
            <family val="2"/>
          </rPr>
          <t xml:space="preserve">
These values are the base year points</t>
        </r>
      </text>
    </comment>
    <comment ref="C63" authorId="0">
      <text>
        <r>
          <rPr>
            <b/>
            <sz val="8"/>
            <color indexed="81"/>
            <rFont val="Tahoma"/>
            <family val="2"/>
          </rPr>
          <t>elantz:</t>
        </r>
        <r>
          <rPr>
            <sz val="8"/>
            <color indexed="81"/>
            <rFont val="Tahoma"/>
            <family val="2"/>
          </rPr>
          <t xml:space="preserve">
This category is the primary products category for ball and roller bearings manufacturing</t>
        </r>
      </text>
    </comment>
    <comment ref="C97" authorId="0">
      <text>
        <r>
          <rPr>
            <b/>
            <sz val="8"/>
            <color indexed="81"/>
            <rFont val="Tahoma"/>
            <family val="2"/>
          </rPr>
          <t>elantz:</t>
        </r>
        <r>
          <rPr>
            <sz val="8"/>
            <color indexed="81"/>
            <rFont val="Tahoma"/>
            <family val="2"/>
          </rPr>
          <t xml:space="preserve">
Current title is: Speed changers, drive and gear manufacturing</t>
        </r>
      </text>
    </comment>
    <comment ref="C114" authorId="0">
      <text>
        <r>
          <rPr>
            <b/>
            <sz val="8"/>
            <color indexed="81"/>
            <rFont val="Tahoma"/>
            <family val="2"/>
          </rPr>
          <t>elantz:</t>
        </r>
        <r>
          <rPr>
            <sz val="8"/>
            <color indexed="81"/>
            <rFont val="Tahoma"/>
            <family val="2"/>
          </rPr>
          <t xml:space="preserve">
Current Title is: Industrial process variable instruments</t>
        </r>
      </text>
    </comment>
    <comment ref="C131" authorId="0">
      <text>
        <r>
          <rPr>
            <b/>
            <sz val="8"/>
            <color indexed="81"/>
            <rFont val="Tahoma"/>
            <family val="2"/>
          </rPr>
          <t>elantz:</t>
        </r>
        <r>
          <rPr>
            <sz val="8"/>
            <color indexed="81"/>
            <rFont val="Tahoma"/>
            <family val="2"/>
          </rPr>
          <t xml:space="preserve">
Current title reflects minor change: Carbon Steel Castings, except investment</t>
        </r>
      </text>
    </comment>
    <comment ref="C216" authorId="0">
      <text>
        <r>
          <rPr>
            <b/>
            <sz val="8"/>
            <color indexed="81"/>
            <rFont val="Tahoma"/>
            <family val="2"/>
          </rPr>
          <t>elantz:</t>
        </r>
        <r>
          <rPr>
            <sz val="8"/>
            <color indexed="81"/>
            <rFont val="Tahoma"/>
            <family val="2"/>
          </rPr>
          <t xml:space="preserve">
Current title reflects minor change:Power wire and cable, made from nonferrous metals (purchased wire) </t>
        </r>
      </text>
    </comment>
    <comment ref="N230" authorId="0">
      <text>
        <r>
          <rPr>
            <b/>
            <sz val="8"/>
            <color indexed="81"/>
            <rFont val="Tahoma"/>
            <family val="2"/>
          </rPr>
          <t>elantz:</t>
        </r>
        <r>
          <rPr>
            <sz val="8"/>
            <color indexed="81"/>
            <rFont val="Tahoma"/>
            <family val="2"/>
          </rPr>
          <t xml:space="preserve">
no preliminary value listed here so I have just taken the average of the values that are present for 2010</t>
        </r>
      </text>
    </comment>
    <comment ref="B232" authorId="0">
      <text>
        <r>
          <rPr>
            <b/>
            <sz val="8"/>
            <color indexed="81"/>
            <rFont val="Tahoma"/>
            <family val="2"/>
          </rPr>
          <t>elantz:</t>
        </r>
        <r>
          <rPr>
            <sz val="8"/>
            <color indexed="81"/>
            <rFont val="Tahoma"/>
            <family val="2"/>
          </rPr>
          <t xml:space="preserve">
It appears this number has changed but historic values match</t>
        </r>
      </text>
    </comment>
    <comment ref="C233" authorId="0">
      <text>
        <r>
          <rPr>
            <b/>
            <sz val="8"/>
            <color indexed="81"/>
            <rFont val="Tahoma"/>
            <family val="2"/>
          </rPr>
          <t>elantz:</t>
        </r>
        <r>
          <rPr>
            <sz val="8"/>
            <color indexed="81"/>
            <rFont val="Tahoma"/>
            <family val="2"/>
          </rPr>
          <t xml:space="preserve">
Current title reflects minor change: Power and distribution transformers, except parts
</t>
        </r>
      </text>
    </comment>
    <comment ref="B249" authorId="0">
      <text>
        <r>
          <rPr>
            <b/>
            <sz val="8"/>
            <color indexed="81"/>
            <rFont val="Tahoma"/>
            <family val="2"/>
          </rPr>
          <t>elantz:</t>
        </r>
        <r>
          <rPr>
            <sz val="8"/>
            <color indexed="81"/>
            <rFont val="Tahoma"/>
            <family val="2"/>
          </rPr>
          <t xml:space="preserve">
This is technically a different BLS code but it appears to match all the inflationary numbers. The name is also similar but not exact (see comment below)</t>
        </r>
      </text>
    </comment>
    <comment ref="C250" authorId="0">
      <text>
        <r>
          <rPr>
            <b/>
            <sz val="8"/>
            <color indexed="81"/>
            <rFont val="Tahoma"/>
            <family val="2"/>
          </rPr>
          <t>elantz:</t>
        </r>
        <r>
          <rPr>
            <sz val="8"/>
            <color indexed="81"/>
            <rFont val="Tahoma"/>
            <family val="2"/>
          </rPr>
          <t xml:space="preserve">
Title that matches values is: Non-aerospace hydraulic &amp; all aerospace type fluid power cylinders &amp; actuators, linear &amp; rotar</t>
        </r>
      </text>
    </comment>
    <comment ref="B336" authorId="0">
      <text>
        <r>
          <rPr>
            <b/>
            <sz val="8"/>
            <color indexed="81"/>
            <rFont val="Tahoma"/>
            <family val="2"/>
          </rPr>
          <t xml:space="preserve">elantz:
</t>
        </r>
        <r>
          <rPr>
            <sz val="8"/>
            <color indexed="81"/>
            <rFont val="Tahoma"/>
            <family val="2"/>
          </rPr>
          <t>Code has changed but values and title are the same</t>
        </r>
      </text>
    </comment>
  </commentList>
</comments>
</file>

<file path=xl/sharedStrings.xml><?xml version="1.0" encoding="utf-8"?>
<sst xmlns="http://schemas.openxmlformats.org/spreadsheetml/2006/main" count="1619" uniqueCount="794">
  <si>
    <t>Land Based or Offshore Selection</t>
  </si>
  <si>
    <t>Inputs</t>
  </si>
  <si>
    <t>Technology Type</t>
  </si>
  <si>
    <t>Financial/Cost Escalation  Assumptions</t>
  </si>
  <si>
    <t>Turbine</t>
  </si>
  <si>
    <t>Idealized Turbine power</t>
  </si>
  <si>
    <t>Ending Month</t>
  </si>
  <si>
    <t>Blade and tower drop-down box lists</t>
  </si>
  <si>
    <t>Machine Rating (kWs)</t>
  </si>
  <si>
    <t>Ending Year</t>
  </si>
  <si>
    <t>Baseline</t>
  </si>
  <si>
    <t>Rotor Diameter (meters)</t>
  </si>
  <si>
    <t>Financial Error Codes</t>
  </si>
  <si>
    <t>Advanced Design</t>
  </si>
  <si>
    <t>Hub Height (meters)</t>
  </si>
  <si>
    <t>Foundation drop-down box lists</t>
  </si>
  <si>
    <t>Machine Rating (kW)</t>
  </si>
  <si>
    <t>Monopile (Shallow)</t>
  </si>
  <si>
    <t>Wind Speed Class (50 meter)</t>
  </si>
  <si>
    <t>Weibul K Factor</t>
  </si>
  <si>
    <t>Gravity (Shallow)</t>
  </si>
  <si>
    <t>Wind Shear</t>
  </si>
  <si>
    <t>Altititude Above Mean Sea Level/meters</t>
  </si>
  <si>
    <t>Max Cp</t>
  </si>
  <si>
    <t>Max Tip Speed m/s</t>
  </si>
  <si>
    <t>Max Tip Speed Ratio</t>
  </si>
  <si>
    <t>Soiling Losses</t>
  </si>
  <si>
    <t>Tripods (Transitional)</t>
  </si>
  <si>
    <t>Array Losses</t>
  </si>
  <si>
    <t>Transitional Water Types</t>
  </si>
  <si>
    <t>Availability</t>
  </si>
  <si>
    <t>Drive train drop-down box lists</t>
  </si>
  <si>
    <t>Wind Farm Size in MWs</t>
  </si>
  <si>
    <t>Multi-Generator</t>
  </si>
  <si>
    <t>Drive Train Design</t>
  </si>
  <si>
    <t>Service Crane</t>
  </si>
  <si>
    <t>Direct Drive</t>
  </si>
  <si>
    <t>Outputs</t>
  </si>
  <si>
    <t>Turbine Capital Cost $1000s</t>
  </si>
  <si>
    <t>Balance of Station Cost $1000s</t>
  </si>
  <si>
    <t>O&amp;M Cost (Year) $1000s</t>
  </si>
  <si>
    <t>Levelized Replacement Cost (Year) $1000s</t>
  </si>
  <si>
    <t>Land or Bottom Lease Cost (Year) $1000s</t>
  </si>
  <si>
    <t>AEP MWhrs/Yr</t>
  </si>
  <si>
    <t>Capacity Factor</t>
  </si>
  <si>
    <t>Land Based COE</t>
  </si>
  <si>
    <t>%</t>
  </si>
  <si>
    <t>Foundation</t>
  </si>
  <si>
    <t>Misc BOS</t>
  </si>
  <si>
    <t>Electrical Infrastructure</t>
  </si>
  <si>
    <t>LRC &amp; Lease Cost</t>
  </si>
  <si>
    <t>O&amp;M (After Tax)</t>
  </si>
  <si>
    <t>Offshore COE</t>
  </si>
  <si>
    <t>Offshore Warranty</t>
  </si>
  <si>
    <t>Support Structure</t>
  </si>
  <si>
    <t>Eng/Permits/Surety</t>
  </si>
  <si>
    <t>From Input Page</t>
  </si>
  <si>
    <t>Land Based</t>
  </si>
  <si>
    <t>Offshore Shallow Water &lt; 30 meters</t>
  </si>
  <si>
    <t>Offshore Transitional Depth &gt;30 &lt; 60 Meters</t>
  </si>
  <si>
    <t>Offshore Deep Water &gt; 60 meters</t>
  </si>
  <si>
    <t>Cost in $</t>
  </si>
  <si>
    <t>Component</t>
  </si>
  <si>
    <t>Costs $1000</t>
  </si>
  <si>
    <t>Mass</t>
  </si>
  <si>
    <t>kgs</t>
  </si>
  <si>
    <t>Rotor</t>
  </si>
  <si>
    <t xml:space="preserve">    Blades</t>
  </si>
  <si>
    <t>*</t>
  </si>
  <si>
    <t xml:space="preserve">    Hub</t>
  </si>
  <si>
    <t xml:space="preserve">    Pitch mchnsm &amp; bearings</t>
  </si>
  <si>
    <t xml:space="preserve"> Spinner, Nose Cone</t>
  </si>
  <si>
    <t>Drive train,nacelle</t>
  </si>
  <si>
    <t xml:space="preserve"> Low speed shaft</t>
  </si>
  <si>
    <t xml:space="preserve"> Bearings</t>
  </si>
  <si>
    <t xml:space="preserve"> Gearbox</t>
  </si>
  <si>
    <t xml:space="preserve"> Mech brake, HS cpling etc</t>
  </si>
  <si>
    <t xml:space="preserve"> Generator</t>
  </si>
  <si>
    <t xml:space="preserve"> Variable spd electronics</t>
  </si>
  <si>
    <t xml:space="preserve"> Yaw drive &amp; bearing</t>
  </si>
  <si>
    <t xml:space="preserve"> Main frame</t>
  </si>
  <si>
    <t xml:space="preserve"> Electrical connections</t>
  </si>
  <si>
    <t xml:space="preserve"> Hydraulic, Cooling system</t>
  </si>
  <si>
    <t xml:space="preserve"> Nacelle cover</t>
  </si>
  <si>
    <t>Control, Safety System, and Condition Monitoring</t>
  </si>
  <si>
    <t>Tower</t>
  </si>
  <si>
    <t>TURBINE CAPITAL COST (TCC)</t>
  </si>
  <si>
    <t>Technology Category Look Up Tables</t>
  </si>
  <si>
    <t>Cost Category Values</t>
  </si>
  <si>
    <t>Foundations</t>
  </si>
  <si>
    <t>Monopile Foundation/Support Structure</t>
  </si>
  <si>
    <t>Transitional Support Structure</t>
  </si>
  <si>
    <t>Floating Platform Fabrication</t>
  </si>
  <si>
    <t>Turbine Transportation</t>
  </si>
  <si>
    <t>Support Structure Installation Cost</t>
  </si>
  <si>
    <t>Platform &amp; Anchor Installation</t>
  </si>
  <si>
    <t>Roads &amp; Civil Work</t>
  </si>
  <si>
    <t>Port and Staging Equipment</t>
  </si>
  <si>
    <t>Support Structure Transportation</t>
  </si>
  <si>
    <t>Platform Transportation</t>
  </si>
  <si>
    <t>Turbine Assembly &amp; Installation</t>
  </si>
  <si>
    <t>Turbine Installation</t>
  </si>
  <si>
    <t>Electrical Interface and Connections</t>
  </si>
  <si>
    <t>Electrical Interface/Connect</t>
  </si>
  <si>
    <t>Engineering &amp; Permits</t>
  </si>
  <si>
    <t>Permits, Engineering, Site Assessment</t>
  </si>
  <si>
    <t>Port and staging equipment</t>
  </si>
  <si>
    <t/>
  </si>
  <si>
    <t>Personal Access Equipment</t>
  </si>
  <si>
    <t>Scour Protection</t>
  </si>
  <si>
    <t>BALANCE OF STATION COST (BOS)</t>
  </si>
  <si>
    <t>Initial capital cost (ICC)</t>
  </si>
  <si>
    <t xml:space="preserve">Installed Cost per kW </t>
  </si>
  <si>
    <t xml:space="preserve"> (cost in $)</t>
  </si>
  <si>
    <t>Turbine Capital per kW sans BOS &amp; Warranty</t>
  </si>
  <si>
    <t>(cost in $)</t>
  </si>
  <si>
    <t>CAPACITY FACTOR</t>
  </si>
  <si>
    <t>Net ANNUAL ENERGY PRODUCTION Energy MWh (AEP)</t>
  </si>
  <si>
    <t>Fixed Charge Rate</t>
  </si>
  <si>
    <t>COE $/kWh</t>
  </si>
  <si>
    <t>COE of Turbine</t>
  </si>
  <si>
    <t>COE Offshore Warranty</t>
  </si>
  <si>
    <t>COE of Foundation/Support Structure</t>
  </si>
  <si>
    <t>COE of Electrical Infrastructure</t>
  </si>
  <si>
    <t>COE Misc BOS</t>
  </si>
  <si>
    <t>COE Eng/Permits/Bonds</t>
  </si>
  <si>
    <t>COE of LRC &amp; Lease Cost</t>
  </si>
  <si>
    <t>COE of O&amp;M</t>
  </si>
  <si>
    <t>Total COE</t>
  </si>
  <si>
    <t xml:space="preserve">Primary Inputs from Input &amp; Summary </t>
  </si>
  <si>
    <t>Machine Rating</t>
  </si>
  <si>
    <t>Rotor Diameter</t>
  </si>
  <si>
    <t>Hub Height</t>
  </si>
  <si>
    <t>Blade Design</t>
  </si>
  <si>
    <t>Tower Design</t>
  </si>
  <si>
    <t>Drivetrain Design</t>
  </si>
  <si>
    <t>Max Tip Speed</t>
  </si>
  <si>
    <t>Note:  All Mass is in Kilograms</t>
  </si>
  <si>
    <t>PRINCIPLE TURBINE COMPONENTS AND SUBSYSTEMS</t>
  </si>
  <si>
    <t>BLADE MASS &amp; COST</t>
  </si>
  <si>
    <t>Baseline Blade Design</t>
  </si>
  <si>
    <t>Advanced Blade Design</t>
  </si>
  <si>
    <t>Mass Coefficient</t>
  </si>
  <si>
    <t>Mass Exponent</t>
  </si>
  <si>
    <t>Baseline material cost as function of R^3</t>
  </si>
  <si>
    <t>Advanced material cost as function of R^3</t>
  </si>
  <si>
    <t>Labor Cost as function of R</t>
  </si>
  <si>
    <t>slope</t>
  </si>
  <si>
    <t>Coefficient</t>
  </si>
  <si>
    <t>intercept</t>
  </si>
  <si>
    <t>Exponent</t>
  </si>
  <si>
    <t>Blade Mass = Mass Coefficient * Rotor Radius ^Mass Exponent</t>
  </si>
  <si>
    <t>Baseline Blade Cost = ((Baseline Material Slope*Radius^3 + Baseline Material Intercept)*Baseline Material Escalator + Labor Coefficient*(Radius^Labor Exponent)*Labor Escalator)/(1-0.28) (Per Blade)</t>
  </si>
  <si>
    <t>Advanced Blade Cost = ((Advanced Material Slope*Radius^3 + Advanced Material Intercept)*Advanced Material Escalator + Labor Coefficient*(Radius^Labor Exponent)*Labor Escalator)/(1-0.28) (Per Blade)</t>
  </si>
  <si>
    <t xml:space="preserve">Single Blade Mass = </t>
  </si>
  <si>
    <t>PPI Labor Escalator</t>
  </si>
  <si>
    <t>Blade Cost Current $ =</t>
  </si>
  <si>
    <t>PPI Baseline Material Escalator</t>
  </si>
  <si>
    <t>Rotor Current Year Cost =</t>
  </si>
  <si>
    <t>PPI Advanced Material Escalator</t>
  </si>
  <si>
    <t>HUB MASS AND COST</t>
  </si>
  <si>
    <t>Hub Mass Slope</t>
  </si>
  <si>
    <t>Hub Mass Intercept</t>
  </si>
  <si>
    <t xml:space="preserve">Hub Cost Factor = </t>
  </si>
  <si>
    <t>$/kg</t>
  </si>
  <si>
    <t xml:space="preserve">Hub Mass = Slope * (blade mass/single blade) + Intercept </t>
  </si>
  <si>
    <t>Hub Cost = Hub Cost Factor * Hub Mass</t>
  </si>
  <si>
    <t xml:space="preserve">Hub Mass = </t>
  </si>
  <si>
    <t>kg</t>
  </si>
  <si>
    <t>Cost 2002 $ =</t>
  </si>
  <si>
    <t xml:space="preserve">Cost Escalator = </t>
  </si>
  <si>
    <t>Current Year Cost =</t>
  </si>
  <si>
    <t>PITCH MECHANISM &amp; BEARING</t>
  </si>
  <si>
    <t>Bearing Mass Slope</t>
  </si>
  <si>
    <t>Bearing Mass Intercept</t>
  </si>
  <si>
    <t>Bearing Housing Percentage</t>
  </si>
  <si>
    <t>Total Mass System Offset</t>
  </si>
  <si>
    <t>Bearing Mass = Mass Slope * Total Blade Mass (3 blades) + Intercept</t>
  </si>
  <si>
    <t>Total Pitch System Mass = Bearing Mass + Bearing Mass *Housing % + Total Mass Offset</t>
  </si>
  <si>
    <t xml:space="preserve">Three blade mass = </t>
  </si>
  <si>
    <t>Pitch Bearing Mass</t>
  </si>
  <si>
    <t xml:space="preserve">Total Pitch Sys Mass = </t>
  </si>
  <si>
    <t>Bearing Cost Coefficient</t>
  </si>
  <si>
    <t>Bearing Cost Exponent</t>
  </si>
  <si>
    <t>Bearing Housing %</t>
  </si>
  <si>
    <t>Bearing Cost = Bearing Cost Coefficient * Rotor Diameter^Bearing Cost Exponent</t>
  </si>
  <si>
    <t>Total Pitch System Cost = Bearing Cost + Bearing Cost * Bearing Housing %</t>
  </si>
  <si>
    <t xml:space="preserve">Bearing Cost 2002 $ = </t>
  </si>
  <si>
    <t xml:space="preserve">Bearing System Cost 2002 $ = </t>
  </si>
  <si>
    <t>SPINNER, NOSE CONE</t>
  </si>
  <si>
    <t>Nose Cone Mass Slope</t>
  </si>
  <si>
    <t>Nose Cone Mass Intercept</t>
  </si>
  <si>
    <t>Nose Cone Cost Factor</t>
  </si>
  <si>
    <t>Nose Cone Mass = Mass Slope * Rotor Diameter + Mass Intercept</t>
  </si>
  <si>
    <t>Nose Cone Cost = Nose Cone Mass * Nose Cone Cost Factor</t>
  </si>
  <si>
    <t xml:space="preserve">Nose Cone Mass = </t>
  </si>
  <si>
    <t>Nose Cone Cost 2002 $ =</t>
  </si>
  <si>
    <t xml:space="preserve"> </t>
  </si>
  <si>
    <t>Cost Escalator =</t>
  </si>
  <si>
    <t>LOW SPEED SHAFT</t>
  </si>
  <si>
    <t xml:space="preserve"> = Outer Shaft Diameter * 0.1</t>
  </si>
  <si>
    <t xml:space="preserve"> = Rotor Diameter * 0.03</t>
  </si>
  <si>
    <t xml:space="preserve"> = Volume of Low Speed Shaft * Steel Density * 1.25 (for flange mass)</t>
  </si>
  <si>
    <t>Hollowness (H)</t>
  </si>
  <si>
    <t xml:space="preserve"> = 1 / ( 1 - (Inner Diameter / Outer Diameter) ^ 4 )</t>
  </si>
  <si>
    <t xml:space="preserve"> = Bending Load * Moment arm</t>
  </si>
  <si>
    <t xml:space="preserve"> = Mass of Rotor * Saftey factor of 1.25 * Gravitational Acceleration</t>
  </si>
  <si>
    <t xml:space="preserve"> = Length of Low Speed Shaft / 5</t>
  </si>
  <si>
    <t xml:space="preserve">Low Speed Shaft Outside Diamter = </t>
  </si>
  <si>
    <t>Cost Coefficient</t>
  </si>
  <si>
    <t>Cost Exponent</t>
  </si>
  <si>
    <t>Low Speed Shaft Cost = Cost Coefficient * Rotor Diameter ^ Cost Exponent</t>
  </si>
  <si>
    <t>LS Shaft Mass =</t>
  </si>
  <si>
    <t xml:space="preserve">Current Year Cost = </t>
  </si>
  <si>
    <t>BEARINGS</t>
  </si>
  <si>
    <t>Bearing 1st Coefficient</t>
  </si>
  <si>
    <t>Bearing 2nd Coefficient</t>
  </si>
  <si>
    <t>Bearing System Cost Factor</t>
  </si>
  <si>
    <t>$/kg Covers Bearings and Housing</t>
  </si>
  <si>
    <t>WindPACT Formula for Bearing Mass (Revised WindPACT Rotor Study)</t>
  </si>
  <si>
    <t>Bearing Mass(kg) = 1st Coefficient*Rotor Diameter^3.5 + 2nd Coefficient * Rotor Diameter ^ 2.5</t>
  </si>
  <si>
    <t>Bearing Housing Cost = Bearing Cost</t>
  </si>
  <si>
    <t>Bearing System Cost = Total Bearing System Cost * Cost Factor</t>
  </si>
  <si>
    <t>Bearing Mass =</t>
  </si>
  <si>
    <t>Housing Mass =</t>
  </si>
  <si>
    <t>kg - Housing Mass is equal to Bearing mass</t>
  </si>
  <si>
    <t>Combined Mass =</t>
  </si>
  <si>
    <t>Bearing Cost $2002 =</t>
  </si>
  <si>
    <t>Housing Cost $2002 =</t>
  </si>
  <si>
    <t>Combined Cost $2002 =</t>
  </si>
  <si>
    <t>Cost in Current $ =</t>
  </si>
  <si>
    <t>GEARBOX</t>
  </si>
  <si>
    <t>DRIVE TRAIN EFFICIENCIES</t>
  </si>
  <si>
    <t>Gearbox Mass Multiplier Look Up Table (Scaled Based on Torque)</t>
  </si>
  <si>
    <t>Design Option</t>
  </si>
  <si>
    <t>Constant</t>
  </si>
  <si>
    <t>Linear</t>
  </si>
  <si>
    <t>Quadratic</t>
  </si>
  <si>
    <t>Gearbox Cost Multiplier Look Up Table</t>
  </si>
  <si>
    <t>Gearbox Mass = Mass Coefficient * Calculated Torque ^ Mass Exponent</t>
  </si>
  <si>
    <t>Gearbox Cost = Cost Coefficient * Machine Rating ^ Cost Exponent</t>
  </si>
  <si>
    <t>Calculated RPM =</t>
  </si>
  <si>
    <t>Calculated Torque kNm =</t>
  </si>
  <si>
    <t>Gearbox Mass kgs =</t>
  </si>
  <si>
    <t>Gearbox Cost $2002 =</t>
  </si>
  <si>
    <t>Gearbox Current Year $ =</t>
  </si>
  <si>
    <t>MECHANICAL BRAKE, HIGH SPEED COUPLING AND ASSOCIATED COMPONENTS</t>
  </si>
  <si>
    <t>Cost Slope</t>
  </si>
  <si>
    <t>Cost Intercept</t>
  </si>
  <si>
    <t xml:space="preserve">Brake, Coupling Cost = Cost Slope * Machine Rating + Cost Intercept </t>
  </si>
  <si>
    <t xml:space="preserve">Brake, Coupling Mass = Cost/10 $/kg </t>
  </si>
  <si>
    <t>Brake Cost $2002 =</t>
  </si>
  <si>
    <t>Brake Current Year $ =</t>
  </si>
  <si>
    <t>Brake Mass =</t>
  </si>
  <si>
    <t>GENERATOR</t>
  </si>
  <si>
    <t>Generator Mass Look Up Table (1-3 Based on Rating - 4 Based on Torque)</t>
  </si>
  <si>
    <t>Generator Cost Coefficient Look Up Table</t>
  </si>
  <si>
    <t>Coefficient ($/kW)</t>
  </si>
  <si>
    <t>Generator Mass = Mass Coefficient * Machine Rating ^ Mass Exponent (All but Direct Drive)</t>
  </si>
  <si>
    <t>Generator Mass = Mass Coefficient * Torque ^ Mass Exponent (Only Direct Drive)</t>
  </si>
  <si>
    <t xml:space="preserve">Generator Cost = Machine Rating * Cost Coefficient </t>
  </si>
  <si>
    <t>Generator Mass =</t>
  </si>
  <si>
    <t>Generator Cost $2002 =</t>
  </si>
  <si>
    <t>Generator Current Year $ =</t>
  </si>
  <si>
    <t>VARIABLE SPEED ELECTRONICS</t>
  </si>
  <si>
    <t>PE cost per kW</t>
  </si>
  <si>
    <t>Power Electronics Cost = Machine Rating * Cost Coefficient</t>
  </si>
  <si>
    <t>PE Cost $ 2002 =</t>
  </si>
  <si>
    <t>PE Cost Current Year $ =</t>
  </si>
  <si>
    <t>YAW DRIVE &amp; BEARING</t>
  </si>
  <si>
    <t xml:space="preserve">Yaw Drive Mass Coefficient </t>
  </si>
  <si>
    <t xml:space="preserve">Yaw Drive Mass Exponent </t>
  </si>
  <si>
    <t>Yaw Drive Cost Coefficient</t>
  </si>
  <si>
    <t>Yaw Drive Cost Exponent</t>
  </si>
  <si>
    <t>Total Yaw Drive Mass = 1.6 * (Mass Coefficient * Rotor Diameter ^ Mass Exponent)</t>
  </si>
  <si>
    <t>Total Yaw System Cost = 2 * (Cost Coefficient * Rotor Diameter ^ Cost Exponent)</t>
  </si>
  <si>
    <t>Yaw System Mass =</t>
  </si>
  <si>
    <t>Yaw System Cost $2002 =</t>
  </si>
  <si>
    <t>Yaw Cost Current Year $ =</t>
  </si>
  <si>
    <t>MAINFRAME</t>
  </si>
  <si>
    <t>Main Frame Mass</t>
  </si>
  <si>
    <t>Rated Wind Speed (m/s)</t>
  </si>
  <si>
    <t>Mass From Torque (kg)</t>
  </si>
  <si>
    <t xml:space="preserve"> = Bedplate Weight Factor * 0.00368 * Rotor Torque</t>
  </si>
  <si>
    <t>Mass From Thrust (kg)</t>
  </si>
  <si>
    <t xml:space="preserve"> = 0.00158 * Bedplate Weight Factor * Max Thrust * Tower Top Diam</t>
  </si>
  <si>
    <t>Mass From Rotor Weight (kg)</t>
  </si>
  <si>
    <t xml:space="preserve"> = 0.015 * Bedplate Weight Factor * Rotor Mass * Tower Top Diam</t>
  </si>
  <si>
    <t>Mass From Area (kg)</t>
  </si>
  <si>
    <t xml:space="preserve"> = 100 * Bedplate Weight Factor * Bedplate Area</t>
  </si>
  <si>
    <t>Total Mass (kg)</t>
  </si>
  <si>
    <t xml:space="preserve"> = Sum of Mass from: Torque, Thrust, Rotor Weight, and Area</t>
  </si>
  <si>
    <t>Bedplate Weight Factor</t>
  </si>
  <si>
    <t>Tower Top Diameter (m)</t>
  </si>
  <si>
    <r>
      <t>Bedplate Area (m</t>
    </r>
    <r>
      <rPr>
        <b/>
        <vertAlign val="superscript"/>
        <sz val="11"/>
        <color indexed="8"/>
        <rFont val="Calibri"/>
        <family val="2"/>
      </rPr>
      <t>2</t>
    </r>
    <r>
      <rPr>
        <b/>
        <sz val="10"/>
        <rFont val="Arial"/>
        <family val="2"/>
      </rPr>
      <t>)</t>
    </r>
  </si>
  <si>
    <r>
      <t xml:space="preserve"> = (Bedplate Length)</t>
    </r>
    <r>
      <rPr>
        <vertAlign val="superscript"/>
        <sz val="10"/>
        <rFont val="Arial"/>
        <family val="2"/>
      </rPr>
      <t>2</t>
    </r>
    <r>
      <rPr>
        <sz val="10"/>
        <rFont val="Arial"/>
        <family val="2"/>
      </rPr>
      <t xml:space="preserve">  /  2</t>
    </r>
  </si>
  <si>
    <t>Bedplate Length (m)</t>
  </si>
  <si>
    <t xml:space="preserve"> = 1.5874 * 0.052 * Rotor Diameter</t>
  </si>
  <si>
    <t>Maximum Thrust (N)</t>
  </si>
  <si>
    <r>
      <t>Axial Thrust Coefficient (C</t>
    </r>
    <r>
      <rPr>
        <b/>
        <vertAlign val="subscript"/>
        <sz val="10"/>
        <rFont val="Arial"/>
        <family val="2"/>
      </rPr>
      <t>t</t>
    </r>
    <r>
      <rPr>
        <b/>
        <sz val="10"/>
        <rFont val="Arial"/>
        <family val="2"/>
      </rPr>
      <t>)</t>
    </r>
  </si>
  <si>
    <t xml:space="preserve">Maximum Thrust (N) = </t>
  </si>
  <si>
    <t>Mainframe Mass Look Up Table</t>
  </si>
  <si>
    <t>Mainframe Cost Look Up Table</t>
  </si>
  <si>
    <t>Multiplier</t>
  </si>
  <si>
    <t>Power</t>
  </si>
  <si>
    <t>Mainframe Mass = Mass Coefficient * Rotor Diameter ^ Mass Exponent (Design Type 2 &amp; 3)</t>
  </si>
  <si>
    <t>Mainframe Cost = Cost Coefficient * Rotor Diameter ^ Cost Coefficient</t>
  </si>
  <si>
    <t>Platforms and Railings = .125 * Mainframe Mass</t>
  </si>
  <si>
    <t>Platform and Railing Cost = Mass * $8.7/kg</t>
  </si>
  <si>
    <t xml:space="preserve">Base Hardware Cost = .7 * Total Mainframe Cost </t>
  </si>
  <si>
    <t>Service Crane = $12,000 in $2002 ( Will Vary with Design)</t>
  </si>
  <si>
    <t>Rotor Speed (rpm)</t>
  </si>
  <si>
    <t>Rotor Weight (kg)</t>
  </si>
  <si>
    <t>Rotor Torque (Nm)</t>
  </si>
  <si>
    <t>Mainframe Mass =</t>
  </si>
  <si>
    <t xml:space="preserve">kg </t>
  </si>
  <si>
    <t>Nacelle Platforms =</t>
  </si>
  <si>
    <t>Service Crane =</t>
  </si>
  <si>
    <t>Total Mainframe mass =</t>
  </si>
  <si>
    <t xml:space="preserve">Mainframe Cost $2002 = </t>
  </si>
  <si>
    <t>Nacelle Platforms $2002 =</t>
  </si>
  <si>
    <t>Service Crane $2002 =</t>
  </si>
  <si>
    <t>Base Hardware $2002 =</t>
  </si>
  <si>
    <t>All Mainframe Comp $2002 =</t>
  </si>
  <si>
    <t>Total Cost Current Year $ =</t>
  </si>
  <si>
    <t>ELECTRICAL CONNECTIONS</t>
  </si>
  <si>
    <t>Elec Connection Coefficient</t>
  </si>
  <si>
    <t>$/kW</t>
  </si>
  <si>
    <t>Electrical Connection Cost = Machine Rating * Electrical Connection Coefficient</t>
  </si>
  <si>
    <t>Electrical Cost in $ 2002 =</t>
  </si>
  <si>
    <t>HYDRAULIC, COOLING SYSTEM COST</t>
  </si>
  <si>
    <t>Hydraulic Mass Coefficient</t>
  </si>
  <si>
    <t>kg/kW</t>
  </si>
  <si>
    <t>Hydraulic Cost Coefficient</t>
  </si>
  <si>
    <t>Hydraulic System Mass = Mass Coefficient * Machine Rating</t>
  </si>
  <si>
    <t>Hydraulic Cost = Cost Coefficient * Machine Rating</t>
  </si>
  <si>
    <t>Hydraulic Mass =</t>
  </si>
  <si>
    <t>Hydraulic Cost in $ 2002 =</t>
  </si>
  <si>
    <t>NACELLE COVER</t>
  </si>
  <si>
    <t>Nacelle Cost Slope</t>
  </si>
  <si>
    <t>Nacelle Cost Intercept</t>
  </si>
  <si>
    <t>Nacelle Mass Coefficient</t>
  </si>
  <si>
    <t>kg/$ of Cost</t>
  </si>
  <si>
    <t>Nacellec System Mass = Mass Coefficient * Nacelle Cost</t>
  </si>
  <si>
    <t>Nacelle Cost = Cost Slope * Machine Rating + Cost Intercept</t>
  </si>
  <si>
    <t>Nacelle Mass =</t>
  </si>
  <si>
    <t>Nacelle Cost in $ 2002 =</t>
  </si>
  <si>
    <t>LAND BASED CONTROL, SAFETY SYSTEM &amp; CONDITION MONITORING</t>
  </si>
  <si>
    <t>Land Based Control, Safety System Cost per turbine</t>
  </si>
  <si>
    <t>Control Sys Cost in $ 2002 =</t>
  </si>
  <si>
    <t>OFFSHORE BASED CONTROL, SAFETY SYSTEM &amp; CONDITION MONITORING</t>
  </si>
  <si>
    <t>Offshore Control, Safety System Cost per turbine</t>
  </si>
  <si>
    <t>TOWER</t>
  </si>
  <si>
    <t>WindPACT baseline linear fit for 2002 technology; no mass reduction due to controls or twist-flap coupling.</t>
  </si>
  <si>
    <t>Slope:</t>
  </si>
  <si>
    <t xml:space="preserve">Intercept: </t>
  </si>
  <si>
    <t>WindPACT final design linear fit for advanced technology including twist-flap coupling and feedback control</t>
  </si>
  <si>
    <t>Tower Cost Coefficient</t>
  </si>
  <si>
    <t>Mass = Slope * Swept Area * Hub Height + Intercept</t>
  </si>
  <si>
    <t>Cost = Mass * Cost Coefficient</t>
  </si>
  <si>
    <t>Tower Mass =</t>
  </si>
  <si>
    <t>Tower Cost in $ 2002 =</t>
  </si>
  <si>
    <t>LAND BASED BALANCE OF STATION AND OPERATING COSTS</t>
  </si>
  <si>
    <t>LAND BASED FOUNDATIONS</t>
  </si>
  <si>
    <t>Foundation Cost Coefficient</t>
  </si>
  <si>
    <t>Foundation Cost Exponent</t>
  </si>
  <si>
    <t>Foundation Cost = Cost Coefficient* (Hub Height*Swept Area)^Cost Exponent</t>
  </si>
  <si>
    <t>Transportation Cost in $ 2002 =</t>
  </si>
  <si>
    <t>LAND BASED TRANSPORTATION</t>
  </si>
  <si>
    <t>Transportation 1st Coefficient</t>
  </si>
  <si>
    <t>Transportation 2nd Coefficient</t>
  </si>
  <si>
    <t>Transportation Intercept</t>
  </si>
  <si>
    <t>Transportation Cost Factor $/kW = 1st Coefficient * Rating^2 + 2nd Coefficient * Rating + Intercept</t>
  </si>
  <si>
    <t>Trasnportation Cost = Cost Factor * Rating</t>
  </si>
  <si>
    <t>LAND BASED ROADS &amp; CIVIL</t>
  </si>
  <si>
    <t>Roads &amp; Civil 1st Coefficient</t>
  </si>
  <si>
    <t>Roads &amp; Civil 2nd Coefficient</t>
  </si>
  <si>
    <t>Roads &amp; Civil Intercept</t>
  </si>
  <si>
    <t>Roads, Civil works Cost Factor $/kW = 1st Coefficient * Rating ^2 + 2nd Coefficient * Rating + 69.54</t>
  </si>
  <si>
    <t>Roads &amp; Civil Cost = Cost Factor * Machine Rating</t>
  </si>
  <si>
    <t>Roads &amp; Civil Cost in $ 2002 =</t>
  </si>
  <si>
    <t>LAND BASED ASSEMBLY &amp; INSTALLATION</t>
  </si>
  <si>
    <t>Assembly, Install Coefficient</t>
  </si>
  <si>
    <t>Assembly, Install Exponent</t>
  </si>
  <si>
    <t>Assembly and Installation Cost = Assembly Coefficient* (Hub Height* Rotor Diameter)^Assembly Exponent</t>
  </si>
  <si>
    <t>Assem &amp; Install Cost in $ 2002 =</t>
  </si>
  <si>
    <t>LAND BASED ELECTRICAL INTERCONNECTION</t>
  </si>
  <si>
    <t>Elect Interface 1st Coefficient</t>
  </si>
  <si>
    <t>Elect Interface 2nd Coefficient</t>
  </si>
  <si>
    <t>Elect Interface Intercept</t>
  </si>
  <si>
    <t>Electrical Interface, Cost Factor $/kW = 1st Coefficient* Machine Rating^2 +2nd Coefficient * Rating + Intercept</t>
  </si>
  <si>
    <t>Electrical Interface Cost = Cost Factor * Machine Rating</t>
  </si>
  <si>
    <t>Elec Interface Cost in $ 2002 =</t>
  </si>
  <si>
    <t>LAND BASED PERMITS &amp; ENGINEERING</t>
  </si>
  <si>
    <t>Permits &amp; Eng 1st Coefficient</t>
  </si>
  <si>
    <t>Permits &amp; Eng 2nd Coefficient</t>
  </si>
  <si>
    <t>Permits and Engineering Cost =1st Coefficient* Machine Rating^2+2nd Coefficient*Machine Rating</t>
  </si>
  <si>
    <t>Permits &amp; Eng Cost in $ 2002 =</t>
  </si>
  <si>
    <t>LAND BASED LEVELIZED REPLACEMENT (LRC) COST</t>
  </si>
  <si>
    <t xml:space="preserve">LRC Cost Factor </t>
  </si>
  <si>
    <t>$kW</t>
  </si>
  <si>
    <t>LRC = LRC Cost Factor * Machine Rating</t>
  </si>
  <si>
    <t>LRC Cost in $ 2002 =</t>
  </si>
  <si>
    <t>LAND BASED OPERATIONS AND MAINTENANCE</t>
  </si>
  <si>
    <t xml:space="preserve">O&amp;M Cost Factor </t>
  </si>
  <si>
    <t>$kWh</t>
  </si>
  <si>
    <t>Land Based O&amp;M Cost = O&amp;M Factor * Annual Energy Production</t>
  </si>
  <si>
    <t>O&amp;M Cost in $ 2002 =</t>
  </si>
  <si>
    <t>LAND BASED LEASE COST</t>
  </si>
  <si>
    <t xml:space="preserve">Land Based Lease Cost Factor </t>
  </si>
  <si>
    <t>Land Based Lease Cost = Cost Factor * Annual Energy Production</t>
  </si>
  <si>
    <t>Lease Cost in $ 2002 =</t>
  </si>
  <si>
    <t>OFFSHORE BALANCE OF STATION AND OPERATING COSTS - ALL DEPTHS</t>
  </si>
  <si>
    <t>OS MARINIZATION</t>
  </si>
  <si>
    <t>% of Turbine &amp; Tower Cost</t>
  </si>
  <si>
    <t>OS Marinization = Cost Factor * Turbine and Tower Cost (Not Including BOS)</t>
  </si>
  <si>
    <t>OS PORT &amp; STAGING EQUIPMENT</t>
  </si>
  <si>
    <t>Port &amp; Staging Cost Factor</t>
  </si>
  <si>
    <t>Port &amp; Staging Equipment Cost = Cost Factor * Machine Rating</t>
  </si>
  <si>
    <t>Port &amp; Staging Cost in $ 2002 =</t>
  </si>
  <si>
    <t>From 2003</t>
  </si>
  <si>
    <t>OS PERMITS, ENG, SITE ASSESS</t>
  </si>
  <si>
    <t>OS Permits, Eng, Cost Factor</t>
  </si>
  <si>
    <t>OS Permits, Engineering, and Site Assessment = Cost Factor * Machine Rating</t>
  </si>
  <si>
    <t>Permits, Eng Cost in $ 2002 =</t>
  </si>
  <si>
    <t>OS PERSONNEL ACCESS EQUIPMENT</t>
  </si>
  <si>
    <t>Personnel Access Equipment</t>
  </si>
  <si>
    <t>per turbine</t>
  </si>
  <si>
    <t>Access Eq Cost in $ 2002 =</t>
  </si>
  <si>
    <t>OS SCOUR PROTECTION</t>
  </si>
  <si>
    <t>Scour Protection Cost Factor</t>
  </si>
  <si>
    <t>$kW 2003</t>
  </si>
  <si>
    <t>Scour Protection = Cost Factor * Machine Rating</t>
  </si>
  <si>
    <t>Scour Protect Cost in $ 2003 =</t>
  </si>
  <si>
    <t>OS SURETY BOND</t>
  </si>
  <si>
    <t>Surrety Bond % of ICC</t>
  </si>
  <si>
    <t>Surrety Bond = Surrety % * ICC (Not including Surrety and Warranty)</t>
  </si>
  <si>
    <t>Surrety Cost Current Year $ =</t>
  </si>
  <si>
    <t>OS WARRANTY PREMIUM</t>
  </si>
  <si>
    <t>Warranty Premium % of Turbine &amp; Tower</t>
  </si>
  <si>
    <t>Warranty Premium = Warranty % * Turbine and Tower Cost</t>
  </si>
  <si>
    <t>Warranty Cost Current Year $ =</t>
  </si>
  <si>
    <t>OS LRC</t>
  </si>
  <si>
    <t>$kW  in 2003</t>
  </si>
  <si>
    <t>LRC Cost in $ 2003 =</t>
  </si>
  <si>
    <t>OS O&amp;M</t>
  </si>
  <si>
    <t>Offshore O&amp;M Cost = O&amp;M Factor * Annual Energy Production</t>
  </si>
  <si>
    <t>O&amp;M Cost in $ 2003 =</t>
  </si>
  <si>
    <t>OS LEASE COST</t>
  </si>
  <si>
    <t xml:space="preserve">Offshore Lease Cost Factor </t>
  </si>
  <si>
    <t>Offshore Lease Cost = Cost Factor * Annual Energy Production</t>
  </si>
  <si>
    <t>OFFSHORE BALANCE OF STATION - SHALLOW WATER</t>
  </si>
  <si>
    <t>OS SUPPORT STRUCTURE - SHALLOW</t>
  </si>
  <si>
    <t xml:space="preserve">Support Structure Cost Factor </t>
  </si>
  <si>
    <t>$kW in 2003</t>
  </si>
  <si>
    <t>Support Structure Cost =</t>
  </si>
  <si>
    <t>in $ 2003</t>
  </si>
  <si>
    <t>OS TURBINE INSTALLATION - SHALLOW</t>
  </si>
  <si>
    <t xml:space="preserve">Turbine Install Cost Factor </t>
  </si>
  <si>
    <t>Turbine Installation Cost =</t>
  </si>
  <si>
    <t>OS TRANSPORTATION - SHALLOW- LAND BASED TRANSPORTATION OF EQUIPMENT TO ASSEMBLY SITE</t>
  </si>
  <si>
    <t>OVER WATER TRANSPORTATION OF TURBINE IN INSTALLATION ABOVE</t>
  </si>
  <si>
    <t>Transportation Cost = Cost Factor * Rating</t>
  </si>
  <si>
    <t>OS ELECTRICAL INTERFACE - SHALLOW</t>
  </si>
  <si>
    <t>OS Electrical Cost Factor</t>
  </si>
  <si>
    <t>Electrical Interface Cost =</t>
  </si>
  <si>
    <t>OFFSHORE BOS TRANSITIONAL DEPTH</t>
  </si>
  <si>
    <t>OS SUPPORT STRUCTURE - TRANSITIONAL</t>
  </si>
  <si>
    <t>OS SUPPORT STRUCTURE INSTALLATION - TRANSITIONAL</t>
  </si>
  <si>
    <t xml:space="preserve">Suppt Struc Install Cost Factor </t>
  </si>
  <si>
    <t>Installation Cost =</t>
  </si>
  <si>
    <t>OS SUPPORT STRUCTURE TRANSPORTATION - TRANSITIONAL</t>
  </si>
  <si>
    <t>Marine Transport of Support Structure to Point of Installation</t>
  </si>
  <si>
    <t xml:space="preserve">Struc Transport Cost Factor </t>
  </si>
  <si>
    <t>Transport Cost =</t>
  </si>
  <si>
    <t>OS TURBINE TRANSPORT - TRANSITIONAL</t>
  </si>
  <si>
    <t>Transport of Turbine To Load Out Site</t>
  </si>
  <si>
    <t xml:space="preserve">Turbine Transport Cost Factor </t>
  </si>
  <si>
    <t>$kW in 2002</t>
  </si>
  <si>
    <t>in $ 2002</t>
  </si>
  <si>
    <t>OS TURBINE INSTALL - TRANSITIONAL</t>
  </si>
  <si>
    <t>OS ELECTRICAL-INTERFACE-CONNECT -TRANSITIONAL</t>
  </si>
  <si>
    <t>OST Electrical Cost Factor</t>
  </si>
  <si>
    <t>50 m windspeed</t>
  </si>
  <si>
    <t>m/s</t>
  </si>
  <si>
    <t>P/Prated</t>
  </si>
  <si>
    <t>Efficiency</t>
  </si>
  <si>
    <t>Weibull K parameter</t>
  </si>
  <si>
    <t>Rated power</t>
  </si>
  <si>
    <t>kW</t>
  </si>
  <si>
    <t>Rotor Dia.</t>
  </si>
  <si>
    <t>meters</t>
  </si>
  <si>
    <t>Hub height</t>
  </si>
  <si>
    <t>Altitude</t>
  </si>
  <si>
    <t>Rotor Cp</t>
  </si>
  <si>
    <t>Tip speed ratio for max Cp</t>
  </si>
  <si>
    <t>Maximum tip speed</t>
  </si>
  <si>
    <t>Region 2 1/2 slope</t>
  </si>
  <si>
    <t>Cut-in windspeed</t>
  </si>
  <si>
    <t>Cut-out windspeed</t>
  </si>
  <si>
    <t>Power law shear exponent</t>
  </si>
  <si>
    <t>Rated RPM</t>
  </si>
  <si>
    <t>Air Density</t>
  </si>
  <si>
    <t>kg/m^3</t>
  </si>
  <si>
    <t>Hub height windspeed</t>
  </si>
  <si>
    <t>Rated hub power</t>
  </si>
  <si>
    <t>Rated windspeed</t>
  </si>
  <si>
    <t>Conversion Efficiency</t>
  </si>
  <si>
    <t>Region 2 1/2 calculations</t>
  </si>
  <si>
    <t>At Omega T</t>
  </si>
  <si>
    <t>Weibull Cp</t>
  </si>
  <si>
    <t>Weibull betz</t>
  </si>
  <si>
    <t>Omega M</t>
  </si>
  <si>
    <t>a</t>
  </si>
  <si>
    <t>Wind</t>
  </si>
  <si>
    <t>Energy capture (MWh/year)</t>
  </si>
  <si>
    <t>Omega 0</t>
  </si>
  <si>
    <t>b</t>
  </si>
  <si>
    <t>Tm</t>
  </si>
  <si>
    <t>c</t>
  </si>
  <si>
    <t>Energy capture ratio</t>
  </si>
  <si>
    <t>k</t>
  </si>
  <si>
    <t>Omega T</t>
  </si>
  <si>
    <t>Rayleigh Probability</t>
  </si>
  <si>
    <t>Weibull Probability</t>
  </si>
  <si>
    <t>Weibull Betz</t>
  </si>
  <si>
    <t>Turbine Energy</t>
  </si>
  <si>
    <t>Hub power</t>
  </si>
  <si>
    <t>Region 2 hub Power</t>
  </si>
  <si>
    <t>Region 2 1/2 hub power</t>
  </si>
  <si>
    <t>Region 3 hub power</t>
  </si>
  <si>
    <t>AAER A-1500_70</t>
  </si>
  <si>
    <t>AAER A-1500_77</t>
  </si>
  <si>
    <t>AWE 52-900</t>
  </si>
  <si>
    <t>AWE 54-900</t>
  </si>
  <si>
    <t>BARD 5.0</t>
  </si>
  <si>
    <t>Bonus 1300</t>
  </si>
  <si>
    <t>Liberty C99</t>
  </si>
  <si>
    <t>Liberty C96</t>
  </si>
  <si>
    <t>Liberty C93</t>
  </si>
  <si>
    <t>Liberty C89</t>
  </si>
  <si>
    <t>DeWind D8(8.2)</t>
  </si>
  <si>
    <t>Zond Z-40</t>
  </si>
  <si>
    <t>Zond Z-50/750</t>
  </si>
  <si>
    <t>FL 1500_70</t>
  </si>
  <si>
    <t>FL 1500_77</t>
  </si>
  <si>
    <t>FL 2500_80</t>
  </si>
  <si>
    <t>FL 2500_90</t>
  </si>
  <si>
    <t>FL 2500_100</t>
  </si>
  <si>
    <t>Gamesa G52 800</t>
  </si>
  <si>
    <t>Gamesa G52 850</t>
  </si>
  <si>
    <t>Gamesa G80 2.0MW</t>
  </si>
  <si>
    <t>Gamesa G87 2.0 MW</t>
  </si>
  <si>
    <t>Gamesa G90 2.0 MW</t>
  </si>
  <si>
    <t>GE 1.5s</t>
  </si>
  <si>
    <t>GE 1.5sle</t>
  </si>
  <si>
    <t>GE 1.5 xle</t>
  </si>
  <si>
    <t>GE 2.5xl</t>
  </si>
  <si>
    <t>MWT 1000</t>
  </si>
  <si>
    <t>MWT 1000A</t>
  </si>
  <si>
    <t>MWT 92/2.4</t>
  </si>
  <si>
    <t>MWT 95/2.4</t>
  </si>
  <si>
    <t>Multibrid m5000</t>
  </si>
  <si>
    <t>NEG Micon multi-power 44/750</t>
  </si>
  <si>
    <t>NEG Micon multi-power 48/750</t>
  </si>
  <si>
    <t>NM 52 900</t>
  </si>
  <si>
    <t>NM 72C 1500</t>
  </si>
  <si>
    <t>NM82 1650</t>
  </si>
  <si>
    <t>Nordex N43/600</t>
  </si>
  <si>
    <t>Nordex N60/1300</t>
  </si>
  <si>
    <t>Nordex N90/2300</t>
  </si>
  <si>
    <t>Nordex N80/2500</t>
  </si>
  <si>
    <t>Nordex N90/2500 HS</t>
  </si>
  <si>
    <t>Nordex N90/2500 LS</t>
  </si>
  <si>
    <t>Nordex N100/2500</t>
  </si>
  <si>
    <t>RePower MM 82</t>
  </si>
  <si>
    <t>RePower MM 92</t>
  </si>
  <si>
    <t>RePower 3XM</t>
  </si>
  <si>
    <t>RePower 5M</t>
  </si>
  <si>
    <t>SWT 2.3 MW-93</t>
  </si>
  <si>
    <t>S64/950</t>
  </si>
  <si>
    <t>S64/1250</t>
  </si>
  <si>
    <t>S88</t>
  </si>
  <si>
    <t>S52 600</t>
  </si>
  <si>
    <t>S82 1.5</t>
  </si>
  <si>
    <t>TW-600e</t>
  </si>
  <si>
    <t>Tacke T600-48</t>
  </si>
  <si>
    <t>V42-600</t>
  </si>
  <si>
    <t>V44-600</t>
  </si>
  <si>
    <t>V47 660</t>
  </si>
  <si>
    <t>V82-1.65</t>
  </si>
  <si>
    <t>V80-1.8</t>
  </si>
  <si>
    <t>V80-2.0</t>
  </si>
  <si>
    <t>V90-1.8</t>
  </si>
  <si>
    <t>V90-2.0</t>
  </si>
  <si>
    <t>V90-3.0</t>
  </si>
  <si>
    <t>V100-1.8</t>
  </si>
  <si>
    <t>V112-3.0</t>
  </si>
  <si>
    <t>V52-850</t>
  </si>
  <si>
    <t>V66-1650</t>
  </si>
  <si>
    <t>Capacity (kW)</t>
  </si>
  <si>
    <t>Rotor Diameter (m)</t>
  </si>
  <si>
    <t>IEC Class</t>
  </si>
  <si>
    <t>I,II</t>
  </si>
  <si>
    <t>II,III</t>
  </si>
  <si>
    <t>II</t>
  </si>
  <si>
    <t>III</t>
  </si>
  <si>
    <t>unknown</t>
  </si>
  <si>
    <t>Class S</t>
  </si>
  <si>
    <t>Class IIb</t>
  </si>
  <si>
    <t>Class IIa</t>
  </si>
  <si>
    <t>Class Ia</t>
  </si>
  <si>
    <t>I/II</t>
  </si>
  <si>
    <t>not listed</t>
  </si>
  <si>
    <t>Ia</t>
  </si>
  <si>
    <t>IIa</t>
  </si>
  <si>
    <t>IIIa</t>
  </si>
  <si>
    <t>IIIb</t>
  </si>
  <si>
    <t>IIb/IIIa</t>
  </si>
  <si>
    <t>I</t>
  </si>
  <si>
    <t>Ia/IIa</t>
  </si>
  <si>
    <t>IIa/IIIa</t>
  </si>
  <si>
    <t>Escalator Details</t>
  </si>
  <si>
    <t>Month</t>
  </si>
  <si>
    <t>Year</t>
  </si>
  <si>
    <t>PPI</t>
  </si>
  <si>
    <t>NAICS Code</t>
  </si>
  <si>
    <t>% of Element</t>
  </si>
  <si>
    <t>General GDP inflation index</t>
  </si>
  <si>
    <t>Escalator =</t>
  </si>
  <si>
    <t xml:space="preserve">Baseline Blade material costs </t>
  </si>
  <si>
    <t xml:space="preserve">Advanced Blade material costs </t>
  </si>
  <si>
    <t>(composed of 60% Fiberglass fabric, 23% Vinyl Esters and Resins, 8% root studs, 9% core) from SAND2003-1428</t>
  </si>
  <si>
    <t>(composed of 61% Fiberglass fabric, 27% Vinyl Esters and Resins, 3% root studs, 9% core) from SAND2004-0074</t>
  </si>
  <si>
    <t>Fiberglass Fabric</t>
  </si>
  <si>
    <t>September 2002 PPI</t>
  </si>
  <si>
    <t>September 2005 PPI</t>
  </si>
  <si>
    <t>Vinyl type adhesives</t>
  </si>
  <si>
    <t>Root studs - other externally threaded fasteners including studs</t>
  </si>
  <si>
    <t>Core - Urethane and other foam products</t>
  </si>
  <si>
    <t>326150P</t>
  </si>
  <si>
    <t>General GDP inflation</t>
  </si>
  <si>
    <t>Cumulative Escalator =</t>
  </si>
  <si>
    <t>Hub</t>
  </si>
  <si>
    <t>Ductile Iron Castings NAICS 3315113</t>
  </si>
  <si>
    <t>Pitch Mechanisms/Bearings</t>
  </si>
  <si>
    <t>Bearings</t>
  </si>
  <si>
    <t>332991P</t>
  </si>
  <si>
    <t>Drive Motors</t>
  </si>
  <si>
    <t>Speed Reducer (Gearing)</t>
  </si>
  <si>
    <t>333612P</t>
  </si>
  <si>
    <t>Controller and Drive - Industrial Process Control</t>
  </si>
  <si>
    <t>Low speed shaft</t>
  </si>
  <si>
    <t>Cast carbon steel castings</t>
  </si>
  <si>
    <t>Gearbox</t>
  </si>
  <si>
    <t>Industrial High-speed drive &amp; gear</t>
  </si>
  <si>
    <t>Mech brake, HS cpling etc</t>
  </si>
  <si>
    <t>Motor vehicle brake parts and assemblies</t>
  </si>
  <si>
    <t>Generator</t>
  </si>
  <si>
    <t>Motor and Generator Manufacturing</t>
  </si>
  <si>
    <t>335312P</t>
  </si>
  <si>
    <t>Variable spd electronics</t>
  </si>
  <si>
    <t>Relay and Industrial Control Mfg</t>
  </si>
  <si>
    <t>335314P</t>
  </si>
  <si>
    <t>Yaw drive &amp; bearing</t>
  </si>
  <si>
    <t>Yaw Bearing - Ball and Roller Bearings</t>
  </si>
  <si>
    <t>Main frame</t>
  </si>
  <si>
    <t>Ductile Iron Castings</t>
  </si>
  <si>
    <t>Electrical connections</t>
  </si>
  <si>
    <t>Switch Gear &amp; Apparatus</t>
  </si>
  <si>
    <t>335313P</t>
  </si>
  <si>
    <t>Power wire and cable NAICS 3359291</t>
  </si>
  <si>
    <t>Assembly Labor at GDP inflation index</t>
  </si>
  <si>
    <t>Hydraulic system</t>
  </si>
  <si>
    <t>Fluid Power Cylinder and Actuators</t>
  </si>
  <si>
    <t>Nacelle Covers/Nose Cone/ Spinner (composed of 65% Fiberglass fabric/35% Vinyl Esters and Resins)</t>
  </si>
  <si>
    <t>Control, safety system</t>
  </si>
  <si>
    <t>Marinization</t>
  </si>
  <si>
    <t>Offshore Warranty Premium</t>
  </si>
  <si>
    <t>Rolled steel shape manufacturing, primary products</t>
  </si>
  <si>
    <t>Monopole Foundations</t>
  </si>
  <si>
    <t>Pile Driven Tower (Other Heavy Construction)</t>
  </si>
  <si>
    <t>BHVY</t>
  </si>
  <si>
    <t>September 2003 PPI</t>
  </si>
  <si>
    <t>Transportation Onshore/Offshore Shallow &amp; Transitional</t>
  </si>
  <si>
    <t>General Freight trucking, long-distance, truckload</t>
  </si>
  <si>
    <t>Off Shore Site Preparation/Port &amp; Staging/Scour Protection</t>
  </si>
  <si>
    <t>Other Heavy Construction</t>
  </si>
  <si>
    <t>Land Based Assembly &amp; installation</t>
  </si>
  <si>
    <t>Other Heavy Construction NAICS BHVY</t>
  </si>
  <si>
    <t>Offshore Assembly &amp; installation</t>
  </si>
  <si>
    <t>Land Based Elect interfc/connect (cost established based on transformer at 40%)</t>
  </si>
  <si>
    <t>Power and distribution transformers</t>
  </si>
  <si>
    <t>Switch Gear &amp; Apparatus NAICS 335313P</t>
  </si>
  <si>
    <t>Offshore Elect interfc/connect (cost established based on transformer at 5%)</t>
  </si>
  <si>
    <t>Permits, engineering (Land Based)</t>
  </si>
  <si>
    <t>Escalator=</t>
  </si>
  <si>
    <t>Permits, engineering (Offshore)</t>
  </si>
  <si>
    <t>Land Based Levelized Replacement Cost</t>
  </si>
  <si>
    <t>Offshore Levelized Replacement</t>
  </si>
  <si>
    <t>O&amp;M Land Based</t>
  </si>
  <si>
    <t>O&amp;M Offshore</t>
  </si>
  <si>
    <t>Land Based &amp; Offshore Lease Cost</t>
  </si>
  <si>
    <t>Road &amp; Civil Work</t>
  </si>
  <si>
    <t>Highway and Street Construction</t>
  </si>
  <si>
    <t>BHWY</t>
  </si>
  <si>
    <t>Personnel Access Equipment General GDP inflation index</t>
  </si>
  <si>
    <t>PPI and GDP Tables</t>
  </si>
  <si>
    <t>Gross Domestic Product</t>
  </si>
  <si>
    <t>Change/2000$ From Previous Period</t>
  </si>
  <si>
    <t>Absolute Value from Previous</t>
  </si>
  <si>
    <t>Yellow Numbers are preliminary</t>
  </si>
  <si>
    <t>Glass fiber, textile-type, made by establishment producing glass</t>
  </si>
  <si>
    <t>Row Numbers</t>
  </si>
  <si>
    <t>Jan</t>
  </si>
  <si>
    <t>Feb</t>
  </si>
  <si>
    <t>Mar</t>
  </si>
  <si>
    <t>Apr</t>
  </si>
  <si>
    <t>May</t>
  </si>
  <si>
    <t>June</t>
  </si>
  <si>
    <t>Jul</t>
  </si>
  <si>
    <t>Aug</t>
  </si>
  <si>
    <t>Sep</t>
  </si>
  <si>
    <t>Oct</t>
  </si>
  <si>
    <t>Nov</t>
  </si>
  <si>
    <t>Dec</t>
  </si>
  <si>
    <t>Annual</t>
  </si>
  <si>
    <t>Month #</t>
  </si>
  <si>
    <t>PCU3255203255204</t>
  </si>
  <si>
    <t>Synthetic resin &amp; rubber adhesives, incl all types of bonding &amp; laminating adhesives</t>
  </si>
  <si>
    <t>Year/Month #</t>
  </si>
  <si>
    <t>PCU3315113315113</t>
  </si>
  <si>
    <t>Other ductile iron castings</t>
  </si>
  <si>
    <t>PCU332991332991P</t>
  </si>
  <si>
    <t>Ball and roller bearings</t>
  </si>
  <si>
    <t>PCU3353123353123</t>
  </si>
  <si>
    <t>Integral horsepower motors and generators other than for trans equipment</t>
  </si>
  <si>
    <t>PCU333612333612P</t>
  </si>
  <si>
    <t>Speed changer, industrial high-speed, &amp; gear mfg.</t>
  </si>
  <si>
    <t>PCU334513334513</t>
  </si>
  <si>
    <t>Industrial process control manufacturing</t>
  </si>
  <si>
    <t>PCU3315133315131</t>
  </si>
  <si>
    <t>PCU335312335312P</t>
  </si>
  <si>
    <t>Motor &amp; generator mfg, Primary Products</t>
  </si>
  <si>
    <t>PCU335314335314P</t>
  </si>
  <si>
    <t>Relay &amp; industrial control mfg</t>
  </si>
  <si>
    <t>PCU3363403363401</t>
  </si>
  <si>
    <t>Motor vehicle brake parts and assemblies, new</t>
  </si>
  <si>
    <t>PCU335313335313P</t>
  </si>
  <si>
    <t>Switchgear &amp; switchboard apparatus mfg, Primary products</t>
  </si>
  <si>
    <t>PCU3359293359291</t>
  </si>
  <si>
    <t>Power wire and cable, made in plants that draw wire</t>
  </si>
  <si>
    <t>PCU3353113353111</t>
  </si>
  <si>
    <t>PCU3339953339952</t>
  </si>
  <si>
    <t>Non-aerospace type hydraulic fluid power cylinders &amp; actuators, linera and rotary</t>
  </si>
  <si>
    <t>PCU331221331221</t>
  </si>
  <si>
    <t>Rolled steel shape manufacturing</t>
  </si>
  <si>
    <t>PCUBHWY--BHWY--</t>
  </si>
  <si>
    <t>PCUBHVY--BHVY--</t>
  </si>
  <si>
    <t>PCU4841214841212</t>
  </si>
  <si>
    <t>General freight trucking, long-distance, truckload</t>
  </si>
  <si>
    <t>PCU3327223327223199</t>
  </si>
  <si>
    <t>Other externally threaded metal fasteners, including studs</t>
  </si>
  <si>
    <t>PCU326150326150P</t>
  </si>
  <si>
    <t>Urethane and other foam products</t>
  </si>
  <si>
    <t>Note:  Actual data not available for cells above in yellow.  2003 is base year.  Projected back from base year Using CPI for Calendar Year.</t>
  </si>
  <si>
    <t>Levelized Replacement Cost $ per year</t>
  </si>
  <si>
    <t xml:space="preserve">O&amp;M $ per turbine/yr </t>
  </si>
  <si>
    <t>Outside Diameter (m)</t>
  </si>
  <si>
    <t>Inner Diameter (m)</t>
  </si>
  <si>
    <t>Length of Shaft (m)</t>
  </si>
  <si>
    <t>Mass of Shaft (kg)</t>
  </si>
  <si>
    <t>Bending Moment</t>
  </si>
  <si>
    <t>Bending Load</t>
  </si>
  <si>
    <t>Moment arm</t>
  </si>
  <si>
    <t>Composite IEC Class I (1.5 MW)</t>
  </si>
  <si>
    <t>Composite IEC Class I (3.5 MW)</t>
  </si>
  <si>
    <t>Composite IEC Class I (5 MW)</t>
  </si>
  <si>
    <t>Composite IEC Class II (1.5 MW)</t>
  </si>
  <si>
    <t>Composite IEC Class II (3.5 MW)</t>
  </si>
  <si>
    <t>Composite IEC Class II (5 MW)</t>
  </si>
  <si>
    <t>Composite IEC Class III (1.5 MW)</t>
  </si>
  <si>
    <t>Composite IEC Class III (3.5 MW)</t>
  </si>
  <si>
    <t>Composite IEC Class III (5 MW)</t>
  </si>
  <si>
    <t>SWT 3.6 MW-107</t>
  </si>
  <si>
    <t>From gdpchg.xls downloaded from BEA website 8/2010</t>
  </si>
  <si>
    <t> PCU3272123272128</t>
  </si>
  <si>
    <t>BONS</t>
  </si>
  <si>
    <t>Other non-residential construction</t>
  </si>
  <si>
    <t>Previously through June 2010</t>
  </si>
  <si>
    <t>Note: Data are adjusted from new 2010 baseline in accord with historical  BHWY PPI Values</t>
  </si>
  <si>
    <t>Note: Data are adjusted from new 2010 baseline in accord with historical  BHVY PPI Values</t>
  </si>
  <si>
    <t>Note:  Data for  Q2 of 2011 is preliminary and has not been finalized.</t>
  </si>
  <si>
    <t>Based on Combined Land Based-Offshore Turbine Cost Model. v2.01.04</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</si>
</sst>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6" formatCode="&quot;$&quot;#,##0_);[Red]\(&quot;$&quot;#,##0\)"/>
    <numFmt numFmtId="44" formatCode="_(&quot;$&quot;* #,##0.00_);_(&quot;$&quot;* \(#,##0.00\);_(&quot;$&quot;* &quot;-&quot;??_);_(@_)"/>
    <numFmt numFmtId="43" formatCode="_(* #,##0.00_);_(* \(#,##0.00\);_(* &quot;-&quot;??_);_(@_)"/>
    <numFmt numFmtId="164" formatCode="0.000"/>
    <numFmt numFmtId="165" formatCode="0.0%"/>
    <numFmt numFmtId="166" formatCode="&quot;$&quot;#,##0"/>
    <numFmt numFmtId="167" formatCode="&quot;$&quot;#,##0.0000"/>
    <numFmt numFmtId="168" formatCode="_(* #,##0_);_(* \(#,##0\);_(* &quot;-&quot;??_);_(@_)"/>
    <numFmt numFmtId="169" formatCode="0.0000"/>
    <numFmt numFmtId="170" formatCode="_(&quot;$&quot;* #,##0_);_(&quot;$&quot;* \(#,##0\);_(&quot;$&quot;* &quot;-&quot;??_);_(@_)"/>
    <numFmt numFmtId="171" formatCode="0.0"/>
    <numFmt numFmtId="172" formatCode="#,##0.0000"/>
    <numFmt numFmtId="173" formatCode="0.0000E+00"/>
    <numFmt numFmtId="174" formatCode="&quot;$&quot;#,##0.00"/>
    <numFmt numFmtId="175" formatCode="0.00000"/>
    <numFmt numFmtId="176" formatCode="&quot;$&quot;#,##0.00000"/>
    <numFmt numFmtId="177" formatCode="0.000%"/>
    <numFmt numFmtId="178" formatCode="######"/>
    <numFmt numFmtId="179" formatCode="#,##0.0"/>
    <numFmt numFmtId="180" formatCode="#0.0"/>
  </numFmts>
  <fonts count="36" x14ac:knownFonts="1">
    <font>
      <sz val="10"/>
      <name val="Arial"/>
      <family val="2"/>
    </font>
    <font>
      <sz val="11"/>
      <color theme="1"/>
      <name val="Calibri"/>
      <family val="2"/>
      <scheme val="minor"/>
    </font>
    <font>
      <sz val="10"/>
      <name val="Arial"/>
      <family val="2"/>
    </font>
    <font>
      <b/>
      <sz val="10"/>
      <name val="Arial"/>
      <family val="2"/>
    </font>
    <font>
      <b/>
      <sz val="10"/>
      <color indexed="10"/>
      <name val="Arial"/>
      <family val="2"/>
    </font>
    <font>
      <i/>
      <sz val="12"/>
      <color rgb="FFFF0000"/>
      <name val="Arial"/>
      <family val="2"/>
    </font>
    <font>
      <i/>
      <sz val="10"/>
      <name val="Arial"/>
      <family val="2"/>
    </font>
    <font>
      <sz val="10"/>
      <color indexed="10"/>
      <name val="Arial"/>
      <family val="2"/>
    </font>
    <font>
      <b/>
      <sz val="10"/>
      <color indexed="81"/>
      <name val="Tahoma"/>
      <family val="2"/>
    </font>
    <font>
      <b/>
      <sz val="8"/>
      <color indexed="81"/>
      <name val="Tahoma"/>
      <family val="2"/>
    </font>
    <font>
      <sz val="10"/>
      <color indexed="81"/>
      <name val="Tahoma"/>
      <family val="2"/>
    </font>
    <font>
      <sz val="10"/>
      <color indexed="8"/>
      <name val="Arial"/>
      <family val="2"/>
    </font>
    <font>
      <b/>
      <sz val="10"/>
      <color indexed="8"/>
      <name val="Arial"/>
      <family val="2"/>
    </font>
    <font>
      <b/>
      <sz val="10"/>
      <color indexed="12"/>
      <name val="Arial"/>
      <family val="2"/>
    </font>
    <font>
      <b/>
      <sz val="10"/>
      <color indexed="39"/>
      <name val="Arial"/>
      <family val="2"/>
    </font>
    <font>
      <b/>
      <sz val="10"/>
      <color indexed="53"/>
      <name val="Arial"/>
      <family val="2"/>
    </font>
    <font>
      <b/>
      <u/>
      <sz val="10"/>
      <name val="Arial"/>
      <family val="2"/>
    </font>
    <font>
      <b/>
      <u/>
      <sz val="10"/>
      <color indexed="12"/>
      <name val="Arial"/>
      <family val="2"/>
    </font>
    <font>
      <u/>
      <sz val="10"/>
      <name val="Arial"/>
      <family val="2"/>
    </font>
    <font>
      <b/>
      <u/>
      <sz val="10"/>
      <color rgb="FF0000FF"/>
      <name val="Arial"/>
      <family val="2"/>
    </font>
    <font>
      <b/>
      <vertAlign val="superscript"/>
      <sz val="11"/>
      <color indexed="8"/>
      <name val="Calibri"/>
      <family val="2"/>
    </font>
    <font>
      <vertAlign val="superscript"/>
      <sz val="10"/>
      <name val="Arial"/>
      <family val="2"/>
    </font>
    <font>
      <b/>
      <vertAlign val="subscript"/>
      <sz val="10"/>
      <name val="Arial"/>
      <family val="2"/>
    </font>
    <font>
      <sz val="8"/>
      <color indexed="81"/>
      <name val="Tahoma"/>
      <family val="2"/>
    </font>
    <font>
      <sz val="10"/>
      <color indexed="22"/>
      <name val="Arial"/>
      <family val="2"/>
    </font>
    <font>
      <b/>
      <sz val="12"/>
      <name val="Arial"/>
      <family val="2"/>
    </font>
    <font>
      <sz val="11"/>
      <name val="Calibri"/>
      <family val="2"/>
      <scheme val="minor"/>
    </font>
    <font>
      <sz val="11"/>
      <name val="Arial"/>
      <family val="2"/>
    </font>
    <font>
      <i/>
      <sz val="8"/>
      <color indexed="81"/>
      <name val="Tahoma"/>
      <family val="2"/>
    </font>
    <font>
      <b/>
      <sz val="10"/>
      <name val="Arial Unicode MS"/>
      <family val="2"/>
    </font>
    <font>
      <sz val="10"/>
      <name val="Arial Unicode MS"/>
      <family val="2"/>
    </font>
    <font>
      <b/>
      <sz val="10"/>
      <color indexed="26"/>
      <name val="Verdana"/>
      <family val="2"/>
    </font>
    <font>
      <sz val="10"/>
      <color indexed="8"/>
      <name val="Verdana"/>
      <family val="2"/>
    </font>
    <font>
      <sz val="10"/>
      <name val="Verdana"/>
      <family val="2"/>
    </font>
    <font>
      <b/>
      <sz val="8"/>
      <name val="Arial"/>
      <family val="2"/>
    </font>
    <font>
      <b/>
      <i/>
      <sz val="10"/>
      <name val="Verdana"/>
      <family val="2"/>
    </font>
  </fonts>
  <fills count="18">
    <fill>
      <patternFill patternType="none"/>
    </fill>
    <fill>
      <patternFill patternType="gray125"/>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rgb="FF66FF33"/>
        <bgColor indexed="64"/>
      </patternFill>
    </fill>
    <fill>
      <patternFill patternType="solid">
        <fgColor indexed="27"/>
        <bgColor indexed="64"/>
      </patternFill>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rgb="FFFFCC99"/>
        <bgColor indexed="64"/>
      </patternFill>
    </fill>
    <fill>
      <patternFill patternType="solid">
        <fgColor rgb="FFCCFFFF"/>
        <bgColor indexed="64"/>
      </patternFill>
    </fill>
    <fill>
      <patternFill patternType="solid">
        <fgColor indexed="11"/>
        <bgColor indexed="64"/>
      </patternFill>
    </fill>
    <fill>
      <patternFill patternType="solid">
        <fgColor indexed="30"/>
        <bgColor indexed="64"/>
      </patternFill>
    </fill>
    <fill>
      <patternFill patternType="solid">
        <fgColor indexed="9"/>
        <bgColor indexed="64"/>
      </patternFill>
    </fill>
    <fill>
      <patternFill patternType="solid">
        <fgColor rgb="FFFFFF99"/>
        <bgColor indexed="64"/>
      </patternFill>
    </fill>
    <fill>
      <patternFill patternType="solid">
        <fgColor rgb="FFFFC000"/>
        <bgColor indexed="64"/>
      </patternFill>
    </fill>
    <fill>
      <patternFill patternType="solid">
        <fgColor theme="0"/>
        <bgColor indexed="64"/>
      </patternFill>
    </fill>
  </fills>
  <borders count="9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top/>
      <bottom/>
      <diagonal/>
    </border>
    <border>
      <left style="thin">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diagonal/>
    </border>
    <border>
      <left style="thin">
        <color indexed="64"/>
      </left>
      <right style="thin">
        <color indexed="64"/>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top/>
      <bottom style="double">
        <color indexed="64"/>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right style="double">
        <color indexed="64"/>
      </right>
      <top/>
      <bottom style="double">
        <color indexed="64"/>
      </bottom>
      <diagonal/>
    </border>
    <border>
      <left style="thin">
        <color indexed="64"/>
      </left>
      <right/>
      <top/>
      <bottom/>
      <diagonal/>
    </border>
    <border>
      <left style="double">
        <color indexed="64"/>
      </left>
      <right/>
      <top/>
      <bottom style="thin">
        <color indexed="64"/>
      </bottom>
      <diagonal/>
    </border>
    <border>
      <left style="double">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ck">
        <color indexed="64"/>
      </left>
      <right style="thin">
        <color indexed="64"/>
      </right>
      <top style="thick">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style="thin">
        <color indexed="8"/>
      </left>
      <right/>
      <top/>
      <bottom/>
      <diagonal/>
    </border>
    <border>
      <left/>
      <right style="thin">
        <color indexed="64"/>
      </right>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cellStyleXfs>
  <cellXfs count="551">
    <xf numFmtId="0" fontId="0" fillId="0" borderId="0" xfId="0"/>
    <xf numFmtId="0" fontId="3" fillId="2" borderId="1" xfId="0" applyNumberFormat="1" applyFont="1" applyFill="1" applyBorder="1" applyAlignment="1" applyProtection="1">
      <alignment horizontal="right"/>
      <protection locked="0"/>
    </xf>
    <xf numFmtId="0" fontId="3" fillId="4" borderId="1" xfId="0" applyFont="1" applyFill="1" applyBorder="1" applyProtection="1">
      <protection locked="0"/>
    </xf>
    <xf numFmtId="0" fontId="3" fillId="3" borderId="5" xfId="0" applyFont="1" applyFill="1" applyBorder="1" applyProtection="1"/>
    <xf numFmtId="0" fontId="3" fillId="3" borderId="7" xfId="0" applyFont="1" applyFill="1" applyBorder="1" applyProtection="1"/>
    <xf numFmtId="0" fontId="3" fillId="3" borderId="1" xfId="0" applyFont="1" applyFill="1" applyBorder="1" applyProtection="1">
      <protection locked="0"/>
    </xf>
    <xf numFmtId="0" fontId="3" fillId="3" borderId="7" xfId="0" applyFont="1" applyFill="1" applyBorder="1" applyProtection="1">
      <protection locked="0"/>
    </xf>
    <xf numFmtId="0" fontId="6" fillId="5" borderId="1" xfId="0" applyFont="1" applyFill="1" applyBorder="1" applyProtection="1">
      <protection locked="0"/>
    </xf>
    <xf numFmtId="0" fontId="6" fillId="5" borderId="1" xfId="0" quotePrefix="1" applyFont="1" applyFill="1" applyBorder="1" applyProtection="1">
      <protection locked="0"/>
    </xf>
    <xf numFmtId="164" fontId="3" fillId="3" borderId="7" xfId="0" applyNumberFormat="1" applyFont="1" applyFill="1" applyBorder="1" applyProtection="1">
      <protection locked="0"/>
    </xf>
    <xf numFmtId="1" fontId="3" fillId="3" borderId="7" xfId="0" applyNumberFormat="1" applyFont="1" applyFill="1" applyBorder="1" applyProtection="1">
      <protection locked="0"/>
    </xf>
    <xf numFmtId="2" fontId="3" fillId="3" borderId="7" xfId="0" applyNumberFormat="1" applyFont="1" applyFill="1" applyBorder="1" applyProtection="1">
      <protection locked="0"/>
    </xf>
    <xf numFmtId="0" fontId="3" fillId="3" borderId="7" xfId="0" applyFont="1" applyFill="1" applyBorder="1" applyAlignment="1" applyProtection="1">
      <alignment horizontal="right"/>
      <protection locked="0"/>
    </xf>
    <xf numFmtId="165" fontId="3" fillId="3" borderId="7" xfId="0" applyNumberFormat="1" applyFont="1" applyFill="1" applyBorder="1" applyProtection="1">
      <protection locked="0"/>
    </xf>
    <xf numFmtId="0" fontId="3" fillId="3" borderId="15" xfId="0" applyFont="1" applyFill="1" applyBorder="1" applyProtection="1">
      <protection locked="0"/>
    </xf>
    <xf numFmtId="0" fontId="3" fillId="3" borderId="17" xfId="0" applyFont="1" applyFill="1" applyBorder="1" applyProtection="1">
      <protection locked="0"/>
    </xf>
    <xf numFmtId="0" fontId="3" fillId="0" borderId="0" xfId="0" applyFont="1" applyAlignment="1">
      <alignment horizontal="centerContinuous"/>
    </xf>
    <xf numFmtId="0" fontId="4" fillId="0" borderId="0" xfId="0" applyFont="1" applyAlignment="1">
      <alignment horizontal="centerContinuous" wrapText="1"/>
    </xf>
    <xf numFmtId="0" fontId="3" fillId="3" borderId="8" xfId="0" applyFont="1" applyFill="1" applyBorder="1" applyAlignment="1">
      <alignment horizontal="centerContinuous"/>
    </xf>
    <xf numFmtId="0" fontId="3" fillId="3" borderId="10" xfId="0" applyFont="1" applyFill="1" applyBorder="1" applyAlignment="1">
      <alignment horizontal="centerContinuous"/>
    </xf>
    <xf numFmtId="0" fontId="3" fillId="3" borderId="25" xfId="0" applyFont="1" applyFill="1" applyBorder="1"/>
    <xf numFmtId="0" fontId="0" fillId="3" borderId="25" xfId="0" applyFill="1" applyBorder="1"/>
    <xf numFmtId="0" fontId="3" fillId="0" borderId="0" xfId="0" applyFont="1" applyAlignment="1">
      <alignment horizontal="center"/>
    </xf>
    <xf numFmtId="0" fontId="2" fillId="8" borderId="21" xfId="0" applyFont="1" applyFill="1" applyBorder="1" applyAlignment="1">
      <alignment horizontal="centerContinuous"/>
    </xf>
    <xf numFmtId="0" fontId="0" fillId="8" borderId="27" xfId="0" applyFill="1" applyBorder="1" applyAlignment="1">
      <alignment horizontal="centerContinuous"/>
    </xf>
    <xf numFmtId="0" fontId="0" fillId="8" borderId="19" xfId="0" applyFill="1" applyBorder="1" applyAlignment="1">
      <alignment horizontal="centerContinuous"/>
    </xf>
    <xf numFmtId="0" fontId="3" fillId="0" borderId="0" xfId="0" applyFont="1" applyAlignment="1">
      <alignment horizontal="right"/>
    </xf>
    <xf numFmtId="0" fontId="3" fillId="0" borderId="0" xfId="0" applyFont="1"/>
    <xf numFmtId="0" fontId="0" fillId="7" borderId="28" xfId="0" applyFill="1" applyBorder="1"/>
    <xf numFmtId="0" fontId="3" fillId="7" borderId="29" xfId="0" applyFont="1" applyFill="1" applyBorder="1" applyAlignment="1">
      <alignment horizontal="center"/>
    </xf>
    <xf numFmtId="0" fontId="3" fillId="7" borderId="30" xfId="0" applyFont="1" applyFill="1" applyBorder="1" applyAlignment="1">
      <alignment horizontal="center"/>
    </xf>
    <xf numFmtId="0" fontId="0" fillId="7" borderId="31" xfId="0" applyFill="1" applyBorder="1"/>
    <xf numFmtId="0" fontId="3" fillId="7" borderId="32" xfId="0" applyFont="1" applyFill="1" applyBorder="1" applyAlignment="1">
      <alignment horizontal="center"/>
    </xf>
    <xf numFmtId="0" fontId="3" fillId="7" borderId="33" xfId="0" applyFont="1" applyFill="1" applyBorder="1" applyAlignment="1">
      <alignment horizontal="center"/>
    </xf>
    <xf numFmtId="0" fontId="3" fillId="7" borderId="34" xfId="0" applyFont="1" applyFill="1" applyBorder="1" applyAlignment="1">
      <alignment horizontal="center"/>
    </xf>
    <xf numFmtId="0" fontId="3" fillId="7" borderId="35" xfId="0" applyFont="1" applyFill="1" applyBorder="1" applyAlignment="1">
      <alignment horizontal="center"/>
    </xf>
    <xf numFmtId="0" fontId="3" fillId="7" borderId="36" xfId="0" applyFont="1" applyFill="1" applyBorder="1" applyAlignment="1">
      <alignment horizontal="center"/>
    </xf>
    <xf numFmtId="0" fontId="3" fillId="7" borderId="37" xfId="0" applyFont="1" applyFill="1" applyBorder="1"/>
    <xf numFmtId="3" fontId="3" fillId="7" borderId="38" xfId="0" applyNumberFormat="1" applyFont="1" applyFill="1" applyBorder="1"/>
    <xf numFmtId="3" fontId="3" fillId="7" borderId="39" xfId="0" applyNumberFormat="1" applyFont="1" applyFill="1" applyBorder="1"/>
    <xf numFmtId="168" fontId="0" fillId="0" borderId="0" xfId="1" applyNumberFormat="1" applyFont="1"/>
    <xf numFmtId="0" fontId="2" fillId="7" borderId="40" xfId="0" applyFont="1" applyFill="1" applyBorder="1" applyAlignment="1">
      <alignment horizontal="left"/>
    </xf>
    <xf numFmtId="3" fontId="11" fillId="7" borderId="25" xfId="0" applyNumberFormat="1" applyFont="1" applyFill="1" applyBorder="1"/>
    <xf numFmtId="3" fontId="0" fillId="7" borderId="41" xfId="0" applyNumberFormat="1" applyFill="1" applyBorder="1"/>
    <xf numFmtId="0" fontId="2" fillId="7" borderId="40" xfId="0" applyFont="1" applyFill="1" applyBorder="1" applyAlignment="1">
      <alignment horizontal="left" indent="1"/>
    </xf>
    <xf numFmtId="0" fontId="3" fillId="7" borderId="40" xfId="0" applyFont="1" applyFill="1" applyBorder="1"/>
    <xf numFmtId="3" fontId="3" fillId="7" borderId="25" xfId="0" applyNumberFormat="1" applyFont="1" applyFill="1" applyBorder="1"/>
    <xf numFmtId="3" fontId="3" fillId="7" borderId="41" xfId="0" applyNumberFormat="1" applyFont="1" applyFill="1" applyBorder="1"/>
    <xf numFmtId="0" fontId="3" fillId="7" borderId="42" xfId="0" applyFont="1" applyFill="1" applyBorder="1"/>
    <xf numFmtId="3" fontId="12" fillId="7" borderId="25" xfId="0" applyNumberFormat="1" applyFont="1" applyFill="1" applyBorder="1"/>
    <xf numFmtId="3" fontId="2" fillId="7" borderId="41" xfId="0" applyNumberFormat="1" applyFont="1" applyFill="1" applyBorder="1"/>
    <xf numFmtId="1" fontId="3" fillId="7" borderId="25" xfId="0" applyNumberFormat="1" applyFont="1" applyFill="1" applyBorder="1"/>
    <xf numFmtId="0" fontId="3" fillId="7" borderId="42" xfId="0" applyFont="1" applyFill="1" applyBorder="1" applyAlignment="1">
      <alignment horizontal="right"/>
    </xf>
    <xf numFmtId="3" fontId="13" fillId="7" borderId="25" xfId="0" applyNumberFormat="1" applyFont="1" applyFill="1" applyBorder="1"/>
    <xf numFmtId="3" fontId="13" fillId="7" borderId="43" xfId="0" applyNumberFormat="1" applyFont="1" applyFill="1" applyBorder="1"/>
    <xf numFmtId="3" fontId="13" fillId="0" borderId="0" xfId="0" applyNumberFormat="1" applyFont="1" applyFill="1" applyBorder="1"/>
    <xf numFmtId="0" fontId="3" fillId="0" borderId="18" xfId="0" applyFont="1" applyBorder="1" applyAlignment="1">
      <alignment horizontal="centerContinuous"/>
    </xf>
    <xf numFmtId="0" fontId="3" fillId="0" borderId="27" xfId="0" applyFont="1" applyBorder="1" applyAlignment="1">
      <alignment horizontal="centerContinuous"/>
    </xf>
    <xf numFmtId="0" fontId="3" fillId="0" borderId="19" xfId="0" applyFont="1" applyBorder="1" applyAlignment="1">
      <alignment horizontal="centerContinuous"/>
    </xf>
    <xf numFmtId="0" fontId="0" fillId="0" borderId="20" xfId="0" applyBorder="1" applyAlignment="1">
      <alignment horizontal="center"/>
    </xf>
    <xf numFmtId="0" fontId="0" fillId="0" borderId="44" xfId="0" applyBorder="1" applyAlignment="1">
      <alignment horizontal="center"/>
    </xf>
    <xf numFmtId="0" fontId="0" fillId="0" borderId="3" xfId="0" applyBorder="1" applyAlignment="1">
      <alignment horizontal="center"/>
    </xf>
    <xf numFmtId="0" fontId="2" fillId="7" borderId="42" xfId="0" applyFont="1" applyFill="1" applyBorder="1" applyAlignment="1">
      <alignment horizontal="left" indent="1"/>
    </xf>
    <xf numFmtId="3" fontId="2" fillId="7" borderId="25" xfId="0" applyNumberFormat="1" applyFont="1" applyFill="1" applyBorder="1" applyAlignment="1"/>
    <xf numFmtId="0" fontId="0" fillId="0" borderId="6" xfId="0" applyBorder="1"/>
    <xf numFmtId="0" fontId="0" fillId="0" borderId="25" xfId="0" applyBorder="1"/>
    <xf numFmtId="0" fontId="0" fillId="0" borderId="7" xfId="0" applyBorder="1"/>
    <xf numFmtId="3" fontId="0" fillId="0" borderId="6" xfId="0" applyNumberFormat="1" applyBorder="1"/>
    <xf numFmtId="3" fontId="0" fillId="0" borderId="25" xfId="0" applyNumberFormat="1" applyBorder="1"/>
    <xf numFmtId="3" fontId="0" fillId="0" borderId="7" xfId="0" applyNumberFormat="1" applyBorder="1"/>
    <xf numFmtId="3" fontId="0" fillId="7" borderId="45" xfId="0" applyNumberFormat="1" applyFill="1" applyBorder="1"/>
    <xf numFmtId="0" fontId="0" fillId="0" borderId="6" xfId="0" quotePrefix="1" applyBorder="1"/>
    <xf numFmtId="0" fontId="0" fillId="0" borderId="25" xfId="0" quotePrefix="1" applyBorder="1"/>
    <xf numFmtId="0" fontId="0" fillId="0" borderId="16" xfId="0" quotePrefix="1" applyBorder="1"/>
    <xf numFmtId="0" fontId="0" fillId="0" borderId="26" xfId="0" quotePrefix="1" applyBorder="1"/>
    <xf numFmtId="0" fontId="0" fillId="0" borderId="26" xfId="0" applyBorder="1"/>
    <xf numFmtId="0" fontId="0" fillId="0" borderId="17" xfId="0" applyBorder="1"/>
    <xf numFmtId="3" fontId="0" fillId="0" borderId="16" xfId="0" applyNumberFormat="1" applyBorder="1"/>
    <xf numFmtId="3" fontId="0" fillId="0" borderId="26" xfId="0" applyNumberFormat="1" applyBorder="1"/>
    <xf numFmtId="3" fontId="0" fillId="0" borderId="17" xfId="0" applyNumberFormat="1" applyBorder="1"/>
    <xf numFmtId="1" fontId="11" fillId="7" borderId="46" xfId="0" applyNumberFormat="1" applyFont="1" applyFill="1" applyBorder="1" applyAlignment="1">
      <alignment horizontal="right"/>
    </xf>
    <xf numFmtId="0" fontId="0" fillId="0" borderId="0" xfId="0" quotePrefix="1" applyBorder="1"/>
    <xf numFmtId="0" fontId="0" fillId="0" borderId="0" xfId="0" applyBorder="1"/>
    <xf numFmtId="0" fontId="3" fillId="7" borderId="47" xfId="0" applyFont="1" applyFill="1" applyBorder="1" applyAlignment="1">
      <alignment horizontal="right"/>
    </xf>
    <xf numFmtId="3" fontId="13" fillId="7" borderId="46" xfId="0" applyNumberFormat="1" applyFont="1" applyFill="1" applyBorder="1"/>
    <xf numFmtId="3" fontId="13" fillId="7" borderId="45" xfId="0" applyNumberFormat="1" applyFont="1" applyFill="1" applyBorder="1"/>
    <xf numFmtId="0" fontId="3" fillId="7" borderId="47" xfId="0" applyFont="1" applyFill="1" applyBorder="1" applyAlignment="1">
      <alignment horizontal="left"/>
    </xf>
    <xf numFmtId="3" fontId="12" fillId="7" borderId="46" xfId="0" applyNumberFormat="1" applyFont="1" applyFill="1" applyBorder="1"/>
    <xf numFmtId="0" fontId="3" fillId="7" borderId="48" xfId="0" applyFont="1" applyFill="1" applyBorder="1"/>
    <xf numFmtId="3" fontId="13" fillId="7" borderId="49" xfId="0" applyNumberFormat="1" applyFont="1" applyFill="1" applyBorder="1"/>
    <xf numFmtId="3" fontId="13" fillId="7" borderId="50" xfId="0" applyNumberFormat="1" applyFont="1" applyFill="1" applyBorder="1"/>
    <xf numFmtId="0" fontId="3" fillId="7" borderId="51" xfId="0" applyFont="1" applyFill="1" applyBorder="1"/>
    <xf numFmtId="3" fontId="13" fillId="7" borderId="52" xfId="0" applyNumberFormat="1" applyFont="1" applyFill="1" applyBorder="1"/>
    <xf numFmtId="3" fontId="13" fillId="7" borderId="33" xfId="0" applyNumberFormat="1" applyFont="1" applyFill="1" applyBorder="1"/>
    <xf numFmtId="3" fontId="3" fillId="7" borderId="52" xfId="0" applyNumberFormat="1" applyFont="1" applyFill="1" applyBorder="1"/>
    <xf numFmtId="3" fontId="3" fillId="7" borderId="33" xfId="0" applyNumberFormat="1" applyFont="1" applyFill="1" applyBorder="1"/>
    <xf numFmtId="1" fontId="3" fillId="7" borderId="33" xfId="0" applyNumberFormat="1" applyFont="1" applyFill="1" applyBorder="1"/>
    <xf numFmtId="0" fontId="3" fillId="7" borderId="53" xfId="0" applyFont="1" applyFill="1" applyBorder="1"/>
    <xf numFmtId="3" fontId="2" fillId="7" borderId="54" xfId="0" applyNumberFormat="1" applyFont="1" applyFill="1" applyBorder="1"/>
    <xf numFmtId="1" fontId="0" fillId="7" borderId="30" xfId="0" applyNumberFormat="1" applyFill="1" applyBorder="1"/>
    <xf numFmtId="0" fontId="3" fillId="7" borderId="51" xfId="0" applyFont="1" applyFill="1" applyBorder="1" applyAlignment="1">
      <alignment horizontal="right"/>
    </xf>
    <xf numFmtId="3" fontId="2" fillId="7" borderId="52" xfId="0" applyNumberFormat="1" applyFont="1" applyFill="1" applyBorder="1"/>
    <xf numFmtId="1" fontId="2" fillId="7" borderId="33" xfId="0" applyNumberFormat="1" applyFont="1" applyFill="1" applyBorder="1"/>
    <xf numFmtId="0" fontId="3" fillId="7" borderId="55" xfId="0" applyFont="1" applyFill="1" applyBorder="1" applyAlignment="1">
      <alignment horizontal="right"/>
    </xf>
    <xf numFmtId="3" fontId="2" fillId="7" borderId="56" xfId="0" applyNumberFormat="1" applyFont="1" applyFill="1" applyBorder="1"/>
    <xf numFmtId="1" fontId="0" fillId="7" borderId="36" xfId="0" applyNumberFormat="1" applyFill="1" applyBorder="1"/>
    <xf numFmtId="1" fontId="0" fillId="7" borderId="33" xfId="0" applyNumberFormat="1" applyFill="1" applyBorder="1"/>
    <xf numFmtId="10" fontId="13" fillId="7" borderId="52" xfId="0" applyNumberFormat="1" applyFont="1" applyFill="1" applyBorder="1"/>
    <xf numFmtId="1" fontId="13" fillId="7" borderId="57" xfId="0" applyNumberFormat="1" applyFont="1" applyFill="1" applyBorder="1"/>
    <xf numFmtId="0" fontId="0" fillId="7" borderId="53" xfId="0" applyFill="1" applyBorder="1"/>
    <xf numFmtId="0" fontId="2" fillId="7" borderId="54" xfId="0" applyFont="1" applyFill="1" applyBorder="1"/>
    <xf numFmtId="0" fontId="0" fillId="7" borderId="33" xfId="0" applyFill="1" applyBorder="1"/>
    <xf numFmtId="10" fontId="2" fillId="7" borderId="52" xfId="0" applyNumberFormat="1" applyFont="1" applyFill="1" applyBorder="1"/>
    <xf numFmtId="10" fontId="0" fillId="7" borderId="33" xfId="0" applyNumberFormat="1" applyFill="1" applyBorder="1"/>
    <xf numFmtId="0" fontId="0" fillId="7" borderId="51" xfId="0" applyFill="1" applyBorder="1"/>
    <xf numFmtId="0" fontId="2" fillId="7" borderId="52" xfId="0" applyFont="1" applyFill="1" applyBorder="1"/>
    <xf numFmtId="0" fontId="14" fillId="7" borderId="51" xfId="0" applyFont="1" applyFill="1" applyBorder="1"/>
    <xf numFmtId="169" fontId="14" fillId="7" borderId="52" xfId="0" applyNumberFormat="1" applyFont="1" applyFill="1" applyBorder="1"/>
    <xf numFmtId="0" fontId="14" fillId="7" borderId="55" xfId="0" applyFont="1" applyFill="1" applyBorder="1"/>
    <xf numFmtId="169" fontId="14" fillId="7" borderId="56" xfId="0" applyNumberFormat="1" applyFont="1" applyFill="1" applyBorder="1"/>
    <xf numFmtId="169" fontId="14" fillId="7" borderId="36" xfId="0" applyNumberFormat="1" applyFont="1" applyFill="1" applyBorder="1"/>
    <xf numFmtId="167" fontId="0" fillId="0" borderId="0" xfId="0" applyNumberFormat="1"/>
    <xf numFmtId="169" fontId="0" fillId="0" borderId="0" xfId="0" applyNumberFormat="1"/>
    <xf numFmtId="0" fontId="0" fillId="0" borderId="0" xfId="0" applyAlignment="1">
      <alignment horizontal="right"/>
    </xf>
    <xf numFmtId="0" fontId="3" fillId="0" borderId="0" xfId="0" applyFont="1" applyAlignment="1">
      <alignment horizontal="centerContinuous" wrapText="1"/>
    </xf>
    <xf numFmtId="0" fontId="0" fillId="0" borderId="0" xfId="0" applyAlignment="1">
      <alignment horizontal="centerContinuous" wrapText="1"/>
    </xf>
    <xf numFmtId="0" fontId="3" fillId="3" borderId="1" xfId="0" applyFont="1" applyFill="1" applyBorder="1" applyAlignment="1">
      <alignment wrapText="1"/>
    </xf>
    <xf numFmtId="0" fontId="3" fillId="0" borderId="0" xfId="0" applyFont="1" applyFill="1" applyBorder="1" applyAlignment="1">
      <alignment wrapText="1"/>
    </xf>
    <xf numFmtId="0" fontId="15" fillId="0" borderId="0" xfId="0" applyFont="1"/>
    <xf numFmtId="0" fontId="3" fillId="0" borderId="0" xfId="0" applyFont="1" applyAlignment="1">
      <alignment wrapText="1"/>
    </xf>
    <xf numFmtId="0" fontId="16" fillId="0" borderId="0" xfId="0" applyFont="1"/>
    <xf numFmtId="0" fontId="17" fillId="0" borderId="29" xfId="0" applyFont="1" applyBorder="1"/>
    <xf numFmtId="0" fontId="16" fillId="0" borderId="59" xfId="0" applyFont="1" applyBorder="1"/>
    <xf numFmtId="0" fontId="18" fillId="0" borderId="59" xfId="0" applyFont="1" applyBorder="1"/>
    <xf numFmtId="0" fontId="18" fillId="0" borderId="60" xfId="0" applyFont="1" applyBorder="1"/>
    <xf numFmtId="0" fontId="17" fillId="0" borderId="32" xfId="0" applyFont="1" applyBorder="1"/>
    <xf numFmtId="0" fontId="3" fillId="0" borderId="0" xfId="0" applyFont="1" applyBorder="1"/>
    <xf numFmtId="0" fontId="0" fillId="0" borderId="61" xfId="0" applyBorder="1"/>
    <xf numFmtId="0" fontId="3" fillId="0" borderId="32" xfId="0" applyFont="1" applyBorder="1"/>
    <xf numFmtId="0" fontId="2" fillId="0" borderId="0" xfId="0" applyFont="1" applyBorder="1"/>
    <xf numFmtId="0" fontId="3" fillId="9" borderId="25" xfId="0" applyFont="1" applyFill="1" applyBorder="1"/>
    <xf numFmtId="0" fontId="0" fillId="0" borderId="32" xfId="0" applyBorder="1"/>
    <xf numFmtId="0" fontId="3" fillId="9" borderId="40" xfId="0" applyFont="1" applyFill="1" applyBorder="1"/>
    <xf numFmtId="169" fontId="3" fillId="9" borderId="7" xfId="0" applyNumberFormat="1" applyFont="1" applyFill="1" applyBorder="1"/>
    <xf numFmtId="0" fontId="3" fillId="9" borderId="6" xfId="0" applyFont="1" applyFill="1" applyBorder="1"/>
    <xf numFmtId="0" fontId="3" fillId="9" borderId="7" xfId="0" applyFont="1" applyFill="1" applyBorder="1"/>
    <xf numFmtId="0" fontId="3" fillId="9" borderId="64" xfId="0" applyFont="1" applyFill="1" applyBorder="1"/>
    <xf numFmtId="2" fontId="3" fillId="9" borderId="17" xfId="0" applyNumberFormat="1" applyFont="1" applyFill="1" applyBorder="1"/>
    <xf numFmtId="0" fontId="3" fillId="9" borderId="16" xfId="0" applyFont="1" applyFill="1" applyBorder="1"/>
    <xf numFmtId="1" fontId="3" fillId="9" borderId="17" xfId="0" applyNumberFormat="1" applyFont="1" applyFill="1" applyBorder="1"/>
    <xf numFmtId="0" fontId="3" fillId="9" borderId="17" xfId="0" applyFont="1" applyFill="1" applyBorder="1"/>
    <xf numFmtId="0" fontId="3" fillId="0" borderId="32" xfId="0" applyFont="1" applyFill="1" applyBorder="1" applyAlignment="1"/>
    <xf numFmtId="0" fontId="3" fillId="0" borderId="0" xfId="0" applyFont="1" applyFill="1" applyBorder="1" applyAlignment="1"/>
    <xf numFmtId="0" fontId="2" fillId="0" borderId="0" xfId="0" applyFont="1" applyFill="1" applyBorder="1"/>
    <xf numFmtId="0" fontId="3" fillId="0" borderId="32" xfId="0" applyFont="1" applyBorder="1" applyAlignment="1">
      <alignment wrapText="1"/>
    </xf>
    <xf numFmtId="0" fontId="0" fillId="0" borderId="0" xfId="0" applyBorder="1" applyAlignment="1">
      <alignment wrapText="1"/>
    </xf>
    <xf numFmtId="0" fontId="0" fillId="0" borderId="61" xfId="0" applyBorder="1" applyAlignment="1">
      <alignment wrapText="1"/>
    </xf>
    <xf numFmtId="1" fontId="3" fillId="7" borderId="25" xfId="2" applyNumberFormat="1" applyFont="1" applyFill="1" applyBorder="1"/>
    <xf numFmtId="0" fontId="0" fillId="4" borderId="25" xfId="0" applyFill="1" applyBorder="1"/>
    <xf numFmtId="170" fontId="3" fillId="7" borderId="25" xfId="2" applyNumberFormat="1" applyFont="1" applyFill="1" applyBorder="1" applyAlignment="1">
      <alignment horizontal="right"/>
    </xf>
    <xf numFmtId="0" fontId="3" fillId="0" borderId="35" xfId="0" applyFont="1" applyBorder="1"/>
    <xf numFmtId="0" fontId="3" fillId="0" borderId="58" xfId="0" applyFont="1" applyBorder="1"/>
    <xf numFmtId="1" fontId="2" fillId="0" borderId="58" xfId="2" applyNumberFormat="1" applyFill="1" applyBorder="1"/>
    <xf numFmtId="0" fontId="0" fillId="0" borderId="58" xfId="0" applyBorder="1"/>
    <xf numFmtId="0" fontId="0" fillId="0" borderId="65" xfId="0" applyBorder="1"/>
    <xf numFmtId="0" fontId="3" fillId="0" borderId="59" xfId="0" applyFont="1" applyBorder="1"/>
    <xf numFmtId="0" fontId="0" fillId="0" borderId="59" xfId="0" applyBorder="1"/>
    <xf numFmtId="0" fontId="0" fillId="0" borderId="60" xfId="0" applyBorder="1"/>
    <xf numFmtId="169" fontId="3" fillId="9" borderId="25" xfId="0" applyNumberFormat="1" applyFont="1" applyFill="1" applyBorder="1"/>
    <xf numFmtId="169" fontId="3" fillId="0" borderId="0" xfId="0" applyNumberFormat="1" applyFont="1" applyFill="1" applyBorder="1"/>
    <xf numFmtId="169" fontId="0" fillId="0" borderId="0" xfId="0" applyNumberFormat="1" applyFill="1" applyBorder="1"/>
    <xf numFmtId="166" fontId="3" fillId="7" borderId="25" xfId="0" applyNumberFormat="1" applyFont="1" applyFill="1" applyBorder="1"/>
    <xf numFmtId="169" fontId="3" fillId="7" borderId="25" xfId="0" applyNumberFormat="1" applyFont="1" applyFill="1" applyBorder="1"/>
    <xf numFmtId="10" fontId="3" fillId="9" borderId="25" xfId="0" applyNumberFormat="1" applyFont="1" applyFill="1" applyBorder="1"/>
    <xf numFmtId="1" fontId="3" fillId="9" borderId="25" xfId="0" applyNumberFormat="1" applyFont="1" applyFill="1" applyBorder="1"/>
    <xf numFmtId="0" fontId="3" fillId="0" borderId="32" xfId="0" applyFont="1" applyBorder="1" applyAlignment="1"/>
    <xf numFmtId="0" fontId="0" fillId="0" borderId="0" xfId="0" applyBorder="1" applyAlignment="1"/>
    <xf numFmtId="0" fontId="0" fillId="0" borderId="0" xfId="0" applyAlignment="1"/>
    <xf numFmtId="0" fontId="0" fillId="0" borderId="61" xfId="0" applyBorder="1" applyAlignment="1"/>
    <xf numFmtId="3" fontId="3" fillId="7" borderId="25" xfId="0" applyNumberFormat="1" applyFont="1" applyFill="1" applyBorder="1" applyAlignment="1"/>
    <xf numFmtId="0" fontId="2" fillId="0" borderId="0" xfId="0" applyFont="1" applyBorder="1" applyAlignment="1"/>
    <xf numFmtId="1" fontId="2" fillId="0" borderId="0" xfId="0" applyNumberFormat="1" applyFont="1" applyBorder="1" applyAlignment="1"/>
    <xf numFmtId="169" fontId="3" fillId="9" borderId="25" xfId="0" applyNumberFormat="1" applyFont="1" applyFill="1" applyBorder="1" applyAlignment="1"/>
    <xf numFmtId="10" fontId="3" fillId="9" borderId="25" xfId="0" applyNumberFormat="1" applyFont="1" applyFill="1" applyBorder="1" applyAlignment="1"/>
    <xf numFmtId="0" fontId="17" fillId="0" borderId="35" xfId="0" applyFont="1" applyBorder="1"/>
    <xf numFmtId="0" fontId="13" fillId="0" borderId="59" xfId="0" applyFont="1" applyBorder="1"/>
    <xf numFmtId="0" fontId="16" fillId="0" borderId="32" xfId="0" applyFont="1" applyBorder="1"/>
    <xf numFmtId="0" fontId="3" fillId="0" borderId="32" xfId="0" applyFont="1" applyBorder="1" applyAlignment="1">
      <alignment horizontal="left"/>
    </xf>
    <xf numFmtId="0" fontId="3" fillId="7" borderId="25" xfId="0" applyFont="1" applyFill="1" applyBorder="1"/>
    <xf numFmtId="169" fontId="3" fillId="7" borderId="25" xfId="0" applyNumberFormat="1" applyFont="1" applyFill="1" applyBorder="1" applyAlignment="1"/>
    <xf numFmtId="166" fontId="3" fillId="7" borderId="25" xfId="0" applyNumberFormat="1" applyFont="1" applyFill="1" applyBorder="1" applyAlignment="1"/>
    <xf numFmtId="0" fontId="3" fillId="0" borderId="35" xfId="0" applyFont="1" applyBorder="1" applyAlignment="1">
      <alignment horizontal="left" indent="1"/>
    </xf>
    <xf numFmtId="0" fontId="3" fillId="0" borderId="58" xfId="0" applyFont="1" applyBorder="1" applyAlignment="1">
      <alignment horizontal="left" indent="1"/>
    </xf>
    <xf numFmtId="0" fontId="0" fillId="0" borderId="58" xfId="0" applyBorder="1" applyAlignment="1">
      <alignment horizontal="left" indent="1"/>
    </xf>
    <xf numFmtId="2" fontId="3" fillId="10" borderId="25" xfId="0" applyNumberFormat="1" applyFont="1" applyFill="1" applyBorder="1"/>
    <xf numFmtId="171" fontId="3" fillId="10" borderId="25" xfId="0" applyNumberFormat="1" applyFont="1" applyFill="1" applyBorder="1"/>
    <xf numFmtId="1" fontId="3" fillId="10" borderId="25" xfId="0" applyNumberFormat="1" applyFont="1" applyFill="1" applyBorder="1"/>
    <xf numFmtId="0" fontId="0" fillId="0" borderId="0" xfId="0" applyFont="1" applyFill="1" applyBorder="1"/>
    <xf numFmtId="0" fontId="3" fillId="10" borderId="25" xfId="0" applyFont="1" applyFill="1" applyBorder="1"/>
    <xf numFmtId="0" fontId="3" fillId="0" borderId="0" xfId="0" applyFont="1" applyFill="1" applyBorder="1"/>
    <xf numFmtId="171" fontId="3" fillId="11" borderId="25" xfId="0" applyNumberFormat="1" applyFont="1" applyFill="1" applyBorder="1"/>
    <xf numFmtId="1" fontId="3" fillId="11" borderId="25" xfId="1" applyNumberFormat="1" applyFont="1" applyFill="1" applyBorder="1" applyAlignment="1">
      <alignment horizontal="right"/>
    </xf>
    <xf numFmtId="1" fontId="3" fillId="11" borderId="25" xfId="0" applyNumberFormat="1" applyFont="1" applyFill="1" applyBorder="1"/>
    <xf numFmtId="172" fontId="3" fillId="7" borderId="25" xfId="0" applyNumberFormat="1" applyFont="1" applyFill="1" applyBorder="1"/>
    <xf numFmtId="173" fontId="3" fillId="9" borderId="25" xfId="0" applyNumberFormat="1" applyFont="1" applyFill="1" applyBorder="1"/>
    <xf numFmtId="174" fontId="3" fillId="9" borderId="25" xfId="0" applyNumberFormat="1" applyFont="1" applyFill="1" applyBorder="1"/>
    <xf numFmtId="0" fontId="0" fillId="0" borderId="66" xfId="0" applyFill="1" applyBorder="1"/>
    <xf numFmtId="0" fontId="3" fillId="0" borderId="66" xfId="0" applyFont="1" applyFill="1" applyBorder="1"/>
    <xf numFmtId="0" fontId="19" fillId="0" borderId="29" xfId="0" applyFont="1" applyBorder="1"/>
    <xf numFmtId="0" fontId="3" fillId="0" borderId="67" xfId="0" applyFont="1" applyBorder="1"/>
    <xf numFmtId="0" fontId="3" fillId="10" borderId="25" xfId="0" applyFont="1" applyFill="1" applyBorder="1" applyAlignment="1">
      <alignment horizontal="right"/>
    </xf>
    <xf numFmtId="10" fontId="3" fillId="10" borderId="25" xfId="3" applyNumberFormat="1" applyFont="1" applyFill="1" applyBorder="1" applyAlignment="1">
      <alignment horizontal="right"/>
    </xf>
    <xf numFmtId="0" fontId="0" fillId="0" borderId="35" xfId="0" applyBorder="1"/>
    <xf numFmtId="0" fontId="0" fillId="0" borderId="0" xfId="0" applyFill="1" applyBorder="1" applyAlignment="1"/>
    <xf numFmtId="2" fontId="3" fillId="7" borderId="25" xfId="0" applyNumberFormat="1" applyFont="1" applyFill="1" applyBorder="1" applyProtection="1"/>
    <xf numFmtId="0" fontId="3" fillId="7" borderId="25" xfId="0" applyFont="1" applyFill="1" applyBorder="1" applyProtection="1"/>
    <xf numFmtId="3" fontId="3" fillId="7" borderId="46" xfId="0" applyNumberFormat="1" applyFont="1" applyFill="1" applyBorder="1"/>
    <xf numFmtId="2" fontId="3" fillId="9" borderId="25" xfId="0" applyNumberFormat="1" applyFont="1" applyFill="1" applyBorder="1"/>
    <xf numFmtId="166" fontId="3" fillId="9" borderId="25" xfId="0" applyNumberFormat="1" applyFont="1" applyFill="1" applyBorder="1"/>
    <xf numFmtId="2" fontId="0" fillId="10" borderId="25" xfId="0" applyNumberFormat="1" applyFill="1" applyBorder="1"/>
    <xf numFmtId="1" fontId="0" fillId="10" borderId="25" xfId="0" applyNumberFormat="1" applyFill="1" applyBorder="1"/>
    <xf numFmtId="171" fontId="0" fillId="10" borderId="25" xfId="0" applyNumberFormat="1" applyFill="1" applyBorder="1"/>
    <xf numFmtId="175" fontId="3" fillId="9" borderId="25" xfId="0" applyNumberFormat="1" applyFont="1" applyFill="1" applyBorder="1"/>
    <xf numFmtId="3" fontId="3" fillId="7" borderId="25" xfId="0" applyNumberFormat="1" applyFont="1" applyFill="1" applyBorder="1" applyProtection="1">
      <protection locked="0"/>
    </xf>
    <xf numFmtId="166" fontId="3" fillId="7" borderId="25" xfId="0" applyNumberFormat="1" applyFont="1" applyFill="1" applyBorder="1" applyProtection="1">
      <protection locked="0"/>
    </xf>
    <xf numFmtId="4" fontId="3" fillId="9" borderId="25" xfId="0" applyNumberFormat="1" applyFont="1" applyFill="1" applyBorder="1"/>
    <xf numFmtId="0" fontId="3" fillId="0" borderId="0" xfId="0" applyFont="1" applyBorder="1" applyAlignment="1"/>
    <xf numFmtId="164" fontId="3" fillId="9" borderId="25" xfId="0" applyNumberFormat="1" applyFont="1" applyFill="1" applyBorder="1"/>
    <xf numFmtId="0" fontId="3" fillId="0" borderId="32" xfId="0" applyFont="1" applyFill="1" applyBorder="1"/>
    <xf numFmtId="0" fontId="16" fillId="0" borderId="58" xfId="0" applyFont="1" applyBorder="1"/>
    <xf numFmtId="0" fontId="16" fillId="0" borderId="35" xfId="0" applyFont="1" applyBorder="1"/>
    <xf numFmtId="0" fontId="13" fillId="0" borderId="0" xfId="0" applyFont="1" applyBorder="1"/>
    <xf numFmtId="0" fontId="13" fillId="0" borderId="58" xfId="0" applyFont="1" applyBorder="1"/>
    <xf numFmtId="11" fontId="3" fillId="9" borderId="25" xfId="0" applyNumberFormat="1" applyFont="1" applyFill="1" applyBorder="1"/>
    <xf numFmtId="167" fontId="3" fillId="9" borderId="25" xfId="0" applyNumberFormat="1" applyFont="1" applyFill="1" applyBorder="1"/>
    <xf numFmtId="176" fontId="3" fillId="9" borderId="25" xfId="0" applyNumberFormat="1" applyFont="1" applyFill="1" applyBorder="1"/>
    <xf numFmtId="0" fontId="16" fillId="0" borderId="0" xfId="0" applyFont="1" applyBorder="1"/>
    <xf numFmtId="6" fontId="0" fillId="0" borderId="0" xfId="0" applyNumberFormat="1" applyBorder="1"/>
    <xf numFmtId="0" fontId="17" fillId="0" borderId="0" xfId="0" applyFont="1"/>
    <xf numFmtId="0" fontId="3" fillId="3" borderId="25" xfId="0" applyFont="1" applyFill="1" applyBorder="1" applyAlignment="1">
      <alignment horizontal="center" wrapText="1"/>
    </xf>
    <xf numFmtId="0" fontId="0" fillId="3" borderId="25" xfId="0" applyFill="1" applyBorder="1" applyAlignment="1">
      <alignment horizontal="center"/>
    </xf>
    <xf numFmtId="0" fontId="3" fillId="0" borderId="0" xfId="0" applyFont="1" applyFill="1" applyBorder="1" applyAlignment="1">
      <alignment horizontal="centerContinuous"/>
    </xf>
    <xf numFmtId="0" fontId="16" fillId="0" borderId="0" xfId="0" applyFont="1" applyBorder="1" applyAlignment="1">
      <alignment horizontal="center"/>
    </xf>
    <xf numFmtId="0" fontId="0" fillId="0" borderId="0" xfId="0" applyNumberFormat="1"/>
    <xf numFmtId="0" fontId="24" fillId="0" borderId="0" xfId="0" applyNumberFormat="1" applyFont="1"/>
    <xf numFmtId="2" fontId="0" fillId="3" borderId="25" xfId="0" applyNumberFormat="1" applyFill="1" applyBorder="1" applyAlignment="1">
      <alignment horizontal="center"/>
    </xf>
    <xf numFmtId="2" fontId="24" fillId="0" borderId="0" xfId="0" applyNumberFormat="1" applyFont="1" applyBorder="1" applyAlignment="1">
      <alignment horizontal="center"/>
    </xf>
    <xf numFmtId="165" fontId="0" fillId="0" borderId="0" xfId="0" applyNumberFormat="1"/>
    <xf numFmtId="0" fontId="0" fillId="0" borderId="0" xfId="0" applyBorder="1" applyAlignment="1">
      <alignment horizontal="center"/>
    </xf>
    <xf numFmtId="177" fontId="2" fillId="0" borderId="0" xfId="3" applyNumberFormat="1" applyFont="1"/>
    <xf numFmtId="0" fontId="3" fillId="3" borderId="25" xfId="0" applyFont="1" applyFill="1" applyBorder="1" applyAlignment="1">
      <alignment horizontal="center"/>
    </xf>
    <xf numFmtId="0" fontId="2" fillId="3" borderId="25" xfId="0" applyFont="1" applyFill="1" applyBorder="1" applyAlignment="1">
      <alignment horizontal="center"/>
    </xf>
    <xf numFmtId="1" fontId="0" fillId="0" borderId="0" xfId="0" applyNumberFormat="1" applyBorder="1" applyAlignment="1">
      <alignment horizontal="center"/>
    </xf>
    <xf numFmtId="1" fontId="0" fillId="3" borderId="25" xfId="0" applyNumberFormat="1" applyFill="1" applyBorder="1" applyAlignment="1">
      <alignment horizontal="center"/>
    </xf>
    <xf numFmtId="2" fontId="0" fillId="0" borderId="0" xfId="0" applyNumberFormat="1"/>
    <xf numFmtId="0" fontId="3" fillId="0" borderId="0" xfId="0" applyFont="1" applyAlignment="1">
      <alignment horizontal="center" wrapText="1"/>
    </xf>
    <xf numFmtId="9" fontId="2" fillId="0" borderId="0" xfId="3" applyAlignment="1">
      <alignment horizontal="center"/>
    </xf>
    <xf numFmtId="0" fontId="0" fillId="0" borderId="0" xfId="0" applyAlignment="1">
      <alignment horizontal="center"/>
    </xf>
    <xf numFmtId="164" fontId="0" fillId="3" borderId="25" xfId="0" applyNumberFormat="1" applyFill="1" applyBorder="1" applyAlignment="1">
      <alignment horizontal="center"/>
    </xf>
    <xf numFmtId="2" fontId="3" fillId="0" borderId="0" xfId="3" applyNumberFormat="1" applyFont="1" applyAlignment="1">
      <alignment horizontal="center"/>
    </xf>
    <xf numFmtId="0" fontId="3" fillId="0" borderId="25" xfId="0" applyFont="1" applyFill="1" applyBorder="1" applyAlignment="1">
      <alignment horizontal="center"/>
    </xf>
    <xf numFmtId="164" fontId="3" fillId="0" borderId="0" xfId="0" applyNumberFormat="1" applyFont="1" applyAlignment="1">
      <alignment horizontal="center"/>
    </xf>
    <xf numFmtId="2" fontId="3" fillId="0" borderId="0" xfId="0" applyNumberFormat="1" applyFont="1" applyAlignment="1">
      <alignment horizontal="center"/>
    </xf>
    <xf numFmtId="2" fontId="3" fillId="0" borderId="0" xfId="0" applyNumberFormat="1" applyFont="1" applyFill="1" applyAlignment="1">
      <alignment horizontal="center"/>
    </xf>
    <xf numFmtId="2" fontId="24" fillId="0" borderId="0" xfId="0" applyNumberFormat="1" applyFont="1" applyAlignment="1">
      <alignment horizontal="center"/>
    </xf>
    <xf numFmtId="10" fontId="0" fillId="3" borderId="25" xfId="0" applyNumberFormat="1" applyFill="1" applyBorder="1"/>
    <xf numFmtId="0" fontId="0" fillId="3" borderId="25" xfId="0" applyFill="1" applyBorder="1" applyAlignment="1"/>
    <xf numFmtId="165" fontId="0" fillId="3" borderId="25" xfId="0" applyNumberFormat="1" applyFill="1" applyBorder="1" applyAlignment="1">
      <alignment horizontal="center"/>
    </xf>
    <xf numFmtId="0" fontId="16" fillId="0" borderId="73" xfId="0" applyFont="1" applyBorder="1" applyAlignment="1">
      <alignment horizontal="centerContinuous"/>
    </xf>
    <xf numFmtId="0" fontId="0" fillId="0" borderId="74" xfId="0" applyBorder="1" applyAlignment="1">
      <alignment horizontal="centerContinuous"/>
    </xf>
    <xf numFmtId="0" fontId="0" fillId="0" borderId="74" xfId="0" applyBorder="1"/>
    <xf numFmtId="0" fontId="3" fillId="0" borderId="74" xfId="0" applyFont="1" applyBorder="1" applyAlignment="1">
      <alignment horizontal="centerContinuous"/>
    </xf>
    <xf numFmtId="0" fontId="0" fillId="0" borderId="75" xfId="0" applyBorder="1" applyAlignment="1">
      <alignment horizontal="centerContinuous"/>
    </xf>
    <xf numFmtId="0" fontId="0" fillId="0" borderId="0" xfId="0" applyBorder="1" applyAlignment="1">
      <alignment horizontal="centerContinuous"/>
    </xf>
    <xf numFmtId="0" fontId="0" fillId="0" borderId="76" xfId="0" applyBorder="1" applyAlignment="1">
      <alignment horizontal="right"/>
    </xf>
    <xf numFmtId="0" fontId="0" fillId="0" borderId="0" xfId="0" applyNumberFormat="1" applyBorder="1"/>
    <xf numFmtId="0" fontId="0" fillId="0" borderId="0" xfId="0" applyBorder="1" applyAlignment="1">
      <alignment horizontal="right"/>
    </xf>
    <xf numFmtId="2" fontId="0" fillId="0" borderId="0" xfId="0" applyNumberFormat="1" applyBorder="1"/>
    <xf numFmtId="2" fontId="0" fillId="0" borderId="77" xfId="0" applyNumberFormat="1" applyBorder="1"/>
    <xf numFmtId="0" fontId="3" fillId="12" borderId="73" xfId="0" applyFont="1" applyFill="1" applyBorder="1" applyAlignment="1">
      <alignment horizontal="center"/>
    </xf>
    <xf numFmtId="2" fontId="3" fillId="12" borderId="75" xfId="0" applyNumberFormat="1" applyFont="1" applyFill="1" applyBorder="1" applyAlignment="1">
      <alignment horizontal="center"/>
    </xf>
    <xf numFmtId="0" fontId="0" fillId="0" borderId="77" xfId="0" applyBorder="1"/>
    <xf numFmtId="0" fontId="3" fillId="12" borderId="76" xfId="0" applyFont="1" applyFill="1" applyBorder="1" applyAlignment="1">
      <alignment horizontal="center"/>
    </xf>
    <xf numFmtId="10" fontId="3" fillId="12" borderId="77" xfId="0" applyNumberFormat="1" applyFont="1" applyFill="1" applyBorder="1" applyAlignment="1">
      <alignment horizontal="center"/>
    </xf>
    <xf numFmtId="0" fontId="3" fillId="12" borderId="78" xfId="0" applyFont="1" applyFill="1" applyBorder="1" applyAlignment="1">
      <alignment horizontal="center"/>
    </xf>
    <xf numFmtId="10" fontId="3" fillId="12" borderId="12" xfId="0" applyNumberFormat="1" applyFont="1" applyFill="1" applyBorder="1" applyAlignment="1">
      <alignment horizontal="center"/>
    </xf>
    <xf numFmtId="0" fontId="0" fillId="0" borderId="78" xfId="0" applyBorder="1" applyAlignment="1">
      <alignment horizontal="right"/>
    </xf>
    <xf numFmtId="0" fontId="0" fillId="0" borderId="11" xfId="0" applyBorder="1"/>
    <xf numFmtId="0" fontId="0" fillId="0" borderId="11" xfId="0" applyBorder="1" applyAlignment="1">
      <alignment horizontal="right"/>
    </xf>
    <xf numFmtId="2" fontId="0" fillId="0" borderId="11" xfId="0" applyNumberFormat="1" applyBorder="1"/>
    <xf numFmtId="0" fontId="0" fillId="0" borderId="12" xfId="0" applyBorder="1"/>
    <xf numFmtId="2" fontId="3" fillId="0" borderId="0" xfId="0" applyNumberFormat="1" applyFont="1" applyAlignment="1">
      <alignment horizontal="center" wrapText="1"/>
    </xf>
    <xf numFmtId="0" fontId="3" fillId="0" borderId="0" xfId="0" applyFont="1" applyFill="1" applyAlignment="1">
      <alignment horizontal="center" wrapText="1"/>
    </xf>
    <xf numFmtId="0" fontId="2" fillId="0" borderId="0" xfId="0" applyFont="1" applyAlignment="1">
      <alignment horizontal="center" wrapText="1"/>
    </xf>
    <xf numFmtId="0" fontId="26" fillId="0" borderId="0" xfId="0" applyFont="1" applyFill="1" applyBorder="1" applyAlignment="1">
      <alignment shrinkToFit="1"/>
    </xf>
    <xf numFmtId="0" fontId="27" fillId="0" borderId="0" xfId="0" applyFont="1" applyAlignment="1">
      <alignment shrinkToFit="1"/>
    </xf>
    <xf numFmtId="0" fontId="27" fillId="0" borderId="0" xfId="0" applyFont="1" applyFill="1" applyAlignment="1">
      <alignment horizontal="center" wrapText="1"/>
    </xf>
    <xf numFmtId="0" fontId="27" fillId="0" borderId="0" xfId="0" applyFont="1" applyFill="1" applyAlignment="1">
      <alignment horizontal="center" vertical="center" wrapText="1"/>
    </xf>
    <xf numFmtId="0" fontId="0" fillId="0" borderId="0" xfId="0" applyFill="1" applyAlignment="1">
      <alignment horizontal="center" vertical="center" wrapText="1"/>
    </xf>
    <xf numFmtId="169" fontId="2" fillId="0" borderId="0" xfId="0" applyNumberFormat="1" applyFont="1" applyFill="1" applyAlignment="1">
      <alignment horizontal="right" wrapText="1"/>
    </xf>
    <xf numFmtId="1" fontId="0" fillId="0" borderId="0" xfId="0" applyNumberFormat="1"/>
    <xf numFmtId="2" fontId="2" fillId="0" borderId="0" xfId="4" applyNumberFormat="1"/>
    <xf numFmtId="2" fontId="0" fillId="0" borderId="0" xfId="0" applyNumberFormat="1" applyFill="1" applyBorder="1"/>
    <xf numFmtId="0" fontId="0" fillId="0" borderId="0" xfId="0" applyFont="1" applyAlignment="1">
      <alignment horizontal="center"/>
    </xf>
    <xf numFmtId="2" fontId="2" fillId="0" borderId="0" xfId="4" applyNumberFormat="1" applyFill="1"/>
    <xf numFmtId="0" fontId="26" fillId="0" borderId="0" xfId="0" applyFont="1" applyFill="1" applyBorder="1" applyAlignment="1">
      <alignment horizontal="center" shrinkToFit="1"/>
    </xf>
    <xf numFmtId="0" fontId="3" fillId="3" borderId="79" xfId="0" applyFont="1" applyFill="1" applyBorder="1" applyAlignment="1">
      <alignment horizontal="left"/>
    </xf>
    <xf numFmtId="0" fontId="0" fillId="0" borderId="80" xfId="0" applyBorder="1" applyAlignment="1">
      <alignment horizontal="left"/>
    </xf>
    <xf numFmtId="0" fontId="0" fillId="0" borderId="80" xfId="0" applyNumberFormat="1" applyBorder="1" applyAlignment="1">
      <alignment horizontal="right"/>
    </xf>
    <xf numFmtId="0" fontId="0" fillId="0" borderId="80" xfId="0" applyBorder="1"/>
    <xf numFmtId="10" fontId="0" fillId="0" borderId="81" xfId="0" applyNumberFormat="1" applyBorder="1"/>
    <xf numFmtId="0" fontId="0" fillId="0" borderId="82" xfId="0" applyBorder="1" applyAlignment="1">
      <alignment horizontal="left"/>
    </xf>
    <xf numFmtId="0" fontId="0" fillId="0" borderId="0" xfId="0" applyBorder="1" applyAlignment="1">
      <alignment horizontal="left"/>
    </xf>
    <xf numFmtId="0" fontId="0" fillId="0" borderId="0" xfId="0" applyNumberFormat="1" applyBorder="1" applyAlignment="1">
      <alignment horizontal="right"/>
    </xf>
    <xf numFmtId="10" fontId="0" fillId="0" borderId="83" xfId="0" applyNumberFormat="1" applyBorder="1"/>
    <xf numFmtId="0" fontId="0" fillId="0" borderId="82" xfId="0" applyBorder="1" applyAlignment="1">
      <alignment horizontal="right"/>
    </xf>
    <xf numFmtId="0" fontId="0" fillId="4" borderId="84" xfId="0" applyFill="1" applyBorder="1" applyAlignment="1">
      <alignment horizontal="right"/>
    </xf>
    <xf numFmtId="0" fontId="0" fillId="4" borderId="85" xfId="0" applyFill="1" applyBorder="1" applyAlignment="1">
      <alignment horizontal="right"/>
    </xf>
    <xf numFmtId="0" fontId="0" fillId="4" borderId="86" xfId="0" applyFill="1" applyBorder="1"/>
    <xf numFmtId="0" fontId="0" fillId="0" borderId="87" xfId="0" applyBorder="1"/>
    <xf numFmtId="10" fontId="0" fillId="0" borderId="88" xfId="0" applyNumberFormat="1" applyBorder="1"/>
    <xf numFmtId="0" fontId="0" fillId="0" borderId="89" xfId="0" applyFill="1" applyBorder="1" applyAlignment="1">
      <alignment horizontal="right"/>
    </xf>
    <xf numFmtId="0" fontId="0" fillId="0" borderId="89" xfId="0" applyFill="1" applyBorder="1"/>
    <xf numFmtId="10" fontId="0" fillId="0" borderId="89" xfId="0" applyNumberFormat="1" applyFill="1" applyBorder="1"/>
    <xf numFmtId="0" fontId="3" fillId="3" borderId="79" xfId="0" applyFont="1" applyFill="1" applyBorder="1"/>
    <xf numFmtId="0" fontId="3" fillId="0" borderId="80" xfId="0" applyFont="1" applyBorder="1"/>
    <xf numFmtId="0" fontId="0" fillId="0" borderId="81" xfId="0" applyBorder="1"/>
    <xf numFmtId="0" fontId="3" fillId="0" borderId="82" xfId="0" applyFont="1" applyBorder="1"/>
    <xf numFmtId="0" fontId="0" fillId="0" borderId="83" xfId="0" applyBorder="1"/>
    <xf numFmtId="0" fontId="2" fillId="0" borderId="82" xfId="0" applyFont="1" applyBorder="1"/>
    <xf numFmtId="0" fontId="2" fillId="0" borderId="82" xfId="0" applyFont="1" applyBorder="1" applyAlignment="1">
      <alignment horizontal="left"/>
    </xf>
    <xf numFmtId="0" fontId="2" fillId="0" borderId="0" xfId="0" applyFont="1" applyBorder="1" applyAlignment="1">
      <alignment horizontal="left"/>
    </xf>
    <xf numFmtId="0" fontId="2" fillId="0" borderId="82" xfId="0" applyFont="1" applyFill="1" applyBorder="1" applyAlignment="1">
      <alignment horizontal="left"/>
    </xf>
    <xf numFmtId="0" fontId="0" fillId="0" borderId="0" xfId="0" applyFill="1" applyBorder="1" applyAlignment="1">
      <alignment horizontal="right"/>
    </xf>
    <xf numFmtId="10" fontId="0" fillId="0" borderId="0" xfId="0" applyNumberFormat="1"/>
    <xf numFmtId="0" fontId="0" fillId="0" borderId="89" xfId="0" applyBorder="1" applyAlignment="1">
      <alignment horizontal="right"/>
    </xf>
    <xf numFmtId="0" fontId="0" fillId="0" borderId="89" xfId="0" applyBorder="1"/>
    <xf numFmtId="10" fontId="0" fillId="0" borderId="89" xfId="0" applyNumberFormat="1" applyBorder="1"/>
    <xf numFmtId="0" fontId="3" fillId="0" borderId="80" xfId="0" applyFont="1" applyFill="1" applyBorder="1" applyAlignment="1">
      <alignment horizontal="left"/>
    </xf>
    <xf numFmtId="0" fontId="2" fillId="0" borderId="0" xfId="0" applyFont="1" applyFill="1" applyBorder="1" applyAlignment="1">
      <alignment horizontal="left"/>
    </xf>
    <xf numFmtId="0" fontId="2" fillId="4" borderId="84" xfId="0" applyFont="1" applyFill="1" applyBorder="1" applyAlignment="1">
      <alignment horizontal="right"/>
    </xf>
    <xf numFmtId="0" fontId="2" fillId="4" borderId="85" xfId="0" applyFont="1" applyFill="1" applyBorder="1" applyAlignment="1">
      <alignment horizontal="right"/>
    </xf>
    <xf numFmtId="0" fontId="2" fillId="0" borderId="89" xfId="0" applyFont="1" applyFill="1" applyBorder="1" applyAlignment="1">
      <alignment horizontal="right"/>
    </xf>
    <xf numFmtId="0" fontId="3" fillId="3" borderId="90" xfId="0" applyFont="1" applyFill="1" applyBorder="1"/>
    <xf numFmtId="0" fontId="3" fillId="0" borderId="80" xfId="0" applyFont="1" applyFill="1" applyBorder="1"/>
    <xf numFmtId="0" fontId="3" fillId="0" borderId="80" xfId="0" applyFont="1" applyBorder="1" applyAlignment="1">
      <alignment horizontal="left"/>
    </xf>
    <xf numFmtId="0" fontId="0" fillId="0" borderId="0" xfId="0" applyAlignment="1">
      <alignment horizontal="left"/>
    </xf>
    <xf numFmtId="0" fontId="0" fillId="0" borderId="82" xfId="0" applyFill="1" applyBorder="1" applyAlignment="1">
      <alignment horizontal="left"/>
    </xf>
    <xf numFmtId="0" fontId="0" fillId="0" borderId="0" xfId="0" applyFill="1" applyBorder="1" applyAlignment="1">
      <alignment horizontal="left"/>
    </xf>
    <xf numFmtId="0" fontId="3" fillId="3" borderId="79" xfId="0" applyFont="1" applyFill="1" applyBorder="1" applyAlignment="1"/>
    <xf numFmtId="0" fontId="3" fillId="0" borderId="80" xfId="0" applyFont="1" applyFill="1" applyBorder="1" applyAlignment="1"/>
    <xf numFmtId="0" fontId="0" fillId="0" borderId="0" xfId="0" applyFont="1" applyFill="1" applyBorder="1" applyAlignment="1">
      <alignment horizontal="left"/>
    </xf>
    <xf numFmtId="0" fontId="0" fillId="0" borderId="82" xfId="0" applyFont="1" applyFill="1" applyBorder="1" applyAlignment="1">
      <alignment horizontal="left"/>
    </xf>
    <xf numFmtId="0" fontId="0" fillId="0" borderId="87" xfId="0" applyFill="1" applyBorder="1" applyAlignment="1">
      <alignment horizontal="right"/>
    </xf>
    <xf numFmtId="0" fontId="0" fillId="0" borderId="87" xfId="0" applyFill="1" applyBorder="1"/>
    <xf numFmtId="10" fontId="0" fillId="0" borderId="87" xfId="0" applyNumberFormat="1" applyBorder="1"/>
    <xf numFmtId="0" fontId="3" fillId="3" borderId="79" xfId="0" applyFont="1" applyFill="1" applyBorder="1" applyAlignment="1">
      <alignment wrapText="1"/>
    </xf>
    <xf numFmtId="0" fontId="2" fillId="0" borderId="82" xfId="0" applyFont="1" applyFill="1" applyBorder="1" applyAlignment="1"/>
    <xf numFmtId="0" fontId="2" fillId="0" borderId="0" xfId="0" applyFont="1" applyFill="1" applyBorder="1" applyAlignment="1"/>
    <xf numFmtId="0" fontId="0" fillId="0" borderId="0" xfId="0" applyFill="1" applyBorder="1"/>
    <xf numFmtId="10" fontId="0" fillId="0" borderId="0" xfId="0" applyNumberFormat="1" applyBorder="1"/>
    <xf numFmtId="0" fontId="0" fillId="4" borderId="85" xfId="0" applyFill="1" applyBorder="1" applyAlignment="1">
      <alignment horizontal="left"/>
    </xf>
    <xf numFmtId="0" fontId="0" fillId="4" borderId="0" xfId="0" applyFill="1" applyBorder="1" applyAlignment="1">
      <alignment horizontal="right"/>
    </xf>
    <xf numFmtId="0" fontId="0" fillId="4" borderId="0" xfId="0" applyFill="1" applyBorder="1" applyAlignment="1">
      <alignment horizontal="left"/>
    </xf>
    <xf numFmtId="0" fontId="0" fillId="4" borderId="0" xfId="0" applyFill="1" applyBorder="1"/>
    <xf numFmtId="0" fontId="0" fillId="0" borderId="88" xfId="0" applyBorder="1"/>
    <xf numFmtId="178" fontId="0" fillId="0" borderId="0" xfId="0" applyNumberFormat="1"/>
    <xf numFmtId="179" fontId="0" fillId="0" borderId="0" xfId="0" applyNumberFormat="1"/>
    <xf numFmtId="0" fontId="0" fillId="9" borderId="25" xfId="0" applyFill="1" applyBorder="1"/>
    <xf numFmtId="0" fontId="0" fillId="0" borderId="0" xfId="0" applyAlignment="1">
      <alignment horizontal="centerContinuous"/>
    </xf>
    <xf numFmtId="179" fontId="0" fillId="9" borderId="25" xfId="0" applyNumberFormat="1" applyFill="1" applyBorder="1"/>
    <xf numFmtId="0" fontId="29" fillId="0" borderId="0" xfId="0" applyFont="1"/>
    <xf numFmtId="0" fontId="30" fillId="0" borderId="0" xfId="0" applyFont="1"/>
    <xf numFmtId="0" fontId="0" fillId="2" borderId="0" xfId="0" applyFill="1" applyBorder="1"/>
    <xf numFmtId="0" fontId="2" fillId="0" borderId="0" xfId="0" applyFont="1" applyFill="1"/>
    <xf numFmtId="0" fontId="0" fillId="0" borderId="0" xfId="0" applyFill="1"/>
    <xf numFmtId="0" fontId="3" fillId="9" borderId="25" xfId="0" applyFont="1" applyFill="1" applyBorder="1" applyAlignment="1">
      <alignment horizontal="right"/>
    </xf>
    <xf numFmtId="1" fontId="0" fillId="9" borderId="25" xfId="0" applyNumberFormat="1" applyFill="1" applyBorder="1" applyAlignment="1">
      <alignment horizontal="right"/>
    </xf>
    <xf numFmtId="1" fontId="0" fillId="0" borderId="66" xfId="0" applyNumberFormat="1" applyFill="1" applyBorder="1" applyAlignment="1">
      <alignment horizontal="right"/>
    </xf>
    <xf numFmtId="0" fontId="31" fillId="13" borderId="91" xfId="0" applyFont="1" applyFill="1" applyBorder="1" applyAlignment="1">
      <alignment horizontal="center" vertical="center" wrapText="1"/>
    </xf>
    <xf numFmtId="171" fontId="32" fillId="14" borderId="91" xfId="0" applyNumberFormat="1" applyFont="1" applyFill="1" applyBorder="1" applyAlignment="1">
      <alignment wrapText="1"/>
    </xf>
    <xf numFmtId="1" fontId="0" fillId="0" borderId="66" xfId="0" applyNumberFormat="1" applyFill="1" applyBorder="1"/>
    <xf numFmtId="171" fontId="32" fillId="14" borderId="92" xfId="0" applyNumberFormat="1" applyFont="1" applyFill="1" applyBorder="1" applyAlignment="1">
      <alignment wrapText="1"/>
    </xf>
    <xf numFmtId="171" fontId="32" fillId="14" borderId="93" xfId="0" applyNumberFormat="1" applyFont="1" applyFill="1" applyBorder="1" applyAlignment="1">
      <alignment wrapText="1"/>
    </xf>
    <xf numFmtId="171" fontId="32" fillId="0" borderId="25" xfId="0" applyNumberFormat="1" applyFont="1" applyFill="1" applyBorder="1" applyAlignment="1">
      <alignment wrapText="1"/>
    </xf>
    <xf numFmtId="171" fontId="33" fillId="0" borderId="25" xfId="0" applyNumberFormat="1" applyFont="1" applyFill="1" applyBorder="1"/>
    <xf numFmtId="171" fontId="32" fillId="14" borderId="25" xfId="0" applyNumberFormat="1" applyFont="1" applyFill="1" applyBorder="1" applyAlignment="1">
      <alignment wrapText="1"/>
    </xf>
    <xf numFmtId="171" fontId="33" fillId="0" borderId="0" xfId="0" applyNumberFormat="1" applyFont="1"/>
    <xf numFmtId="171" fontId="0" fillId="0" borderId="25" xfId="0" applyNumberFormat="1" applyBorder="1"/>
    <xf numFmtId="171" fontId="0" fillId="15" borderId="25" xfId="0" applyNumberFormat="1" applyFill="1" applyBorder="1"/>
    <xf numFmtId="1" fontId="0" fillId="0" borderId="0" xfId="0" applyNumberFormat="1" applyFill="1" applyBorder="1"/>
    <xf numFmtId="171" fontId="0" fillId="0" borderId="25" xfId="0" applyNumberFormat="1" applyFill="1" applyBorder="1"/>
    <xf numFmtId="171" fontId="32" fillId="14" borderId="94" xfId="0" applyNumberFormat="1" applyFont="1" applyFill="1" applyBorder="1" applyAlignment="1">
      <alignment wrapText="1"/>
    </xf>
    <xf numFmtId="171" fontId="32" fillId="14" borderId="95" xfId="0" applyNumberFormat="1" applyFont="1" applyFill="1" applyBorder="1" applyAlignment="1">
      <alignment wrapText="1"/>
    </xf>
    <xf numFmtId="171" fontId="33" fillId="0" borderId="25" xfId="0" applyNumberFormat="1" applyFont="1" applyBorder="1"/>
    <xf numFmtId="171" fontId="33" fillId="0" borderId="10" xfId="0" applyNumberFormat="1" applyFont="1" applyFill="1" applyBorder="1"/>
    <xf numFmtId="171" fontId="32" fillId="14" borderId="46" xfId="0" applyNumberFormat="1" applyFont="1" applyFill="1" applyBorder="1" applyAlignment="1">
      <alignment wrapText="1"/>
    </xf>
    <xf numFmtId="171" fontId="32" fillId="0" borderId="46" xfId="0" applyNumberFormat="1" applyFont="1" applyFill="1" applyBorder="1" applyAlignment="1">
      <alignment wrapText="1"/>
    </xf>
    <xf numFmtId="171" fontId="33" fillId="0" borderId="46" xfId="0" applyNumberFormat="1" applyFont="1" applyFill="1" applyBorder="1"/>
    <xf numFmtId="0" fontId="30" fillId="0" borderId="0" xfId="0" applyFont="1" applyFill="1"/>
    <xf numFmtId="171" fontId="33" fillId="9" borderId="25" xfId="0" applyNumberFormat="1" applyFont="1" applyFill="1" applyBorder="1"/>
    <xf numFmtId="171" fontId="33" fillId="3" borderId="25" xfId="0" applyNumberFormat="1" applyFont="1" applyFill="1" applyBorder="1"/>
    <xf numFmtId="171" fontId="32" fillId="3" borderId="91" xfId="0" applyNumberFormat="1" applyFont="1" applyFill="1" applyBorder="1" applyAlignment="1">
      <alignment wrapText="1"/>
    </xf>
    <xf numFmtId="171" fontId="32" fillId="0" borderId="91" xfId="0" applyNumberFormat="1" applyFont="1" applyFill="1" applyBorder="1" applyAlignment="1">
      <alignment wrapText="1"/>
    </xf>
    <xf numFmtId="0" fontId="0" fillId="9" borderId="0" xfId="0" applyFill="1" applyBorder="1"/>
    <xf numFmtId="0" fontId="3" fillId="0" borderId="0" xfId="0" applyFont="1" applyAlignment="1" applyProtection="1">
      <alignment horizontal="centerContinuous"/>
      <protection locked="0"/>
    </xf>
    <xf numFmtId="0" fontId="0" fillId="0" borderId="0" xfId="0" applyAlignment="1" applyProtection="1">
      <alignment horizontal="centerContinuous"/>
      <protection locked="0"/>
    </xf>
    <xf numFmtId="0" fontId="0" fillId="0" borderId="0" xfId="0" applyProtection="1">
      <protection locked="0"/>
    </xf>
    <xf numFmtId="0" fontId="4" fillId="0" borderId="0" xfId="0" applyFont="1" applyAlignment="1" applyProtection="1">
      <alignment horizontal="centerContinuous" wrapText="1"/>
      <protection locked="0"/>
    </xf>
    <xf numFmtId="0" fontId="3" fillId="2" borderId="1" xfId="0" applyFont="1" applyFill="1" applyBorder="1" applyAlignment="1" applyProtection="1">
      <alignment horizontal="left"/>
      <protection locked="0"/>
    </xf>
    <xf numFmtId="0" fontId="3" fillId="0" borderId="0" xfId="0" applyFont="1" applyAlignment="1" applyProtection="1">
      <alignment horizontal="left"/>
      <protection locked="0"/>
    </xf>
    <xf numFmtId="0" fontId="3" fillId="3" borderId="1" xfId="0" applyFont="1" applyFill="1" applyBorder="1" applyAlignment="1" applyProtection="1">
      <alignment horizontal="centerContinuous"/>
      <protection locked="0"/>
    </xf>
    <xf numFmtId="0" fontId="0" fillId="3" borderId="1" xfId="0" applyFill="1" applyBorder="1" applyAlignment="1" applyProtection="1">
      <alignment horizontal="centerContinuous"/>
      <protection locked="0"/>
    </xf>
    <xf numFmtId="0" fontId="3" fillId="3" borderId="1" xfId="0" applyFont="1" applyFill="1" applyBorder="1" applyAlignment="1" applyProtection="1">
      <alignment horizontal="center" wrapText="1"/>
      <protection locked="0"/>
    </xf>
    <xf numFmtId="0" fontId="3" fillId="4" borderId="1" xfId="0" applyFont="1" applyFill="1" applyBorder="1" applyAlignment="1" applyProtection="1">
      <alignment horizontal="centerContinuous" wrapText="1"/>
      <protection locked="0"/>
    </xf>
    <xf numFmtId="0" fontId="3" fillId="3" borderId="2" xfId="0" applyFont="1" applyFill="1" applyBorder="1" applyAlignment="1" applyProtection="1">
      <alignment horizontal="left" vertical="center"/>
      <protection locked="0"/>
    </xf>
    <xf numFmtId="0" fontId="3" fillId="3" borderId="3" xfId="0" applyFont="1" applyFill="1" applyBorder="1" applyAlignment="1" applyProtection="1">
      <alignment horizontal="centerContinuous" vertical="center" wrapText="1"/>
      <protection locked="0"/>
    </xf>
    <xf numFmtId="0" fontId="3" fillId="3" borderId="4" xfId="0" applyFont="1" applyFill="1" applyBorder="1" applyProtection="1">
      <protection locked="0"/>
    </xf>
    <xf numFmtId="0" fontId="3" fillId="3" borderId="6" xfId="0" applyFont="1" applyFill="1" applyBorder="1" applyProtection="1">
      <protection locked="0"/>
    </xf>
    <xf numFmtId="0" fontId="0" fillId="0" borderId="0" xfId="0" quotePrefix="1" applyProtection="1">
      <protection locked="0"/>
    </xf>
    <xf numFmtId="0" fontId="0" fillId="0" borderId="9" xfId="0" applyBorder="1" applyProtection="1">
      <protection locked="0"/>
    </xf>
    <xf numFmtId="0" fontId="0" fillId="0" borderId="10" xfId="0" applyBorder="1" applyProtection="1">
      <protection locked="0"/>
    </xf>
    <xf numFmtId="0" fontId="3" fillId="0" borderId="0" xfId="0" applyFont="1" applyFill="1" applyBorder="1" applyProtection="1">
      <protection locked="0"/>
    </xf>
    <xf numFmtId="164" fontId="3" fillId="0" borderId="0" xfId="0" applyNumberFormat="1" applyFont="1" applyFill="1" applyBorder="1" applyProtection="1">
      <protection locked="0"/>
    </xf>
    <xf numFmtId="0" fontId="2" fillId="0" borderId="0" xfId="0" applyFont="1" applyFill="1" applyBorder="1" applyProtection="1">
      <protection locked="0"/>
    </xf>
    <xf numFmtId="1" fontId="3" fillId="0" borderId="0" xfId="0" applyNumberFormat="1" applyFont="1" applyFill="1" applyBorder="1" applyProtection="1">
      <protection locked="0"/>
    </xf>
    <xf numFmtId="165" fontId="3" fillId="0" borderId="0" xfId="0" applyNumberFormat="1" applyFont="1" applyFill="1" applyBorder="1" applyProtection="1">
      <protection locked="0"/>
    </xf>
    <xf numFmtId="0" fontId="3" fillId="3" borderId="14" xfId="0" applyFont="1" applyFill="1" applyBorder="1" applyProtection="1">
      <protection locked="0"/>
    </xf>
    <xf numFmtId="0" fontId="3" fillId="3" borderId="16" xfId="0" applyFont="1" applyFill="1" applyBorder="1" applyProtection="1">
      <protection locked="0"/>
    </xf>
    <xf numFmtId="0" fontId="3" fillId="6" borderId="18" xfId="0" applyFont="1" applyFill="1" applyBorder="1" applyAlignment="1" applyProtection="1">
      <alignment horizontal="centerContinuous"/>
      <protection locked="0"/>
    </xf>
    <xf numFmtId="0" fontId="0" fillId="6" borderId="19" xfId="0" applyFill="1" applyBorder="1" applyAlignment="1" applyProtection="1">
      <alignment horizontal="centerContinuous"/>
      <protection locked="0"/>
    </xf>
    <xf numFmtId="0" fontId="3" fillId="7" borderId="20" xfId="0" applyFont="1" applyFill="1" applyBorder="1" applyAlignment="1" applyProtection="1">
      <alignment horizontal="left"/>
      <protection locked="0"/>
    </xf>
    <xf numFmtId="166" fontId="3" fillId="7" borderId="3" xfId="0" applyNumberFormat="1" applyFont="1" applyFill="1" applyBorder="1" applyProtection="1">
      <protection locked="0"/>
    </xf>
    <xf numFmtId="0" fontId="3" fillId="7" borderId="6" xfId="0" applyFont="1" applyFill="1" applyBorder="1" applyAlignment="1" applyProtection="1">
      <alignment horizontal="left"/>
      <protection locked="0"/>
    </xf>
    <xf numFmtId="166" fontId="3" fillId="7" borderId="7" xfId="0" applyNumberFormat="1" applyFont="1" applyFill="1" applyBorder="1" applyProtection="1">
      <protection locked="0"/>
    </xf>
    <xf numFmtId="0" fontId="3" fillId="7" borderId="6" xfId="0" applyFont="1" applyFill="1" applyBorder="1" applyProtection="1">
      <protection locked="0"/>
    </xf>
    <xf numFmtId="3" fontId="3" fillId="7" borderId="7" xfId="0" applyNumberFormat="1" applyFont="1" applyFill="1" applyBorder="1" applyProtection="1">
      <protection locked="0"/>
    </xf>
    <xf numFmtId="0" fontId="3" fillId="7" borderId="16" xfId="0" applyFont="1" applyFill="1" applyBorder="1" applyProtection="1">
      <protection locked="0"/>
    </xf>
    <xf numFmtId="10" fontId="3" fillId="7" borderId="17" xfId="0" applyNumberFormat="1" applyFont="1" applyFill="1" applyBorder="1" applyProtection="1">
      <protection locked="0"/>
    </xf>
    <xf numFmtId="0" fontId="3" fillId="0" borderId="0" xfId="0" applyFont="1" applyProtection="1">
      <protection locked="0"/>
    </xf>
    <xf numFmtId="10" fontId="3" fillId="0" borderId="0" xfId="0" applyNumberFormat="1" applyFont="1" applyProtection="1">
      <protection locked="0"/>
    </xf>
    <xf numFmtId="0" fontId="3" fillId="7" borderId="21" xfId="0" applyFont="1" applyFill="1" applyBorder="1" applyAlignment="1" applyProtection="1">
      <alignment horizontal="center"/>
      <protection locked="0"/>
    </xf>
    <xf numFmtId="167" fontId="3" fillId="7" borderId="22" xfId="0" applyNumberFormat="1" applyFont="1" applyFill="1" applyBorder="1" applyProtection="1">
      <protection locked="0"/>
    </xf>
    <xf numFmtId="0" fontId="3" fillId="7" borderId="23" xfId="0" applyFont="1" applyFill="1" applyBorder="1" applyAlignment="1" applyProtection="1">
      <alignment horizontal="center"/>
      <protection locked="0"/>
    </xf>
    <xf numFmtId="0" fontId="3" fillId="7" borderId="4" xfId="0" applyFont="1" applyFill="1" applyBorder="1" applyAlignment="1" applyProtection="1">
      <alignment horizontal="right"/>
      <protection locked="0"/>
    </xf>
    <xf numFmtId="167" fontId="3" fillId="7" borderId="24" xfId="0" applyNumberFormat="1" applyFont="1" applyFill="1" applyBorder="1" applyProtection="1">
      <protection locked="0"/>
    </xf>
    <xf numFmtId="10" fontId="3" fillId="7" borderId="5" xfId="0" applyNumberFormat="1" applyFont="1" applyFill="1" applyBorder="1" applyProtection="1">
      <protection locked="0"/>
    </xf>
    <xf numFmtId="0" fontId="3" fillId="7" borderId="6" xfId="0" applyFont="1" applyFill="1" applyBorder="1" applyAlignment="1" applyProtection="1">
      <alignment horizontal="right"/>
      <protection locked="0"/>
    </xf>
    <xf numFmtId="167" fontId="3" fillId="7" borderId="25" xfId="0" applyNumberFormat="1" applyFont="1" applyFill="1" applyBorder="1" applyProtection="1">
      <protection locked="0"/>
    </xf>
    <xf numFmtId="10" fontId="3" fillId="7" borderId="7" xfId="0" applyNumberFormat="1" applyFont="1" applyFill="1" applyBorder="1" applyProtection="1">
      <protection locked="0"/>
    </xf>
    <xf numFmtId="0" fontId="3" fillId="7" borderId="16" xfId="0" applyFont="1" applyFill="1" applyBorder="1" applyAlignment="1" applyProtection="1">
      <alignment horizontal="right"/>
      <protection locked="0"/>
    </xf>
    <xf numFmtId="167" fontId="3" fillId="7" borderId="26" xfId="0" applyNumberFormat="1" applyFont="1" applyFill="1" applyBorder="1" applyProtection="1">
      <protection locked="0"/>
    </xf>
    <xf numFmtId="171" fontId="0" fillId="0" borderId="0" xfId="0" applyNumberFormat="1"/>
    <xf numFmtId="0" fontId="25" fillId="0" borderId="0" xfId="0" applyFont="1" applyAlignment="1">
      <alignment vertical="center"/>
    </xf>
    <xf numFmtId="0" fontId="1" fillId="0" borderId="0" xfId="0" applyFont="1" applyAlignment="1">
      <alignment wrapText="1" shrinkToFit="1"/>
    </xf>
    <xf numFmtId="0" fontId="2" fillId="0" borderId="0" xfId="0" applyFont="1"/>
    <xf numFmtId="0" fontId="34" fillId="0" borderId="0" xfId="0" applyFont="1" applyFill="1" applyBorder="1" applyAlignment="1" applyProtection="1">
      <alignment horizontal="center" wrapText="1"/>
    </xf>
    <xf numFmtId="0" fontId="3" fillId="0" borderId="1" xfId="0" applyFont="1" applyBorder="1" applyAlignment="1" applyProtection="1">
      <alignment horizontal="center"/>
    </xf>
    <xf numFmtId="0" fontId="3" fillId="0" borderId="8" xfId="0" applyFont="1" applyFill="1" applyBorder="1" applyAlignment="1" applyProtection="1"/>
    <xf numFmtId="179" fontId="0" fillId="0" borderId="0" xfId="0" applyNumberFormat="1" applyFill="1"/>
    <xf numFmtId="180" fontId="11" fillId="0" borderId="25" xfId="0" applyNumberFormat="1" applyFont="1" applyBorder="1" applyAlignment="1">
      <alignment horizontal="right"/>
    </xf>
    <xf numFmtId="180" fontId="11" fillId="0" borderId="0" xfId="0" applyNumberFormat="1" applyFont="1" applyAlignment="1">
      <alignment horizontal="right"/>
    </xf>
    <xf numFmtId="180" fontId="0" fillId="0" borderId="25" xfId="0" applyNumberFormat="1" applyBorder="1"/>
    <xf numFmtId="180" fontId="0" fillId="15" borderId="25" xfId="0" applyNumberFormat="1" applyFill="1" applyBorder="1"/>
    <xf numFmtId="0" fontId="3" fillId="0" borderId="0" xfId="0" applyFont="1" applyAlignment="1"/>
    <xf numFmtId="171" fontId="32" fillId="16" borderId="91" xfId="0" applyNumberFormat="1" applyFont="1" applyFill="1" applyBorder="1" applyAlignment="1">
      <alignment wrapText="1"/>
    </xf>
    <xf numFmtId="171" fontId="33" fillId="16" borderId="95" xfId="0" applyNumberFormat="1" applyFont="1" applyFill="1" applyBorder="1"/>
    <xf numFmtId="171" fontId="32" fillId="16" borderId="92" xfId="0" applyNumberFormat="1" applyFont="1" applyFill="1" applyBorder="1" applyAlignment="1">
      <alignment wrapText="1"/>
    </xf>
    <xf numFmtId="171" fontId="32" fillId="16" borderId="93" xfId="0" applyNumberFormat="1" applyFont="1" applyFill="1" applyBorder="1" applyAlignment="1">
      <alignment wrapText="1"/>
    </xf>
    <xf numFmtId="171" fontId="32" fillId="16" borderId="25" xfId="0" applyNumberFormat="1" applyFont="1" applyFill="1" applyBorder="1" applyAlignment="1">
      <alignment wrapText="1"/>
    </xf>
    <xf numFmtId="171" fontId="33" fillId="16" borderId="25" xfId="0" applyNumberFormat="1" applyFont="1" applyFill="1" applyBorder="1"/>
    <xf numFmtId="171" fontId="33" fillId="16" borderId="0" xfId="0" applyNumberFormat="1" applyFont="1" applyFill="1"/>
    <xf numFmtId="171" fontId="32" fillId="16" borderId="46" xfId="0" applyNumberFormat="1" applyFont="1" applyFill="1" applyBorder="1" applyAlignment="1">
      <alignment wrapText="1"/>
    </xf>
    <xf numFmtId="171" fontId="33" fillId="16" borderId="46" xfId="0" applyNumberFormat="1" applyFont="1" applyFill="1" applyBorder="1"/>
    <xf numFmtId="171" fontId="0" fillId="16" borderId="25" xfId="0" applyNumberFormat="1" applyFill="1" applyBorder="1"/>
    <xf numFmtId="171" fontId="11" fillId="16" borderId="25" xfId="0" applyNumberFormat="1" applyFont="1" applyFill="1" applyBorder="1" applyAlignment="1">
      <alignment horizontal="right"/>
    </xf>
    <xf numFmtId="171" fontId="11" fillId="0" borderId="25" xfId="0" applyNumberFormat="1" applyFont="1" applyBorder="1" applyAlignment="1">
      <alignment horizontal="right"/>
    </xf>
    <xf numFmtId="180" fontId="0" fillId="17" borderId="25" xfId="0" applyNumberFormat="1" applyFill="1" applyBorder="1"/>
    <xf numFmtId="171" fontId="0" fillId="17" borderId="25" xfId="0" applyNumberFormat="1" applyFill="1" applyBorder="1"/>
    <xf numFmtId="0" fontId="0" fillId="15" borderId="25" xfId="0" applyFill="1" applyBorder="1"/>
    <xf numFmtId="0" fontId="35" fillId="16" borderId="96" xfId="0" applyFont="1" applyFill="1" applyBorder="1" applyAlignment="1">
      <alignment horizontal="left" vertical="center"/>
    </xf>
    <xf numFmtId="0" fontId="35" fillId="16" borderId="0" xfId="0" applyFont="1" applyFill="1" applyBorder="1" applyAlignment="1">
      <alignment horizontal="left" vertical="center" wrapText="1"/>
    </xf>
    <xf numFmtId="0" fontId="35" fillId="16" borderId="97" xfId="0" applyFont="1" applyFill="1" applyBorder="1" applyAlignment="1">
      <alignment horizontal="left" vertical="center" wrapText="1"/>
    </xf>
    <xf numFmtId="171" fontId="32" fillId="16" borderId="94" xfId="0" applyNumberFormat="1" applyFont="1" applyFill="1" applyBorder="1" applyAlignment="1">
      <alignment wrapText="1"/>
    </xf>
    <xf numFmtId="0" fontId="0" fillId="0" borderId="61" xfId="0" applyFill="1" applyBorder="1"/>
    <xf numFmtId="0" fontId="5" fillId="5" borderId="11"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0" fontId="7" fillId="0" borderId="13" xfId="0" applyFont="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3" fillId="0" borderId="0" xfId="0" applyFont="1" applyAlignment="1" applyProtection="1">
      <alignment horizontal="center"/>
      <protection locked="0"/>
    </xf>
    <xf numFmtId="0" fontId="3" fillId="7" borderId="40" xfId="0" applyFont="1" applyFill="1" applyBorder="1" applyAlignment="1"/>
    <xf numFmtId="0" fontId="3" fillId="7" borderId="25" xfId="0" applyFont="1" applyFill="1" applyBorder="1" applyAlignment="1"/>
    <xf numFmtId="0" fontId="3" fillId="9" borderId="40" xfId="0" applyFont="1" applyFill="1" applyBorder="1" applyAlignment="1"/>
    <xf numFmtId="0" fontId="3" fillId="9" borderId="25" xfId="0" applyFont="1" applyFill="1" applyBorder="1" applyAlignment="1"/>
    <xf numFmtId="0" fontId="2" fillId="7" borderId="25" xfId="0" applyFont="1" applyFill="1" applyBorder="1" applyAlignment="1"/>
    <xf numFmtId="0" fontId="3" fillId="9" borderId="42" xfId="0" applyFont="1" applyFill="1" applyBorder="1" applyAlignment="1">
      <alignment wrapText="1"/>
    </xf>
    <xf numFmtId="0" fontId="3" fillId="9" borderId="10" xfId="0" applyFont="1" applyFill="1" applyBorder="1" applyAlignment="1">
      <alignment wrapText="1"/>
    </xf>
    <xf numFmtId="0" fontId="3" fillId="9" borderId="47" xfId="0" applyFont="1" applyFill="1" applyBorder="1" applyAlignment="1">
      <alignment wrapText="1"/>
    </xf>
    <xf numFmtId="0" fontId="0" fillId="9" borderId="46" xfId="0" applyFill="1" applyBorder="1" applyAlignment="1">
      <alignment wrapText="1"/>
    </xf>
    <xf numFmtId="0" fontId="0" fillId="9" borderId="72" xfId="0" applyFill="1" applyBorder="1" applyAlignment="1">
      <alignment wrapText="1"/>
    </xf>
    <xf numFmtId="0" fontId="0" fillId="9" borderId="24" xfId="0" applyFill="1" applyBorder="1" applyAlignment="1">
      <alignment wrapText="1"/>
    </xf>
    <xf numFmtId="166" fontId="3" fillId="9" borderId="46" xfId="0" applyNumberFormat="1" applyFont="1" applyFill="1" applyBorder="1" applyAlignment="1"/>
    <xf numFmtId="0" fontId="0" fillId="9" borderId="24" xfId="0" applyFill="1" applyBorder="1" applyAlignment="1"/>
    <xf numFmtId="0" fontId="3" fillId="9" borderId="42" xfId="0" applyFont="1" applyFill="1" applyBorder="1" applyAlignment="1"/>
    <xf numFmtId="0" fontId="3" fillId="9" borderId="10" xfId="0" applyFont="1" applyFill="1" applyBorder="1" applyAlignment="1"/>
    <xf numFmtId="0" fontId="3" fillId="7" borderId="40" xfId="0" applyFont="1" applyFill="1" applyBorder="1" applyAlignment="1">
      <alignment wrapText="1"/>
    </xf>
    <xf numFmtId="0" fontId="3" fillId="11" borderId="42" xfId="0" applyFont="1" applyFill="1" applyBorder="1" applyAlignment="1">
      <alignment horizontal="left"/>
    </xf>
    <xf numFmtId="0" fontId="3" fillId="11" borderId="10" xfId="0" applyFont="1" applyFill="1" applyBorder="1" applyAlignment="1">
      <alignment horizontal="left"/>
    </xf>
    <xf numFmtId="0" fontId="3" fillId="7" borderId="72" xfId="0" applyFont="1" applyFill="1" applyBorder="1" applyAlignment="1"/>
    <xf numFmtId="0" fontId="3" fillId="7" borderId="24" xfId="0" applyFont="1" applyFill="1" applyBorder="1" applyAlignment="1"/>
    <xf numFmtId="0" fontId="0" fillId="9" borderId="25" xfId="0" applyFill="1" applyBorder="1" applyAlignment="1"/>
    <xf numFmtId="0" fontId="0" fillId="0" borderId="25" xfId="0" applyBorder="1" applyAlignment="1"/>
    <xf numFmtId="0" fontId="3" fillId="10" borderId="67" xfId="0" applyFont="1" applyFill="1" applyBorder="1" applyAlignment="1">
      <alignment horizontal="center"/>
    </xf>
    <xf numFmtId="0" fontId="3" fillId="10" borderId="71" xfId="0" applyFont="1" applyFill="1" applyBorder="1" applyAlignment="1">
      <alignment horizontal="center"/>
    </xf>
    <xf numFmtId="0" fontId="3" fillId="0" borderId="67" xfId="0" applyFont="1" applyFill="1" applyBorder="1" applyAlignment="1">
      <alignment horizontal="left"/>
    </xf>
    <xf numFmtId="0" fontId="3" fillId="0" borderId="70" xfId="0" applyFont="1" applyFill="1" applyBorder="1" applyAlignment="1">
      <alignment horizontal="left"/>
    </xf>
    <xf numFmtId="0" fontId="0" fillId="7" borderId="25" xfId="0" applyFill="1" applyBorder="1" applyAlignment="1"/>
    <xf numFmtId="0" fontId="3" fillId="0" borderId="25" xfId="0" applyFont="1" applyBorder="1" applyAlignment="1"/>
    <xf numFmtId="0" fontId="0" fillId="0" borderId="10" xfId="0" applyBorder="1" applyAlignment="1"/>
    <xf numFmtId="0" fontId="3" fillId="7" borderId="42" xfId="0" applyFont="1" applyFill="1" applyBorder="1" applyAlignment="1"/>
    <xf numFmtId="0" fontId="3" fillId="0" borderId="10" xfId="0" applyFont="1" applyBorder="1" applyAlignment="1"/>
    <xf numFmtId="0" fontId="3" fillId="9" borderId="42" xfId="0" applyFont="1" applyFill="1" applyBorder="1" applyAlignment="1">
      <alignment horizontal="left" indent="1"/>
    </xf>
    <xf numFmtId="0" fontId="3" fillId="9" borderId="10" xfId="0" applyFont="1" applyFill="1" applyBorder="1" applyAlignment="1">
      <alignment horizontal="left" indent="1"/>
    </xf>
    <xf numFmtId="0" fontId="3" fillId="9" borderId="68" xfId="0" applyFont="1" applyFill="1" applyBorder="1" applyAlignment="1"/>
    <xf numFmtId="0" fontId="0" fillId="0" borderId="69" xfId="0" applyBorder="1" applyAlignment="1"/>
    <xf numFmtId="0" fontId="3" fillId="7" borderId="47" xfId="0" applyFont="1" applyFill="1" applyBorder="1" applyAlignment="1"/>
    <xf numFmtId="0" fontId="3" fillId="0" borderId="46" xfId="0" applyFont="1" applyBorder="1" applyAlignment="1"/>
    <xf numFmtId="0" fontId="0" fillId="9" borderId="10" xfId="0" applyFill="1" applyBorder="1" applyAlignment="1"/>
    <xf numFmtId="0" fontId="3" fillId="11" borderId="40" xfId="0" applyFont="1" applyFill="1" applyBorder="1" applyAlignment="1"/>
    <xf numFmtId="0" fontId="3" fillId="11" borderId="25" xfId="0" applyFont="1" applyFill="1" applyBorder="1" applyAlignment="1"/>
    <xf numFmtId="0" fontId="3" fillId="7" borderId="40" xfId="0" applyFont="1" applyFill="1" applyBorder="1" applyAlignment="1">
      <alignment horizontal="left"/>
    </xf>
    <xf numFmtId="0" fontId="0" fillId="7" borderId="25" xfId="0" applyFill="1" applyBorder="1" applyAlignment="1">
      <alignment horizontal="left"/>
    </xf>
    <xf numFmtId="0" fontId="3" fillId="7" borderId="25" xfId="0" applyFont="1" applyFill="1" applyBorder="1" applyAlignment="1">
      <alignment horizontal="left"/>
    </xf>
    <xf numFmtId="0" fontId="3" fillId="0" borderId="32" xfId="0" applyFont="1" applyBorder="1" applyAlignment="1">
      <alignment horizontal="left"/>
    </xf>
    <xf numFmtId="0" fontId="0" fillId="0" borderId="0" xfId="0" applyBorder="1" applyAlignment="1"/>
    <xf numFmtId="0" fontId="3" fillId="7" borderId="25" xfId="0" applyFont="1" applyFill="1" applyBorder="1" applyAlignment="1">
      <alignment wrapText="1"/>
    </xf>
    <xf numFmtId="0" fontId="0" fillId="4" borderId="8" xfId="0" applyFill="1" applyBorder="1" applyAlignment="1"/>
    <xf numFmtId="0" fontId="0" fillId="4" borderId="9" xfId="0" applyFill="1" applyBorder="1" applyAlignment="1"/>
    <xf numFmtId="0" fontId="0" fillId="4" borderId="10" xfId="0" applyFill="1" applyBorder="1" applyAlignment="1"/>
    <xf numFmtId="0" fontId="0" fillId="4" borderId="25" xfId="0" applyFill="1" applyBorder="1" applyAlignment="1"/>
    <xf numFmtId="0" fontId="3" fillId="0" borderId="62" xfId="0" applyFont="1" applyFill="1" applyBorder="1" applyAlignment="1">
      <alignment horizontal="center" wrapText="1"/>
    </xf>
    <xf numFmtId="0" fontId="0" fillId="0" borderId="63" xfId="0" applyBorder="1" applyAlignment="1">
      <alignment horizontal="center" wrapText="1"/>
    </xf>
    <xf numFmtId="0" fontId="3" fillId="0" borderId="2" xfId="0" applyFont="1" applyFill="1" applyBorder="1" applyAlignment="1">
      <alignment horizontal="center" wrapText="1"/>
    </xf>
    <xf numFmtId="0" fontId="3" fillId="0" borderId="32" xfId="0" applyFont="1" applyBorder="1" applyAlignment="1">
      <alignment wrapText="1"/>
    </xf>
    <xf numFmtId="0" fontId="0" fillId="0" borderId="0" xfId="0" applyBorder="1" applyAlignment="1">
      <alignment wrapText="1"/>
    </xf>
    <xf numFmtId="0" fontId="0" fillId="0" borderId="61" xfId="0" applyBorder="1" applyAlignment="1">
      <alignment wrapText="1"/>
    </xf>
    <xf numFmtId="0" fontId="3" fillId="0" borderId="11" xfId="0" applyFont="1" applyBorder="1" applyAlignment="1">
      <alignment horizontal="center"/>
    </xf>
    <xf numFmtId="0" fontId="0" fillId="0" borderId="11" xfId="0" applyBorder="1" applyAlignment="1">
      <alignment horizontal="center"/>
    </xf>
    <xf numFmtId="0" fontId="16" fillId="0" borderId="58" xfId="0" applyFont="1" applyBorder="1" applyAlignment="1"/>
    <xf numFmtId="0" fontId="0" fillId="0" borderId="58" xfId="0" applyBorder="1" applyAlignment="1"/>
    <xf numFmtId="0" fontId="0" fillId="0" borderId="0" xfId="0" applyAlignment="1">
      <alignment horizontal="right"/>
    </xf>
  </cellXfs>
  <cellStyles count="5">
    <cellStyle name="Comma" xfId="1" builtinId="3"/>
    <cellStyle name="Currency" xfId="2" builtinId="4"/>
    <cellStyle name="Normal" xfId="0" builtinId="0"/>
    <cellStyle name="Normal 3" xfId="4"/>
    <cellStyle name="Percent" xfId="3" builtinId="5"/>
  </cellStyles>
  <dxfs count="9">
    <dxf>
      <font>
        <b/>
        <i val="0"/>
      </font>
      <fill>
        <patternFill>
          <bgColor rgb="FFFF0000"/>
        </patternFill>
      </fill>
      <border>
        <left style="thin">
          <color auto="1"/>
        </left>
        <right style="thin">
          <color auto="1"/>
        </right>
        <top style="thin">
          <color auto="1"/>
        </top>
        <bottom style="thin">
          <color auto="1"/>
        </bottom>
      </border>
    </dxf>
    <dxf>
      <font>
        <condense val="0"/>
        <extend val="0"/>
        <color indexed="10"/>
      </font>
    </dxf>
    <dxf>
      <font>
        <condense val="0"/>
        <extend val="0"/>
        <color indexed="57"/>
      </font>
    </dxf>
    <dxf>
      <font>
        <condense val="0"/>
        <extend val="0"/>
        <color indexed="10"/>
      </font>
      <fill>
        <patternFill patternType="none">
          <bgColor indexed="65"/>
        </patternFill>
      </fill>
    </dxf>
    <dxf>
      <font>
        <condense val="0"/>
        <extend val="0"/>
        <color indexed="57"/>
      </font>
      <fill>
        <patternFill patternType="none">
          <bgColor indexed="65"/>
        </patternFill>
      </fill>
    </dxf>
    <dxf>
      <font>
        <condense val="0"/>
        <extend val="0"/>
      </font>
      <fill>
        <patternFill>
          <bgColor indexed="10"/>
        </patternFill>
      </fill>
    </dxf>
    <dxf>
      <font>
        <condense val="0"/>
        <extend val="0"/>
        <color auto="1"/>
      </font>
      <fill>
        <patternFill>
          <bgColor indexed="11"/>
        </patternFill>
      </fill>
    </dxf>
    <dxf>
      <font>
        <condense val="0"/>
        <extend val="0"/>
        <color indexed="10"/>
      </font>
      <fill>
        <patternFill patternType="none">
          <bgColor indexed="65"/>
        </patternFill>
      </fill>
    </dxf>
    <dxf>
      <font>
        <condense val="0"/>
        <extend val="0"/>
        <color indexed="11"/>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en-US"/>
              <a:t>Land Based COE Cost Breakdown</a:t>
            </a:r>
          </a:p>
        </c:rich>
      </c:tx>
      <c:layout>
        <c:manualLayout>
          <c:xMode val="edge"/>
          <c:yMode val="edge"/>
          <c:x val="0.15063517060367437"/>
          <c:y val="3.5190615835777136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8130671506352173"/>
          <c:y val="0.43401759530791945"/>
          <c:w val="0.43920145190562632"/>
          <c:h val="0.28445747800586613"/>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Lbls>
            <c:dLbl>
              <c:idx val="0"/>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1"/>
              <c:layout>
                <c:manualLayout>
                  <c:x val="-0.26592032620241973"/>
                  <c:y val="-9.3449711747908004E-2"/>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2"/>
              <c:layout>
                <c:manualLayout>
                  <c:x val="-1.4134548970852314E-2"/>
                  <c:y val="-0.10072490205586479"/>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3"/>
              <c:layout>
                <c:manualLayout>
                  <c:x val="-8.8352458664990252E-2"/>
                  <c:y val="-1.7601465505961611E-3"/>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4"/>
              <c:layout>
                <c:manualLayout>
                  <c:x val="-0.1347593256832007"/>
                  <c:y val="-6.3923461180255728E-2"/>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5"/>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6"/>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dLbl>
            <c:dLbl>
              <c:idx val="7"/>
              <c:numFmt formatCode="0%"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dLbl>
            <c:numFmt formatCode="0%" sourceLinked="0"/>
            <c:spPr>
              <a:noFill/>
              <a:ln w="25400">
                <a:noFill/>
              </a:ln>
            </c:spPr>
            <c:txPr>
              <a:bodyPr/>
              <a:lstStyle/>
              <a:p>
                <a:pPr>
                  <a:defRPr sz="147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Summary'!$A$37:$A$42</c:f>
              <c:strCache>
                <c:ptCount val="6"/>
                <c:pt idx="0">
                  <c:v>Turbine</c:v>
                </c:pt>
                <c:pt idx="1">
                  <c:v>Foundation</c:v>
                </c:pt>
                <c:pt idx="2">
                  <c:v>Misc BOS</c:v>
                </c:pt>
                <c:pt idx="3">
                  <c:v>Electrical Infrastructure</c:v>
                </c:pt>
                <c:pt idx="4">
                  <c:v>LRC &amp; Lease Cost</c:v>
                </c:pt>
                <c:pt idx="5">
                  <c:v>O&amp;M (After Tax)</c:v>
                </c:pt>
              </c:strCache>
            </c:strRef>
          </c:cat>
          <c:val>
            <c:numRef>
              <c:f>'Input &amp; Summary'!$B$37:$B$42</c:f>
              <c:numCache>
                <c:formatCode>"$"#,##0.0000</c:formatCode>
                <c:ptCount val="6"/>
                <c:pt idx="0">
                  <c:v>3.9798379859735465E-2</c:v>
                </c:pt>
                <c:pt idx="1">
                  <c:v>1.9239836196990507E-3</c:v>
                </c:pt>
                <c:pt idx="2">
                  <c:v>7.4577035553273956E-3</c:v>
                </c:pt>
                <c:pt idx="3">
                  <c:v>5.2758682050298199E-3</c:v>
                </c:pt>
                <c:pt idx="4">
                  <c:v>4.9179739129000628E-3</c:v>
                </c:pt>
                <c:pt idx="5">
                  <c:v>4.5755102040816323E-3</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Offshore COE Cost</a:t>
            </a:r>
          </a:p>
        </c:rich>
      </c:tx>
      <c:layout>
        <c:manualLayout>
          <c:xMode val="edge"/>
          <c:yMode val="edge"/>
          <c:x val="0.30000000000000032"/>
          <c:y val="3.35194730185189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9642857142857287"/>
          <c:y val="0.45251458367147185"/>
          <c:w val="0.40892857142857253"/>
          <c:h val="0.25419029082780181"/>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Lbls>
            <c:dLbl>
              <c:idx val="0"/>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1"/>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2"/>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3"/>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4"/>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5"/>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6"/>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7"/>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numFmt formatCode="0%" sourceLinked="0"/>
            <c:spPr>
              <a:noFill/>
              <a:ln w="25400">
                <a:noFill/>
              </a:ln>
            </c:spPr>
            <c:txPr>
              <a:bodyPr/>
              <a:lstStyle/>
              <a:p>
                <a:pPr>
                  <a:defRPr sz="15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Summary'!$A$67:$A$74</c:f>
              <c:strCache>
                <c:ptCount val="8"/>
                <c:pt idx="0">
                  <c:v>Turbine</c:v>
                </c:pt>
                <c:pt idx="1">
                  <c:v>Offshore Warranty</c:v>
                </c:pt>
                <c:pt idx="2">
                  <c:v>Misc BOS</c:v>
                </c:pt>
                <c:pt idx="3">
                  <c:v>Support Structure</c:v>
                </c:pt>
                <c:pt idx="4">
                  <c:v>Eng/Permits/Surety</c:v>
                </c:pt>
                <c:pt idx="5">
                  <c:v>Electrical Infrastructure</c:v>
                </c:pt>
                <c:pt idx="6">
                  <c:v>LRC &amp; Lease Cost</c:v>
                </c:pt>
                <c:pt idx="7">
                  <c:v>O&amp;M (After Tax)</c:v>
                </c:pt>
              </c:strCache>
            </c:strRef>
          </c:cat>
          <c:val>
            <c:numRef>
              <c:f>'Input &amp; Summary'!$B$67:$B$74</c:f>
              <c:numCache>
                <c:formatCode>"$"#,##0.0000</c:formatCode>
                <c:ptCount val="8"/>
                <c:pt idx="0">
                  <c:v>3.9798379859735465E-2</c:v>
                </c:pt>
                <c:pt idx="1">
                  <c:v>0</c:v>
                </c:pt>
                <c:pt idx="2">
                  <c:v>6.5437005909339489E-3</c:v>
                </c:pt>
                <c:pt idx="3">
                  <c:v>1.9239836196990507E-3</c:v>
                </c:pt>
                <c:pt idx="4">
                  <c:v>9.1400296439344696E-4</c:v>
                </c:pt>
                <c:pt idx="5">
                  <c:v>5.2758682050298199E-3</c:v>
                </c:pt>
                <c:pt idx="6">
                  <c:v>4.9179739129000628E-3</c:v>
                </c:pt>
                <c:pt idx="7">
                  <c:v>4.5755102040816323E-3</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Lbls>
            <c:numFmt formatCode="0%" sourceLinked="0"/>
            <c:spPr>
              <a:noFill/>
              <a:ln w="25400">
                <a:noFill/>
              </a:ln>
            </c:spPr>
            <c:txPr>
              <a:bodyPr/>
              <a:lstStyle/>
              <a:p>
                <a:pPr>
                  <a:defRPr sz="15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Summary'!$A$67:$A$74</c:f>
              <c:strCache>
                <c:ptCount val="8"/>
                <c:pt idx="0">
                  <c:v>Turbine</c:v>
                </c:pt>
                <c:pt idx="1">
                  <c:v>Offshore Warranty</c:v>
                </c:pt>
                <c:pt idx="2">
                  <c:v>Misc BOS</c:v>
                </c:pt>
                <c:pt idx="3">
                  <c:v>Support Structure</c:v>
                </c:pt>
                <c:pt idx="4">
                  <c:v>Eng/Permits/Surety</c:v>
                </c:pt>
                <c:pt idx="5">
                  <c:v>Electrical Infrastructure</c:v>
                </c:pt>
                <c:pt idx="6">
                  <c:v>LRC &amp; Lease Cost</c:v>
                </c:pt>
                <c:pt idx="7">
                  <c:v>O&amp;M (After Tax)</c:v>
                </c:pt>
              </c:strCache>
            </c:strRef>
          </c:cat>
          <c:val>
            <c:numRef>
              <c:f>'Input &amp; Summary'!$C$67:$C$74</c:f>
              <c:numCache>
                <c:formatCode>0.00%</c:formatCode>
                <c:ptCount val="8"/>
                <c:pt idx="0">
                  <c:v>0.6223415358582155</c:v>
                </c:pt>
                <c:pt idx="1">
                  <c:v>0</c:v>
                </c:pt>
                <c:pt idx="2">
                  <c:v>0.10232619243071908</c:v>
                </c:pt>
                <c:pt idx="3">
                  <c:v>3.0086021719214647E-2</c:v>
                </c:pt>
                <c:pt idx="4">
                  <c:v>1.4292592076469528E-2</c:v>
                </c:pt>
                <c:pt idx="5">
                  <c:v>8.2500642822036951E-2</c:v>
                </c:pt>
                <c:pt idx="6">
                  <c:v>7.6904121450465657E-2</c:v>
                </c:pt>
                <c:pt idx="7">
                  <c:v>7.1548893642878739E-2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Wind, Energy</a:t>
            </a:r>
          </a:p>
        </c:rich>
      </c:tx>
      <c:layout>
        <c:manualLayout>
          <c:xMode val="edge"/>
          <c:yMode val="edge"/>
          <c:x val="0.43865592846521562"/>
          <c:y val="3.4055727554179689E-2"/>
        </c:manualLayout>
      </c:layout>
      <c:overlay val="0"/>
      <c:spPr>
        <a:noFill/>
        <a:ln w="25400">
          <a:noFill/>
        </a:ln>
      </c:spPr>
    </c:title>
    <c:autoTitleDeleted val="0"/>
    <c:plotArea>
      <c:layout>
        <c:manualLayout>
          <c:layoutTarget val="inner"/>
          <c:xMode val="edge"/>
          <c:yMode val="edge"/>
          <c:x val="3.8655493907147703E-2"/>
          <c:y val="0.15170278637770945"/>
          <c:w val="0.92437050647527164"/>
          <c:h val="0.57275541795665663"/>
        </c:manualLayout>
      </c:layout>
      <c:scatterChart>
        <c:scatterStyle val="lineMarker"/>
        <c:varyColors val="0"/>
        <c:ser>
          <c:idx val="0"/>
          <c:order val="0"/>
          <c:tx>
            <c:strRef>
              <c:f>'AEP Input Output sheet'!$B$50</c:f>
              <c:strCache>
                <c:ptCount val="1"/>
                <c:pt idx="0">
                  <c:v>Rayleigh Probability</c:v>
                </c:pt>
              </c:strCache>
            </c:strRef>
          </c:tx>
          <c:spPr>
            <a:ln w="28575">
              <a:noFill/>
            </a:ln>
          </c:spPr>
          <c:marker>
            <c:symbol val="x"/>
            <c:size val="5"/>
            <c:spPr>
              <a:noFill/>
              <a:ln>
                <a:solidFill>
                  <a:srgbClr val="333399"/>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sheet'!$B$51:$B$211</c:f>
              <c:numCache>
                <c:formatCode>0.0000</c:formatCode>
                <c:ptCount val="161"/>
                <c:pt idx="0">
                  <c:v>0</c:v>
                </c:pt>
                <c:pt idx="1">
                  <c:v>5.9560115618526909E-3</c:v>
                </c:pt>
                <c:pt idx="2">
                  <c:v>1.1885427472348414E-2</c:v>
                </c:pt>
                <c:pt idx="3">
                  <c:v>1.7761849913209615E-2</c:v>
                </c:pt>
                <c:pt idx="4">
                  <c:v>2.3559274673111908E-2</c:v>
                </c:pt>
                <c:pt idx="5">
                  <c:v>2.925228283069067E-2</c:v>
                </c:pt>
                <c:pt idx="6">
                  <c:v>3.4816226369657269E-2</c:v>
                </c:pt>
                <c:pt idx="7">
                  <c:v>4.0227405829842404E-2</c:v>
                </c:pt>
                <c:pt idx="8">
                  <c:v>4.5463238203711981E-2</c:v>
                </c:pt>
                <c:pt idx="9">
                  <c:v>5.0502413416800805E-2</c:v>
                </c:pt>
                <c:pt idx="10">
                  <c:v>5.5325037880500957E-2</c:v>
                </c:pt>
                <c:pt idx="11">
                  <c:v>5.991276377431793E-2</c:v>
                </c:pt>
                <c:pt idx="12">
                  <c:v>6.4248902899380178E-2</c:v>
                </c:pt>
                <c:pt idx="13">
                  <c:v>6.831852414273884E-2</c:v>
                </c:pt>
                <c:pt idx="14">
                  <c:v>7.2108533799730617E-2</c:v>
                </c:pt>
                <c:pt idx="15">
                  <c:v>7.56077382161843E-2</c:v>
                </c:pt>
                <c:pt idx="16">
                  <c:v>7.8806888430259736E-2</c:v>
                </c:pt>
                <c:pt idx="17">
                  <c:v>8.1698706711941418E-2</c:v>
                </c:pt>
                <c:pt idx="18">
                  <c:v>8.4277895113451851E-2</c:v>
                </c:pt>
                <c:pt idx="19">
                  <c:v>8.6541126352996892E-2</c:v>
                </c:pt>
                <c:pt idx="20">
                  <c:v>8.8487017554366776E-2</c:v>
                </c:pt>
                <c:pt idx="21">
                  <c:v>9.0116087553266444E-2</c:v>
                </c:pt>
                <c:pt idx="22">
                  <c:v>9.1430698655365281E-2</c:v>
                </c:pt>
                <c:pt idx="23">
                  <c:v>9.2434983888763131E-2</c:v>
                </c:pt>
                <c:pt idx="24">
                  <c:v>9.3134760933011942E-2</c:v>
                </c:pt>
                <c:pt idx="25">
                  <c:v>9.3537434026504204E-2</c:v>
                </c:pt>
                <c:pt idx="26">
                  <c:v>9.3651885252798481E-2</c:v>
                </c:pt>
                <c:pt idx="27">
                  <c:v>9.3488356683526744E-2</c:v>
                </c:pt>
                <c:pt idx="28">
                  <c:v>9.305832491052321E-2</c:v>
                </c:pt>
                <c:pt idx="29">
                  <c:v>9.2374369532699591E-2</c:v>
                </c:pt>
                <c:pt idx="30">
                  <c:v>9.1450037174298171E-2</c:v>
                </c:pt>
                <c:pt idx="31">
                  <c:v>9.0299702601142159E-2</c:v>
                </c:pt>
                <c:pt idx="32">
                  <c:v>8.893842847135465E-2</c:v>
                </c:pt>
                <c:pt idx="33">
                  <c:v>8.7381825207991329E-2</c:v>
                </c:pt>
                <c:pt idx="34">
                  <c:v>8.5645912414638689E-2</c:v>
                </c:pt>
                <c:pt idx="35">
                  <c:v>8.3746983172994741E-2</c:v>
                </c:pt>
                <c:pt idx="36">
                  <c:v>8.1701472465666822E-2</c:v>
                </c:pt>
                <c:pt idx="37">
                  <c:v>7.9525830859923624E-2</c:v>
                </c:pt>
                <c:pt idx="38">
                  <c:v>7.723640447104578E-2</c:v>
                </c:pt>
                <c:pt idx="39">
                  <c:v>7.4849322099401025E-2</c:v>
                </c:pt>
                <c:pt idx="40">
                  <c:v>7.2380390305608514E-2</c:v>
                </c:pt>
                <c:pt idx="41">
                  <c:v>6.9844997055301949E-2</c:v>
                </c:pt>
                <c:pt idx="42">
                  <c:v>6.7258024431141025E-2</c:v>
                </c:pt>
                <c:pt idx="43">
                  <c:v>6.4633770776845234E-2</c:v>
                </c:pt>
                <c:pt idx="44">
                  <c:v>6.1985882507995277E-2</c:v>
                </c:pt>
                <c:pt idx="45">
                  <c:v>5.9327295698878846E-2</c:v>
                </c:pt>
                <c:pt idx="46">
                  <c:v>5.6670187435287511E-2</c:v>
                </c:pt>
                <c:pt idx="47">
                  <c:v>5.4025936811249488E-2</c:v>
                </c:pt>
                <c:pt idx="48">
                  <c:v>5.1405095344362557E-2</c:v>
                </c:pt>
                <c:pt idx="49">
                  <c:v>4.8817366490607146E-2</c:v>
                </c:pt>
                <c:pt idx="50">
                  <c:v>4.6271593856010221E-2</c:v>
                </c:pt>
                <c:pt idx="51">
                  <c:v>4.3775757629808315E-2</c:v>
                </c:pt>
                <c:pt idx="52">
                  <c:v>4.1336978702143555E-2</c:v>
                </c:pt>
                <c:pt idx="53">
                  <c:v>3.8961529878934392E-2</c:v>
                </c:pt>
                <c:pt idx="54">
                  <c:v>3.6654853567328574E-2</c:v>
                </c:pt>
                <c:pt idx="55">
                  <c:v>3.4421585276828141E-2</c:v>
                </c:pt>
                <c:pt idx="56">
                  <c:v>3.2265582263386931E-2</c:v>
                </c:pt>
                <c:pt idx="57">
                  <c:v>3.0189956635984859E-2</c:v>
                </c:pt>
                <c:pt idx="58">
                  <c:v>2.8197112246739268E-2</c:v>
                </c:pt>
                <c:pt idx="59">
                  <c:v>2.6288784695771998E-2</c:v>
                </c:pt>
                <c:pt idx="60">
                  <c:v>2.4466083799995597E-2</c:v>
                </c:pt>
                <c:pt idx="61">
                  <c:v>2.272953789982924E-2</c:v>
                </c:pt>
                <c:pt idx="62">
                  <c:v>2.1079139408694336E-2</c:v>
                </c:pt>
                <c:pt idx="63">
                  <c:v>1.95143910460319E-2</c:v>
                </c:pt>
                <c:pt idx="64">
                  <c:v>1.8034352234596349E-2</c:v>
                </c:pt>
                <c:pt idx="65">
                  <c:v>1.663768518599101E-2</c:v>
                </c:pt>
                <c:pt idx="66">
                  <c:v>1.5322700243927399E-2</c:v>
                </c:pt>
                <c:pt idx="67">
                  <c:v>1.4087400101665093E-2</c:v>
                </c:pt>
                <c:pt idx="68">
                  <c:v>1.2929522557722993E-2</c:v>
                </c:pt>
                <c:pt idx="69">
                  <c:v>1.1846581521512325E-2</c:v>
                </c:pt>
                <c:pt idx="70">
                  <c:v>1.0835906027358493E-2</c:v>
                </c:pt>
                <c:pt idx="71">
                  <c:v>9.8946770608610984E-3</c:v>
                </c:pt>
                <c:pt idx="72">
                  <c:v>9.0199620451701951E-3</c:v>
                </c:pt>
                <c:pt idx="73">
                  <c:v>8.208746876096587E-3</c:v>
                </c:pt>
                <c:pt idx="74">
                  <c:v>7.4579654336612454E-3</c:v>
                </c:pt>
                <c:pt idx="75">
                  <c:v>6.7645265334423405E-3</c:v>
                </c:pt>
                <c:pt idx="76">
                  <c:v>6.1253383136864147E-3</c:v>
                </c:pt>
                <c:pt idx="77">
                  <c:v>5.5373300834737418E-3</c:v>
                </c:pt>
                <c:pt idx="78">
                  <c:v>4.997471683191727E-3</c:v>
                </c:pt>
                <c:pt idx="79">
                  <c:v>4.5027904311588209E-3</c:v>
                </c:pt>
                <c:pt idx="80">
                  <c:v>4.0503857494951084E-3</c:v>
                </c:pt>
                <c:pt idx="81">
                  <c:v>3.637441578338528E-3</c:v>
                </c:pt>
                <c:pt idx="82">
                  <c:v>3.2612367003868265E-3</c:v>
                </c:pt>
                <c:pt idx="83">
                  <c:v>2.9191531076649788E-3</c:v>
                </c:pt>
                <c:pt idx="84">
                  <c:v>2.6086825495656939E-3</c:v>
                </c:pt>
                <c:pt idx="85">
                  <c:v>2.3274314057982752E-3</c:v>
                </c:pt>
                <c:pt idx="86">
                  <c:v>2.0731240301339738E-3</c:v>
                </c:pt>
                <c:pt idx="87">
                  <c:v>1.8436047109921562E-3</c:v>
                </c:pt>
                <c:pt idx="88">
                  <c:v>1.6368383932112126E-3</c:v>
                </c:pt>
                <c:pt idx="89">
                  <c:v>1.450910302034292E-3</c:v>
                </c:pt>
                <c:pt idx="90">
                  <c:v>1.2840246056499307E-3</c:v>
                </c:pt>
                <c:pt idx="91">
                  <c:v>1.134502246792436E-3</c:v>
                </c:pt>
                <c:pt idx="92">
                  <c:v>1.0007780671471883E-3</c:v>
                </c:pt>
                <c:pt idx="93">
                  <c:v>8.8139734082908362E-4</c:v>
                </c:pt>
                <c:pt idx="94">
                  <c:v>7.7501182520156044E-4</c:v>
                </c:pt>
                <c:pt idx="95">
                  <c:v>6.8037542895591776E-4</c:v>
                </c:pt>
                <c:pt idx="96">
                  <c:v>5.9633958883585701E-4</c:v>
                </c:pt>
                <c:pt idx="97">
                  <c:v>5.2184843781302877E-4</c:v>
                </c:pt>
                <c:pt idx="98">
                  <c:v>4.5593383902046855E-4</c:v>
                </c:pt>
                <c:pt idx="99">
                  <c:v>3.9771035143974738E-4</c:v>
                </c:pt>
                <c:pt idx="100">
                  <c:v>3.4637018530478305E-4</c:v>
                </c:pt>
                <c:pt idx="101">
                  <c:v>3.0117819750476139E-4</c:v>
                </c:pt>
                <c:pt idx="102">
                  <c:v>2.614669699995494E-4</c:v>
                </c:pt>
                <c:pt idx="103">
                  <c:v>2.2663200744787361E-4</c:v>
                </c:pt>
                <c:pt idx="104">
                  <c:v>1.9612708392324426E-4</c:v>
                </c:pt>
                <c:pt idx="105">
                  <c:v>1.6945976277489219E-4</c:v>
                </c:pt>
                <c:pt idx="106">
                  <c:v>1.4618710839037964E-4</c:v>
                </c:pt>
                <c:pt idx="107">
                  <c:v>1.2591160383325573E-4</c:v>
                </c:pt>
                <c:pt idx="108">
                  <c:v>1.0827728405557277E-4</c:v>
                </c:pt>
                <c:pt idx="109">
                  <c:v>9.296609060699408E-5</c:v>
                </c:pt>
                <c:pt idx="110">
                  <c:v>7.9694450459910542E-5</c:v>
                </c:pt>
                <c:pt idx="111">
                  <c:v>6.8210078719412376E-5</c:v>
                </c:pt>
                <c:pt idx="112">
                  <c:v>5.8289002560794591E-5</c:v>
                </c:pt>
                <c:pt idx="113">
                  <c:v>4.9732801705797056E-5</c:v>
                </c:pt>
                <c:pt idx="114">
                  <c:v>4.2366059080759186E-5</c:v>
                </c:pt>
                <c:pt idx="115">
                  <c:v>3.603401396328068E-5</c:v>
                </c:pt>
                <c:pt idx="116">
                  <c:v>3.0600408886669266E-5</c:v>
                </c:pt>
                <c:pt idx="117">
                  <c:v>2.5945520801659465E-5</c:v>
                </c:pt>
                <c:pt idx="118">
                  <c:v>2.1964366461734637E-5</c:v>
                </c:pt>
                <c:pt idx="119">
                  <c:v>1.8565071672220546E-5</c:v>
                </c:pt>
                <c:pt idx="120">
                  <c:v>1.5667393896048175E-5</c:v>
                </c:pt>
                <c:pt idx="121">
                  <c:v>1.3201387714336466E-5</c:v>
                </c:pt>
                <c:pt idx="122">
                  <c:v>1.110620277328078E-5</c:v>
                </c:pt>
                <c:pt idx="123">
                  <c:v>9.3290040877984641E-6</c:v>
                </c:pt>
                <c:pt idx="124">
                  <c:v>7.8240048965776806E-6</c:v>
                </c:pt>
                <c:pt idx="125">
                  <c:v>6.5516026542445594E-6</c:v>
                </c:pt>
                <c:pt idx="126">
                  <c:v>5.4776091879680327E-6</c:v>
                </c:pt>
                <c:pt idx="127">
                  <c:v>4.5725665235631844E-6</c:v>
                </c:pt>
                <c:pt idx="128">
                  <c:v>3.8111403875016831E-6</c:v>
                </c:pt>
                <c:pt idx="129">
                  <c:v>3.1715839054052246E-6</c:v>
                </c:pt>
                <c:pt idx="130">
                  <c:v>2.6352645354373661E-6</c:v>
                </c:pt>
                <c:pt idx="131">
                  <c:v>2.1862477888717401E-6</c:v>
                </c:pt>
                <c:pt idx="132">
                  <c:v>1.8109317937278267E-6</c:v>
                </c:pt>
                <c:pt idx="133">
                  <c:v>1.4977272456895521E-6</c:v>
                </c:pt>
                <c:pt idx="134">
                  <c:v>1.236777759625366E-6</c:v>
                </c:pt>
                <c:pt idx="135">
                  <c:v>1.0197160819512268E-6</c:v>
                </c:pt>
                <c:pt idx="136">
                  <c:v>8.3945204671549686E-7</c:v>
                </c:pt>
                <c:pt idx="137">
                  <c:v>6.8998855526419768E-7</c:v>
                </c:pt>
                <c:pt idx="138">
                  <c:v>5.6626222992209815E-7</c:v>
                </c:pt>
                <c:pt idx="139">
                  <c:v>4.6400573607954516E-7</c:v>
                </c:pt>
                <c:pt idx="140">
                  <c:v>3.7962908462159744E-7</c:v>
                </c:pt>
                <c:pt idx="141">
                  <c:v>3.1011751834127929E-7</c:v>
                </c:pt>
                <c:pt idx="142">
                  <c:v>2.5294385268711634E-7</c:v>
                </c:pt>
                <c:pt idx="143">
                  <c:v>2.0599338396431876E-7</c:v>
                </c:pt>
                <c:pt idx="144">
                  <c:v>1.6749969815330627E-7</c:v>
                </c:pt>
                <c:pt idx="145">
                  <c:v>1.3598991215107535E-7</c:v>
                </c:pt>
                <c:pt idx="146">
                  <c:v>1.1023805786827597E-7</c:v>
                </c:pt>
                <c:pt idx="147">
                  <c:v>8.9225479647789024E-8</c:v>
                </c:pt>
                <c:pt idx="148">
                  <c:v>7.2107258331233949E-8</c:v>
                </c:pt>
                <c:pt idx="149">
                  <c:v>5.8183802389814644E-8</c:v>
                </c:pt>
                <c:pt idx="150">
                  <c:v>4.6876859217561744E-8</c:v>
                </c:pt>
                <c:pt idx="151">
                  <c:v>3.7709299267145102E-8</c:v>
                </c:pt>
                <c:pt idx="152">
                  <c:v>3.0288113435896151E-8</c:v>
                </c:pt>
                <c:pt idx="153">
                  <c:v>2.429014115596328E-8</c:v>
                </c:pt>
                <c:pt idx="154">
                  <c:v>1.9450114105035803E-8</c:v>
                </c:pt>
                <c:pt idx="155">
                  <c:v>1.5550659351835604E-8</c:v>
                </c:pt>
                <c:pt idx="156">
                  <c:v>1.2413957023494911E-8</c:v>
                </c:pt>
                <c:pt idx="157">
                  <c:v>9.8947920918015269E-9</c:v>
                </c:pt>
                <c:pt idx="158">
                  <c:v>7.8747784078154786E-9</c:v>
                </c:pt>
                <c:pt idx="159">
                  <c:v>6.2575663821241253E-9</c:v>
                </c:pt>
                <c:pt idx="160">
                  <c:v>4.9648743541081939E-9</c:v>
                </c:pt>
              </c:numCache>
            </c:numRef>
          </c:yVal>
          <c:smooth val="0"/>
        </c:ser>
        <c:ser>
          <c:idx val="1"/>
          <c:order val="1"/>
          <c:tx>
            <c:strRef>
              <c:f>'AEP Input Output sheet'!$C$50</c:f>
              <c:strCache>
                <c:ptCount val="1"/>
                <c:pt idx="0">
                  <c:v>Weibull Probability</c:v>
                </c:pt>
              </c:strCache>
            </c:strRef>
          </c:tx>
          <c:spPr>
            <a:ln w="38100">
              <a:solidFill>
                <a:srgbClr val="00FF00"/>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sheet'!$C$51:$C$211</c:f>
              <c:numCache>
                <c:formatCode>0.0000</c:formatCode>
                <c:ptCount val="161"/>
                <c:pt idx="0">
                  <c:v>0</c:v>
                </c:pt>
                <c:pt idx="1">
                  <c:v>4.3581625257101035E-3</c:v>
                </c:pt>
                <c:pt idx="2">
                  <c:v>9.3259991139173024E-3</c:v>
                </c:pt>
                <c:pt idx="3">
                  <c:v>1.452438188877658E-2</c:v>
                </c:pt>
                <c:pt idx="4">
                  <c:v>1.9845014716310748E-2</c:v>
                </c:pt>
                <c:pt idx="5">
                  <c:v>2.5221776420365796E-2</c:v>
                </c:pt>
                <c:pt idx="6">
                  <c:v>3.0604603182518786E-2</c:v>
                </c:pt>
                <c:pt idx="7">
                  <c:v>3.5951507136676761E-2</c:v>
                </c:pt>
                <c:pt idx="8">
                  <c:v>4.1225371837734844E-2</c:v>
                </c:pt>
                <c:pt idx="9">
                  <c:v>4.6392484051670374E-2</c:v>
                </c:pt>
                <c:pt idx="10">
                  <c:v>5.1421821764068301E-2</c:v>
                </c:pt>
                <c:pt idx="11">
                  <c:v>5.6284711341596107E-2</c:v>
                </c:pt>
                <c:pt idx="12">
                  <c:v>6.0954678225436883E-2</c:v>
                </c:pt>
                <c:pt idx="13">
                  <c:v>6.5407402775796361E-2</c:v>
                </c:pt>
                <c:pt idx="14">
                  <c:v>6.9620732998124948E-2</c:v>
                </c:pt>
                <c:pt idx="15">
                  <c:v>7.3574725970558863E-2</c:v>
                </c:pt>
                <c:pt idx="16">
                  <c:v>7.7251700598145748E-2</c:v>
                </c:pt>
                <c:pt idx="17">
                  <c:v>8.0636290511040834E-2</c:v>
                </c:pt>
                <c:pt idx="18">
                  <c:v>8.3715489686480238E-2</c:v>
                </c:pt>
                <c:pt idx="19">
                  <c:v>8.6478685794837917E-2</c:v>
                </c:pt>
                <c:pt idx="20">
                  <c:v>8.8917677916564214E-2</c:v>
                </c:pt>
                <c:pt idx="21">
                  <c:v>9.1026676458614106E-2</c:v>
                </c:pt>
                <c:pt idx="22">
                  <c:v>9.2802283990167989E-2</c:v>
                </c:pt>
                <c:pt idx="23">
                  <c:v>9.4243456418530172E-2</c:v>
                </c:pt>
                <c:pt idx="24">
                  <c:v>9.5351444496179716E-2</c:v>
                </c:pt>
                <c:pt idx="25">
                  <c:v>9.6129716124250308E-2</c:v>
                </c:pt>
                <c:pt idx="26">
                  <c:v>9.6583860317301706E-2</c:v>
                </c:pt>
                <c:pt idx="27">
                  <c:v>9.6721474031764343E-2</c:v>
                </c:pt>
                <c:pt idx="28">
                  <c:v>9.6552033343458299E-2</c:v>
                </c:pt>
                <c:pt idx="29">
                  <c:v>9.6086750692719616E-2</c:v>
                </c:pt>
                <c:pt idx="30">
                  <c:v>9.5338420101792248E-2</c:v>
                </c:pt>
                <c:pt idx="31">
                  <c:v>9.4321252410297554E-2</c:v>
                </c:pt>
                <c:pt idx="32">
                  <c:v>9.3050702672431845E-2</c:v>
                </c:pt>
                <c:pt idx="33">
                  <c:v>9.1543291915712352E-2</c:v>
                </c:pt>
                <c:pt idx="34">
                  <c:v>8.9816425477413753E-2</c:v>
                </c:pt>
                <c:pt idx="35">
                  <c:v>8.7888210113436407E-2</c:v>
                </c:pt>
                <c:pt idx="36">
                  <c:v>8.5777272017700898E-2</c:v>
                </c:pt>
                <c:pt idx="37">
                  <c:v>8.3502577801127159E-2</c:v>
                </c:pt>
                <c:pt idx="38">
                  <c:v>8.1083260361033249E-2</c:v>
                </c:pt>
                <c:pt idx="39">
                  <c:v>7.8538451427901543E-2</c:v>
                </c:pt>
                <c:pt idx="40">
                  <c:v>7.5887122410687097E-2</c:v>
                </c:pt>
                <c:pt idx="41">
                  <c:v>7.3147934978147949E-2</c:v>
                </c:pt>
                <c:pt idx="42">
                  <c:v>7.0339102616153101E-2</c:v>
                </c:pt>
                <c:pt idx="43">
                  <c:v>6.7478264193679721E-2</c:v>
                </c:pt>
                <c:pt idx="44">
                  <c:v>6.4582370357338964E-2</c:v>
                </c:pt>
                <c:pt idx="45">
                  <c:v>6.1667583359728641E-2</c:v>
                </c:pt>
                <c:pt idx="46">
                  <c:v>5.874919071448291E-2</c:v>
                </c:pt>
                <c:pt idx="47">
                  <c:v>5.5841532864100728E-2</c:v>
                </c:pt>
                <c:pt idx="48">
                  <c:v>5.2957944848710595E-2</c:v>
                </c:pt>
                <c:pt idx="49">
                  <c:v>5.011071177773338E-2</c:v>
                </c:pt>
                <c:pt idx="50">
                  <c:v>4.7311037734421059E-2</c:v>
                </c:pt>
                <c:pt idx="51">
                  <c:v>4.4569027587527899E-2</c:v>
                </c:pt>
                <c:pt idx="52">
                  <c:v>4.1893681046549412E-2</c:v>
                </c:pt>
                <c:pt idx="53">
                  <c:v>3.9292898178219508E-2</c:v>
                </c:pt>
                <c:pt idx="54">
                  <c:v>3.677349550304819E-2</c:v>
                </c:pt>
                <c:pt idx="55">
                  <c:v>3.4341231711936662E-2</c:v>
                </c:pt>
                <c:pt idx="56">
                  <c:v>3.2000841984255186E-2</c:v>
                </c:pt>
                <c:pt idx="57">
                  <c:v>2.9756079849772649E-2</c:v>
                </c:pt>
                <c:pt idx="58">
                  <c:v>2.7609765516708268E-2</c:v>
                </c:pt>
                <c:pt idx="59">
                  <c:v>2.5563839585866461E-2</c:v>
                </c:pt>
                <c:pt idx="60">
                  <c:v>2.3619421084989833E-2</c:v>
                </c:pt>
                <c:pt idx="61">
                  <c:v>2.1776868786598035E-2</c:v>
                </c:pt>
                <c:pt idx="62">
                  <c:v>2.003584481498321E-2</c:v>
                </c:pt>
                <c:pt idx="63">
                  <c:v>1.8395379601908551E-2</c:v>
                </c:pt>
                <c:pt idx="64">
                  <c:v>1.6853937314040158E-2</c:v>
                </c:pt>
                <c:pt idx="65">
                  <c:v>1.5409480946349464E-2</c:v>
                </c:pt>
                <c:pt idx="66">
                  <c:v>1.4059536352781911E-2</c:v>
                </c:pt>
                <c:pt idx="67">
                  <c:v>1.2801254566586354E-2</c:v>
                </c:pt>
                <c:pt idx="68">
                  <c:v>1.163147184610633E-2</c:v>
                </c:pt>
                <c:pt idx="69">
                  <c:v>1.0546766965938158E-2</c:v>
                </c:pt>
                <c:pt idx="70">
                  <c:v>9.5435153566810066E-3</c:v>
                </c:pt>
                <c:pt idx="71">
                  <c:v>8.6179397777162419E-3</c:v>
                </c:pt>
                <c:pt idx="72">
                  <c:v>7.7661572853994316E-3</c:v>
                </c:pt>
                <c:pt idx="73">
                  <c:v>6.9842223327418185E-3</c:v>
                </c:pt>
                <c:pt idx="74">
                  <c:v>6.268165905291132E-3</c:v>
                </c:pt>
                <c:pt idx="75">
                  <c:v>5.6140306608603351E-3</c:v>
                </c:pt>
                <c:pt idx="76">
                  <c:v>5.0179020975336872E-3</c:v>
                </c:pt>
                <c:pt idx="77">
                  <c:v>4.4759358247027526E-3</c:v>
                </c:pt>
                <c:pt idx="78">
                  <c:v>3.9843810556001074E-3</c:v>
                </c:pt>
                <c:pt idx="79">
                  <c:v>3.539600476894791E-3</c:v>
                </c:pt>
                <c:pt idx="80">
                  <c:v>3.1380866815035597E-3</c:v>
                </c:pt>
                <c:pt idx="81">
                  <c:v>2.776475375075603E-3</c:v>
                </c:pt>
                <c:pt idx="82">
                  <c:v>2.4515555849367919E-3</c:v>
                </c:pt>
                <c:pt idx="83">
                  <c:v>2.1602771130195377E-3</c:v>
                </c:pt>
                <c:pt idx="84">
                  <c:v>1.8997554818993374E-3</c:v>
                </c:pt>
                <c:pt idx="85">
                  <c:v>1.6672746259967567E-3</c:v>
                </c:pt>
                <c:pt idx="86">
                  <c:v>1.4602875787980486E-3</c:v>
                </c:pt>
                <c:pt idx="87">
                  <c:v>1.2764154021273403E-3</c:v>
                </c:pt>
                <c:pt idx="88">
                  <c:v>1.1134445955987725E-3</c:v>
                </c:pt>
                <c:pt idx="89">
                  <c:v>9.6932321390884844E-4</c:v>
                </c:pt>
                <c:pt idx="90">
                  <c:v>8.4215590709959057E-4</c:v>
                </c:pt>
                <c:pt idx="91">
                  <c:v>7.3019808480839527E-4</c:v>
                </c:pt>
                <c:pt idx="92">
                  <c:v>6.3184939026343114E-4</c:v>
                </c:pt>
                <c:pt idx="93">
                  <c:v>5.4564665379081988E-4</c:v>
                </c:pt>
                <c:pt idx="94">
                  <c:v>4.7025647923668745E-4</c:v>
                </c:pt>
                <c:pt idx="95">
                  <c:v>4.0446760029710178E-4</c:v>
                </c:pt>
                <c:pt idx="96">
                  <c:v>3.4718312757166155E-4</c:v>
                </c:pt>
                <c:pt idx="97">
                  <c:v>2.9741279144917079E-4</c:v>
                </c:pt>
                <c:pt idx="98">
                  <c:v>2.5426527089161198E-4</c:v>
                </c:pt>
                <c:pt idx="99">
                  <c:v>2.1694068396112861E-4</c:v>
                </c:pt>
                <c:pt idx="100">
                  <c:v>1.8472330265199505E-4</c:v>
                </c:pt>
                <c:pt idx="101">
                  <c:v>1.5697454232946133E-4</c:v>
                </c:pt>
                <c:pt idx="102">
                  <c:v>1.3312626489277832E-4</c:v>
                </c:pt>
                <c:pt idx="103">
                  <c:v>1.1267442469589577E-4</c:v>
                </c:pt>
                <c:pt idx="104">
                  <c:v>9.5173077277645171E-5</c:v>
                </c:pt>
                <c:pt idx="105">
                  <c:v>8.0228763054640895E-5</c:v>
                </c:pt>
                <c:pt idx="106">
                  <c:v>6.7495271278697263E-5</c:v>
                </c:pt>
                <c:pt idx="107">
                  <c:v>5.6668783706725479E-5</c:v>
                </c:pt>
                <c:pt idx="108">
                  <c:v>4.7483392514790418E-5</c:v>
                </c:pt>
                <c:pt idx="109">
                  <c:v>3.9706982941557984E-5</c:v>
                </c:pt>
                <c:pt idx="110">
                  <c:v>3.3137467896972542E-5</c:v>
                </c:pt>
                <c:pt idx="111">
                  <c:v>2.759935924399789E-5</c:v>
                </c:pt>
                <c:pt idx="112">
                  <c:v>2.2940658578205246E-5</c:v>
                </c:pt>
                <c:pt idx="113">
                  <c:v>1.9030049016183404E-5</c:v>
                </c:pt>
                <c:pt idx="114">
                  <c:v>1.575436868568622E-5</c:v>
                </c:pt>
                <c:pt idx="115">
                  <c:v>1.3016346217936643E-5</c:v>
                </c:pt>
                <c:pt idx="116">
                  <c:v>1.0732578509461682E-5</c:v>
                </c:pt>
                <c:pt idx="117">
                  <c:v>8.8317312859359532E-6</c:v>
                </c:pt>
                <c:pt idx="118">
                  <c:v>7.2529435075665177E-6</c:v>
                </c:pt>
                <c:pt idx="119">
                  <c:v>5.9444173537704484E-6</c:v>
                </c:pt>
                <c:pt idx="120">
                  <c:v>4.8621763689296115E-6</c:v>
                </c:pt>
                <c:pt idx="121">
                  <c:v>3.9689753009033354E-6</c:v>
                </c:pt>
                <c:pt idx="122">
                  <c:v>3.2333461850109053E-6</c:v>
                </c:pt>
                <c:pt idx="123">
                  <c:v>2.62876628861902E-6</c:v>
                </c:pt>
                <c:pt idx="124">
                  <c:v>2.1329346102056392E-6</c:v>
                </c:pt>
                <c:pt idx="125">
                  <c:v>1.7271447010553108E-6</c:v>
                </c:pt>
                <c:pt idx="126">
                  <c:v>1.3957426307426519E-6</c:v>
                </c:pt>
                <c:pt idx="127">
                  <c:v>1.1256599359759976E-6</c:v>
                </c:pt>
                <c:pt idx="128">
                  <c:v>9.060123660416781E-7</c:v>
                </c:pt>
                <c:pt idx="129">
                  <c:v>7.2775615958695745E-7</c:v>
                </c:pt>
                <c:pt idx="130">
                  <c:v>5.8339445175504695E-7</c:v>
                </c:pt>
                <c:pt idx="131">
                  <c:v>4.667272146961875E-7</c:v>
                </c:pt>
                <c:pt idx="132">
                  <c:v>3.7263887686699013E-7</c:v>
                </c:pt>
                <c:pt idx="133">
                  <c:v>2.9691844731738993E-7</c:v>
                </c:pt>
                <c:pt idx="134">
                  <c:v>2.3610759148118876E-7</c:v>
                </c:pt>
                <c:pt idx="135">
                  <c:v>1.8737266682810308E-7</c:v>
                </c:pt>
                <c:pt idx="136">
                  <c:v>1.4839723275164856E-7</c:v>
                </c:pt>
                <c:pt idx="137">
                  <c:v>1.1729200237645658E-7</c:v>
                </c:pt>
                <c:pt idx="138">
                  <c:v>9.25196080010744E-8</c:v>
                </c:pt>
                <c:pt idx="139">
                  <c:v>7.2831910259742658E-8</c:v>
                </c:pt>
                <c:pt idx="140">
                  <c:v>5.7217897472235169E-8</c:v>
                </c:pt>
                <c:pt idx="141">
                  <c:v>4.4860499723518407E-8</c:v>
                </c:pt>
                <c:pt idx="142">
                  <c:v>3.5100885558870966E-8</c:v>
                </c:pt>
                <c:pt idx="143">
                  <c:v>2.7409021242743633E-8</c:v>
                </c:pt>
                <c:pt idx="144">
                  <c:v>2.1359456583240844E-8</c:v>
                </c:pt>
                <c:pt idx="145">
                  <c:v>1.6611460438569735E-8</c:v>
                </c:pt>
                <c:pt idx="146">
                  <c:v>1.2892766048539943E-8</c:v>
                </c:pt>
                <c:pt idx="147">
                  <c:v>9.9863038974561782E-9</c:v>
                </c:pt>
                <c:pt idx="148">
                  <c:v>7.7194003100154579E-9</c:v>
                </c:pt>
                <c:pt idx="149">
                  <c:v>5.9550055793949007E-9</c:v>
                </c:pt>
                <c:pt idx="150">
                  <c:v>4.5845880791252217E-9</c:v>
                </c:pt>
                <c:pt idx="151">
                  <c:v>3.5223922629404021E-9</c:v>
                </c:pt>
                <c:pt idx="152">
                  <c:v>2.7008102602141945E-9</c:v>
                </c:pt>
                <c:pt idx="153">
                  <c:v>2.0666602986497303E-9</c:v>
                </c:pt>
                <c:pt idx="154">
                  <c:v>1.5782016340385946E-9</c:v>
                </c:pt>
                <c:pt idx="155">
                  <c:v>1.2027460910478695E-9</c:v>
                </c:pt>
                <c:pt idx="156">
                  <c:v>9.1475163396195711E-10</c:v>
                </c:pt>
                <c:pt idx="157">
                  <c:v>6.9430438398049045E-10</c:v>
                </c:pt>
                <c:pt idx="158">
                  <c:v>5.259128623603143E-10</c:v>
                </c:pt>
                <c:pt idx="159">
                  <c:v>3.9755255169649855E-10</c:v>
                </c:pt>
                <c:pt idx="160">
                  <c:v>2.9991063090556731E-10</c:v>
                </c:pt>
              </c:numCache>
            </c:numRef>
          </c:yVal>
          <c:smooth val="0"/>
        </c:ser>
        <c:dLbls>
          <c:showLegendKey val="0"/>
          <c:showVal val="0"/>
          <c:showCatName val="0"/>
          <c:showSerName val="0"/>
          <c:showPercent val="0"/>
          <c:showBubbleSize val="0"/>
        </c:dLbls>
        <c:axId val="122048512"/>
        <c:axId val="122050432"/>
      </c:scatterChart>
      <c:scatterChart>
        <c:scatterStyle val="lineMarker"/>
        <c:varyColors val="0"/>
        <c:ser>
          <c:idx val="2"/>
          <c:order val="2"/>
          <c:tx>
            <c:strRef>
              <c:f>'AEP Input Output sheet'!$D$50</c:f>
              <c:strCache>
                <c:ptCount val="1"/>
                <c:pt idx="0">
                  <c:v>Weibull Betz</c:v>
                </c:pt>
              </c:strCache>
            </c:strRef>
          </c:tx>
          <c:spPr>
            <a:ln w="38100">
              <a:solidFill>
                <a:srgbClr val="FF0000"/>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sheet'!$D$51:$D$211</c:f>
              <c:numCache>
                <c:formatCode>0.0000</c:formatCode>
                <c:ptCount val="161"/>
                <c:pt idx="0">
                  <c:v>0</c:v>
                </c:pt>
                <c:pt idx="1">
                  <c:v>1.0918681959884261E-4</c:v>
                </c:pt>
                <c:pt idx="2">
                  <c:v>1.8691844130605758E-3</c:v>
                </c:pt>
                <c:pt idx="3">
                  <c:v>9.824901780145525E-3</c:v>
                </c:pt>
                <c:pt idx="4">
                  <c:v>3.18198547793812E-2</c:v>
                </c:pt>
                <c:pt idx="5">
                  <c:v>7.8986428790999305E-2</c:v>
                </c:pt>
                <c:pt idx="6">
                  <c:v>0.1656179093010085</c:v>
                </c:pt>
                <c:pt idx="7">
                  <c:v>0.30894275520987752</c:v>
                </c:pt>
                <c:pt idx="8">
                  <c:v>0.52881204226048739</c:v>
                </c:pt>
                <c:pt idx="9">
                  <c:v>0.84730925358102127</c:v>
                </c:pt>
                <c:pt idx="10">
                  <c:v>1.2882918301635258</c:v>
                </c:pt>
                <c:pt idx="11">
                  <c:v>1.8768747538733896</c:v>
                </c:pt>
                <c:pt idx="12">
                  <c:v>2.6388674434645543</c:v>
                </c:pt>
                <c:pt idx="13">
                  <c:v>3.6001761890839408</c:v>
                </c:pt>
                <c:pt idx="14">
                  <c:v>4.7861851221762528</c:v>
                </c:pt>
                <c:pt idx="15">
                  <c:v>6.2211292509497582</c:v>
                </c:pt>
                <c:pt idx="16">
                  <c:v>7.9274733476646873</c:v>
                </c:pt>
                <c:pt idx="17">
                  <c:v>9.9253104310396143</c:v>
                </c:pt>
                <c:pt idx="18">
                  <c:v>12.231793236235179</c:v>
                </c:pt>
                <c:pt idx="19">
                  <c:v>14.860611408442251</c:v>
                </c:pt>
                <c:pt idx="20">
                  <c:v>17.821526206147158</c:v>
                </c:pt>
                <c:pt idx="21">
                  <c:v>21.119973277528906</c:v>
                </c:pt>
                <c:pt idx="22">
                  <c:v>24.756742606827508</c:v>
                </c:pt>
                <c:pt idx="23">
                  <c:v>28.727743052334336</c:v>
                </c:pt>
                <c:pt idx="24">
                  <c:v>33.023857054933394</c:v>
                </c:pt>
                <c:pt idx="25">
                  <c:v>37.630889131266791</c:v>
                </c:pt>
                <c:pt idx="26">
                  <c:v>42.5296097270299</c:v>
                </c:pt>
                <c:pt idx="27">
                  <c:v>47.695893943672324</c:v>
                </c:pt>
                <c:pt idx="28">
                  <c:v>53.100952616143395</c:v>
                </c:pt>
                <c:pt idx="29">
                  <c:v>58.711651259344947</c:v>
                </c:pt>
                <c:pt idx="30">
                  <c:v>64.490910563166153</c:v>
                </c:pt>
                <c:pt idx="31">
                  <c:v>70.398180443125696</c:v>
                </c:pt>
                <c:pt idx="32">
                  <c:v>76.389978183587644</c:v>
                </c:pt>
                <c:pt idx="33">
                  <c:v>82.420479975248895</c:v>
                </c:pt>
                <c:pt idx="34">
                  <c:v>88.442154173509024</c:v>
                </c:pt>
                <c:pt idx="35">
                  <c:v>94.406423907641582</c:v>
                </c:pt>
                <c:pt idx="36">
                  <c:v>100.26434626310382</c:v>
                </c:pt>
                <c:pt idx="37">
                  <c:v>105.96729514393532</c:v>
                </c:pt>
                <c:pt idx="38">
                  <c:v>111.4676350945925</c:v>
                </c:pt>
                <c:pt idx="39">
                  <c:v>116.71937380913657</c:v>
                </c:pt>
                <c:pt idx="40">
                  <c:v>121.67878176217809</c:v>
                </c:pt>
                <c:pt idx="41">
                  <c:v>126.30496833613351</c:v>
                </c:pt>
                <c:pt idx="42">
                  <c:v>130.56040496382943</c:v>
                </c:pt>
                <c:pt idx="43">
                  <c:v>134.41138712075869</c:v>
                </c:pt>
                <c:pt idx="44">
                  <c:v>137.82842845073412</c:v>
                </c:pt>
                <c:pt idx="45">
                  <c:v>140.78658185364984</c:v>
                </c:pt>
                <c:pt idx="46">
                  <c:v>143.2656839649959</c:v>
                </c:pt>
                <c:pt idx="47">
                  <c:v>145.25052107432643</c:v>
                </c:pt>
                <c:pt idx="48">
                  <c:v>146.73091612592691</c:v>
                </c:pt>
                <c:pt idx="49">
                  <c:v>147.70173798352795</c:v>
                </c:pt>
                <c:pt idx="50">
                  <c:v>148.16283558919648</c:v>
                </c:pt>
                <c:pt idx="51">
                  <c:v>148.11890097537142</c:v>
                </c:pt>
                <c:pt idx="52">
                  <c:v>147.57926627368357</c:v>
                </c:pt>
                <c:pt idx="53">
                  <c:v>146.55764088472742</c:v>
                </c:pt>
                <c:pt idx="54">
                  <c:v>145.07179581448349</c:v>
                </c:pt>
                <c:pt idx="55">
                  <c:v>143.14320283591951</c:v>
                </c:pt>
                <c:pt idx="56">
                  <c:v>140.79663659390002</c:v>
                </c:pt>
                <c:pt idx="57">
                  <c:v>138.05974803835448</c:v>
                </c:pt>
                <c:pt idx="58">
                  <c:v>134.96261764980977</c:v>
                </c:pt>
                <c:pt idx="59">
                  <c:v>131.53729682226734</c:v>
                </c:pt>
                <c:pt idx="60">
                  <c:v>127.81734550410954</c:v>
                </c:pt>
                <c:pt idx="61">
                  <c:v>123.83737378454727</c:v>
                </c:pt>
                <c:pt idx="62">
                  <c:v>119.63259456988823</c:v>
                </c:pt>
                <c:pt idx="63">
                  <c:v>115.23839384129978</c:v>
                </c:pt>
                <c:pt idx="64">
                  <c:v>110.68992424565717</c:v>
                </c:pt>
                <c:pt idx="65">
                  <c:v>106.02172696597061</c:v>
                </c:pt>
                <c:pt idx="66">
                  <c:v>101.26738597014354</c:v>
                </c:pt>
                <c:pt idx="67">
                  <c:v>96.459217868204846</c:v>
                </c:pt>
                <c:pt idx="68">
                  <c:v>91.627999739255458</c:v>
                </c:pt>
                <c:pt idx="69">
                  <c:v>86.802736439218179</c:v>
                </c:pt>
                <c:pt idx="70">
                  <c:v>82.010468086132846</c:v>
                </c:pt>
                <c:pt idx="71">
                  <c:v>77.276117656039176</c:v>
                </c:pt>
                <c:pt idx="72">
                  <c:v>72.62237792186535</c:v>
                </c:pt>
                <c:pt idx="73">
                  <c:v>68.069636340069437</c:v>
                </c:pt>
                <c:pt idx="74">
                  <c:v>63.635935942391662</c:v>
                </c:pt>
                <c:pt idx="75">
                  <c:v>59.336969827761607</c:v>
                </c:pt>
                <c:pt idx="76">
                  <c:v>55.186106474532259</c:v>
                </c:pt>
                <c:pt idx="77">
                  <c:v>51.194442805907023</c:v>
                </c:pt>
                <c:pt idx="78">
                  <c:v>47.37088173973504</c:v>
                </c:pt>
                <c:pt idx="79">
                  <c:v>43.722230834029865</c:v>
                </c:pt>
                <c:pt idx="80">
                  <c:v>40.253318596325684</c:v>
                </c:pt>
                <c:pt idx="81">
                  <c:v>36.967125051775028</c:v>
                </c:pt>
                <c:pt idx="82">
                  <c:v>33.8649232541933</c:v>
                </c:pt>
                <c:pt idx="83">
                  <c:v>30.946428567881323</c:v>
                </c:pt>
                <c:pt idx="84">
                  <c:v>28.209952737392207</c:v>
                </c:pt>
                <c:pt idx="85">
                  <c:v>25.652559988711715</c:v>
                </c:pt>
                <c:pt idx="86">
                  <c:v>23.270222659917703</c:v>
                </c:pt>
                <c:pt idx="87">
                  <c:v>21.057974133896362</c:v>
                </c:pt>
                <c:pt idx="88">
                  <c:v>19.010057132212737</c:v>
                </c:pt>
                <c:pt idx="89">
                  <c:v>17.120065720456946</c:v>
                </c:pt>
                <c:pt idx="90">
                  <c:v>15.381079664728793</c:v>
                </c:pt>
                <c:pt idx="91">
                  <c:v>13.78579006061117</c:v>
                </c:pt>
                <c:pt idx="92">
                  <c:v>12.32661542507212</c:v>
                </c:pt>
                <c:pt idx="93">
                  <c:v>10.995807694174816</c:v>
                </c:pt>
                <c:pt idx="94">
                  <c:v>9.7855478020545217</c:v>
                </c:pt>
                <c:pt idx="95">
                  <c:v>8.6880307269874653</c:v>
                </c:pt>
                <c:pt idx="96">
                  <c:v>7.6955400769551998</c:v>
                </c:pt>
                <c:pt idx="97">
                  <c:v>6.8005124490605633</c:v>
                </c:pt>
                <c:pt idx="98">
                  <c:v>5.9955919342947865</c:v>
                </c:pt>
                <c:pt idx="99">
                  <c:v>5.2736752518890277</c:v>
                </c:pt>
                <c:pt idx="100">
                  <c:v>4.6279480866949685</c:v>
                </c:pt>
                <c:pt idx="101">
                  <c:v>4.0519132700243086</c:v>
                </c:pt>
                <c:pt idx="102">
                  <c:v>3.5394114907532757</c:v>
                </c:pt>
                <c:pt idx="103">
                  <c:v>3.084635251119705</c:v>
                </c:pt>
                <c:pt idx="104">
                  <c:v>2.68213679252238</c:v>
                </c:pt>
                <c:pt idx="105">
                  <c:v>2.3268307128811823</c:v>
                </c:pt>
                <c:pt idx="106">
                  <c:v>2.0139919808641218</c:v>
                </c:pt>
                <c:pt idx="107">
                  <c:v>1.73925002563817</c:v>
                </c:pt>
                <c:pt idx="108">
                  <c:v>1.4985795457847957</c:v>
                </c:pt>
                <c:pt idx="109">
                  <c:v>1.2882886395558872</c:v>
                </c:pt>
                <c:pt idx="110">
                  <c:v>1.1050048125085399</c:v>
                </c:pt>
                <c:pt idx="111">
                  <c:v>0.94565936936050077</c:v>
                </c:pt>
                <c:pt idx="112">
                  <c:v>0.80747064609099573</c:v>
                </c:pt>
                <c:pt idx="113">
                  <c:v>0.68792648712686144</c:v>
                </c:pt>
                <c:pt idx="114">
                  <c:v>0.58476632196987477</c:v>
                </c:pt>
                <c:pt idx="115">
                  <c:v>0.49596314672567737</c:v>
                </c:pt>
                <c:pt idx="116">
                  <c:v>0.41970566939946602</c:v>
                </c:pt>
                <c:pt idx="117">
                  <c:v>0.35438083407928461</c:v>
                </c:pt>
                <c:pt idx="118">
                  <c:v>0.29855689863344997</c:v>
                </c:pt>
                <c:pt idx="119">
                  <c:v>0.2509672035694035</c:v>
                </c:pt>
                <c:pt idx="120">
                  <c:v>0.21049473638262473</c:v>
                </c:pt>
                <c:pt idx="121">
                  <c:v>0.17615756610907909</c:v>
                </c:pt>
                <c:pt idx="122">
                  <c:v>0.14709519683911804</c:v>
                </c:pt>
                <c:pt idx="123">
                  <c:v>0.12255586654018806</c:v>
                </c:pt>
                <c:pt idx="124">
                  <c:v>0.10188479849913537</c:v>
                </c:pt>
                <c:pt idx="125">
                  <c:v>8.451339681875894E-2</c:v>
                </c:pt>
                <c:pt idx="126">
                  <c:v>6.9949364444069781E-2</c:v>
                </c:pt>
                <c:pt idx="127">
                  <c:v>5.7767711888346132E-2</c:v>
                </c:pt>
                <c:pt idx="128">
                  <c:v>4.76026169050663E-2</c:v>
                </c:pt>
                <c:pt idx="129">
                  <c:v>3.9140089534681212E-2</c:v>
                </c:pt>
                <c:pt idx="130">
                  <c:v>3.2111392975680303E-2</c:v>
                </c:pt>
                <c:pt idx="131">
                  <c:v>2.6287168328321273E-2</c:v>
                </c:pt>
                <c:pt idx="132">
                  <c:v>2.1472210192025894E-2</c:v>
                </c:pt>
                <c:pt idx="133">
                  <c:v>1.7500840136320455E-2</c:v>
                </c:pt>
                <c:pt idx="134">
                  <c:v>1.4232826002206015E-2</c:v>
                </c:pt>
                <c:pt idx="135">
                  <c:v>1.15497966382849E-2</c:v>
                </c:pt>
                <c:pt idx="136">
                  <c:v>9.352103867010457E-3</c:v>
                </c:pt>
                <c:pt idx="137">
                  <c:v>7.5560860649042097E-3</c:v>
                </c:pt>
                <c:pt idx="138">
                  <c:v>6.091690600324301E-3</c:v>
                </c:pt>
                <c:pt idx="139">
                  <c:v>4.9004153962238575E-3</c:v>
                </c:pt>
                <c:pt idx="140">
                  <c:v>3.9335329837908153E-3</c:v>
                </c:pt>
                <c:pt idx="141">
                  <c:v>3.1505635126733334E-3</c:v>
                </c:pt>
                <c:pt idx="142">
                  <c:v>2.5179662260274298E-3</c:v>
                </c:pt>
                <c:pt idx="143">
                  <c:v>2.0080218482709774E-3</c:v>
                </c:pt>
                <c:pt idx="144">
                  <c:v>1.5978811360002074E-3</c:v>
                </c:pt>
                <c:pt idx="145">
                  <c:v>1.2687574836626357E-3</c:v>
                </c:pt>
                <c:pt idx="146">
                  <c:v>1.0052439393030414E-3</c:v>
                </c:pt>
                <c:pt idx="147">
                  <c:v>7.9473726300604913E-4</c:v>
                </c:pt>
                <c:pt idx="148">
                  <c:v>6.2695374827543757E-4</c:v>
                </c:pt>
                <c:pt idx="149">
                  <c:v>4.9352342583630843E-4</c:v>
                </c:pt>
                <c:pt idx="150">
                  <c:v>3.8765098512245043E-4</c:v>
                </c:pt>
                <c:pt idx="151">
                  <c:v>3.0383328862873223E-4</c:v>
                </c:pt>
                <c:pt idx="152">
                  <c:v>2.3762472792914288E-4</c:v>
                </c:pt>
                <c:pt idx="153">
                  <c:v>1.8544288836356616E-4</c:v>
                </c:pt>
                <c:pt idx="154">
                  <c:v>1.4440806384053722E-4</c:v>
                </c:pt>
                <c:pt idx="155">
                  <c:v>1.1221110590290466E-4</c:v>
                </c:pt>
                <c:pt idx="156">
                  <c:v>8.7004914176542757E-5</c:v>
                </c:pt>
                <c:pt idx="157">
                  <c:v>6.7315590325544471E-5</c:v>
                </c:pt>
                <c:pt idx="158">
                  <c:v>5.1969895962665736E-5</c:v>
                </c:pt>
                <c:pt idx="159">
                  <c:v>4.0036187294762958E-5</c:v>
                </c:pt>
                <c:pt idx="160">
                  <c:v>3.0776455596140673E-5</c:v>
                </c:pt>
              </c:numCache>
            </c:numRef>
          </c:yVal>
          <c:smooth val="0"/>
        </c:ser>
        <c:ser>
          <c:idx val="3"/>
          <c:order val="3"/>
          <c:tx>
            <c:strRef>
              <c:f>'AEP Input Output sheet'!$F$50</c:f>
              <c:strCache>
                <c:ptCount val="1"/>
                <c:pt idx="0">
                  <c:v>Turbine Energy</c:v>
                </c:pt>
              </c:strCache>
            </c:strRef>
          </c:tx>
          <c:spPr>
            <a:ln w="38100">
              <a:solidFill>
                <a:srgbClr val="0000FF"/>
              </a:solidFill>
              <a:prstDash val="solid"/>
            </a:ln>
          </c:spPr>
          <c:marker>
            <c:symbol val="diamond"/>
            <c:size val="5"/>
            <c:spPr>
              <a:noFill/>
              <a:ln>
                <a:solidFill>
                  <a:srgbClr val="0000FF"/>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sheet'!$F$51:$F$211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5.1666183142915463</c:v>
                </c:pt>
                <c:pt idx="18">
                  <c:v>6.7030346428084533</c:v>
                </c:pt>
                <c:pt idx="19">
                  <c:v>8.4701712416212214</c:v>
                </c:pt>
                <c:pt idx="20">
                  <c:v>10.474985650081013</c:v>
                </c:pt>
                <c:pt idx="21">
                  <c:v>12.721378459810383</c:v>
                </c:pt>
                <c:pt idx="22">
                  <c:v>15.209971366527173</c:v>
                </c:pt>
                <c:pt idx="23">
                  <c:v>17.937944413942841</c:v>
                </c:pt>
                <c:pt idx="24">
                  <c:v>20.898936305921669</c:v>
                </c:pt>
                <c:pt idx="25">
                  <c:v>24.083010287822422</c:v>
                </c:pt>
                <c:pt idx="26">
                  <c:v>27.476686673069256</c:v>
                </c:pt>
                <c:pt idx="27">
                  <c:v>31.06304165101534</c:v>
                </c:pt>
                <c:pt idx="28">
                  <c:v>34.82187059182332</c:v>
                </c:pt>
                <c:pt idx="29">
                  <c:v>38.729912697383455</c:v>
                </c:pt>
                <c:pt idx="30">
                  <c:v>42.761132566484974</c:v>
                </c:pt>
                <c:pt idx="31">
                  <c:v>46.887053077207952</c:v>
                </c:pt>
                <c:pt idx="32">
                  <c:v>51.077132966073265</c:v>
                </c:pt>
                <c:pt idx="33">
                  <c:v>55.299181624073498</c:v>
                </c:pt>
                <c:pt idx="34">
                  <c:v>59.519802951910883</c:v>
                </c:pt>
                <c:pt idx="35">
                  <c:v>63.704859633195937</c:v>
                </c:pt>
                <c:pt idx="36">
                  <c:v>67.819948902405557</c:v>
                </c:pt>
                <c:pt idx="37">
                  <c:v>71.830880806143455</c:v>
                </c:pt>
                <c:pt idx="38">
                  <c:v>75.704150078552729</c:v>
                </c:pt>
                <c:pt idx="39">
                  <c:v>79.407393066465232</c:v>
                </c:pt>
                <c:pt idx="40">
                  <c:v>82.996145410536954</c:v>
                </c:pt>
                <c:pt idx="41">
                  <c:v>86.180239888896807</c:v>
                </c:pt>
                <c:pt idx="42">
                  <c:v>88.813558099479877</c:v>
                </c:pt>
                <c:pt idx="43">
                  <c:v>90.902210142100699</c:v>
                </c:pt>
                <c:pt idx="44">
                  <c:v>92.457281707784801</c:v>
                </c:pt>
                <c:pt idx="45">
                  <c:v>92.501375039592958</c:v>
                </c:pt>
                <c:pt idx="46">
                  <c:v>88.123786071724368</c:v>
                </c:pt>
                <c:pt idx="47">
                  <c:v>83.762299296151085</c:v>
                </c:pt>
                <c:pt idx="48">
                  <c:v>79.436917273065887</c:v>
                </c:pt>
                <c:pt idx="49">
                  <c:v>75.166067666600071</c:v>
                </c:pt>
                <c:pt idx="50">
                  <c:v>70.966556601631595</c:v>
                </c:pt>
                <c:pt idx="51">
                  <c:v>66.853541381291848</c:v>
                </c:pt>
                <c:pt idx="52">
                  <c:v>62.840521569824119</c:v>
                </c:pt>
                <c:pt idx="53">
                  <c:v>58.939347267329261</c:v>
                </c:pt>
                <c:pt idx="54">
                  <c:v>55.160243254572286</c:v>
                </c:pt>
                <c:pt idx="55">
                  <c:v>51.511847567904994</c:v>
                </c:pt>
                <c:pt idx="56">
                  <c:v>48.001262976382776</c:v>
                </c:pt>
                <c:pt idx="57">
                  <c:v>44.634119774658977</c:v>
                </c:pt>
                <c:pt idx="58">
                  <c:v>41.414648275062405</c:v>
                </c:pt>
                <c:pt idx="59">
                  <c:v>38.345759378799691</c:v>
                </c:pt>
                <c:pt idx="60">
                  <c:v>35.42913162748475</c:v>
                </c:pt>
                <c:pt idx="61">
                  <c:v>32.665303179897052</c:v>
                </c:pt>
                <c:pt idx="62">
                  <c:v>30.053767222474814</c:v>
                </c:pt>
                <c:pt idx="63">
                  <c:v>27.593069402862827</c:v>
                </c:pt>
                <c:pt idx="64">
                  <c:v>25.280905971060236</c:v>
                </c:pt>
                <c:pt idx="65">
                  <c:v>23.114221419524196</c:v>
                </c:pt>
                <c:pt idx="66">
                  <c:v>21.089304529172868</c:v>
                </c:pt>
                <c:pt idx="67">
                  <c:v>19.201881849879531</c:v>
                </c:pt>
                <c:pt idx="68">
                  <c:v>17.447207769159494</c:v>
                </c:pt>
                <c:pt idx="69">
                  <c:v>15.820150448907238</c:v>
                </c:pt>
                <c:pt idx="70">
                  <c:v>14.31527303502151</c:v>
                </c:pt>
                <c:pt idx="71">
                  <c:v>12.926909666574362</c:v>
                </c:pt>
                <c:pt idx="72">
                  <c:v>11.649235928099147</c:v>
                </c:pt>
                <c:pt idx="73">
                  <c:v>10.476333499112728</c:v>
                </c:pt>
                <c:pt idx="74">
                  <c:v>9.4022488579366978</c:v>
                </c:pt>
                <c:pt idx="75">
                  <c:v>8.4210459912905034</c:v>
                </c:pt>
                <c:pt idx="76">
                  <c:v>7.5268531463005308</c:v>
                </c:pt>
                <c:pt idx="77">
                  <c:v>6.713903737054129</c:v>
                </c:pt>
                <c:pt idx="78">
                  <c:v>5.9765715834001609</c:v>
                </c:pt>
                <c:pt idx="79">
                  <c:v>5.3094007153421865</c:v>
                </c:pt>
                <c:pt idx="80">
                  <c:v>4.7071300222553401</c:v>
                </c:pt>
                <c:pt idx="81">
                  <c:v>4.1647130626134041</c:v>
                </c:pt>
                <c:pt idx="82">
                  <c:v>3.677333377405188</c:v>
                </c:pt>
                <c:pt idx="83">
                  <c:v>3.2404156695293067</c:v>
                </c:pt>
                <c:pt idx="84">
                  <c:v>2.8496332228490062</c:v>
                </c:pt>
                <c:pt idx="85">
                  <c:v>2.5009119389951349</c:v>
                </c:pt>
                <c:pt idx="86">
                  <c:v>2.1904313681970726</c:v>
                </c:pt>
                <c:pt idx="87">
                  <c:v>1.9146231031910104</c:v>
                </c:pt>
                <c:pt idx="88">
                  <c:v>1.6701668933981586</c:v>
                </c:pt>
                <c:pt idx="89">
                  <c:v>1.4539848208632726</c:v>
                </c:pt>
                <c:pt idx="90">
                  <c:v>1.2632338606493858</c:v>
                </c:pt>
                <c:pt idx="91">
                  <c:v>1.0952971272125929</c:v>
                </c:pt>
                <c:pt idx="92">
                  <c:v>0.94777408539514674</c:v>
                </c:pt>
                <c:pt idx="93">
                  <c:v>0.81846998068622978</c:v>
                </c:pt>
                <c:pt idx="94">
                  <c:v>0.70538471885503118</c:v>
                </c:pt>
                <c:pt idx="95">
                  <c:v>0.60670140044565268</c:v>
                </c:pt>
                <c:pt idx="96">
                  <c:v>0.52077469135749233</c:v>
                </c:pt>
                <c:pt idx="97">
                  <c:v>0.4461191871737562</c:v>
                </c:pt>
                <c:pt idx="98">
                  <c:v>0.38139790633741799</c:v>
                </c:pt>
                <c:pt idx="99">
                  <c:v>0.32541102594169291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ser>
          <c:idx val="4"/>
          <c:order val="4"/>
          <c:tx>
            <c:strRef>
              <c:f>'AEP Input Output sheet'!$E$50</c:f>
              <c:strCache>
                <c:ptCount val="1"/>
                <c:pt idx="0">
                  <c:v>Weibull Cp</c:v>
                </c:pt>
              </c:strCache>
            </c:strRef>
          </c:tx>
          <c:spPr>
            <a:ln w="38100">
              <a:solidFill>
                <a:srgbClr val="333399"/>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sheet'!$E$51:$E$211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5.1666183142915481</c:v>
                </c:pt>
                <c:pt idx="18">
                  <c:v>6.7030346428084542</c:v>
                </c:pt>
                <c:pt idx="19">
                  <c:v>8.4701712416212214</c:v>
                </c:pt>
                <c:pt idx="20">
                  <c:v>10.474985650081015</c:v>
                </c:pt>
                <c:pt idx="21">
                  <c:v>12.721378459810381</c:v>
                </c:pt>
                <c:pt idx="22">
                  <c:v>15.209971366527178</c:v>
                </c:pt>
                <c:pt idx="23">
                  <c:v>17.937944413942851</c:v>
                </c:pt>
                <c:pt idx="24">
                  <c:v>20.898936305921666</c:v>
                </c:pt>
                <c:pt idx="25">
                  <c:v>24.083010287822429</c:v>
                </c:pt>
                <c:pt idx="26">
                  <c:v>27.476686673069263</c:v>
                </c:pt>
                <c:pt idx="27">
                  <c:v>31.063041651015343</c:v>
                </c:pt>
                <c:pt idx="28">
                  <c:v>34.82187059182332</c:v>
                </c:pt>
                <c:pt idx="29">
                  <c:v>38.729912697383462</c:v>
                </c:pt>
                <c:pt idx="30">
                  <c:v>42.761132566484974</c:v>
                </c:pt>
                <c:pt idx="31">
                  <c:v>46.887053077207959</c:v>
                </c:pt>
                <c:pt idx="32">
                  <c:v>51.077132966073265</c:v>
                </c:pt>
                <c:pt idx="33">
                  <c:v>55.299181624073512</c:v>
                </c:pt>
                <c:pt idx="34">
                  <c:v>59.519802951910918</c:v>
                </c:pt>
                <c:pt idx="35">
                  <c:v>63.704859633195937</c:v>
                </c:pt>
                <c:pt idx="36">
                  <c:v>67.819948902405571</c:v>
                </c:pt>
                <c:pt idx="37">
                  <c:v>71.830880806143441</c:v>
                </c:pt>
                <c:pt idx="38">
                  <c:v>75.704150078552729</c:v>
                </c:pt>
                <c:pt idx="39">
                  <c:v>79.407393066465247</c:v>
                </c:pt>
                <c:pt idx="40">
                  <c:v>82.911481545462806</c:v>
                </c:pt>
                <c:pt idx="41">
                  <c:v>86.182583973218286</c:v>
                </c:pt>
                <c:pt idx="42">
                  <c:v>89.192902236849008</c:v>
                </c:pt>
                <c:pt idx="43">
                  <c:v>91.919980081198077</c:v>
                </c:pt>
                <c:pt idx="44">
                  <c:v>94.344025297198542</c:v>
                </c:pt>
                <c:pt idx="45">
                  <c:v>96.433765617512719</c:v>
                </c:pt>
                <c:pt idx="46">
                  <c:v>98.131861762754355</c:v>
                </c:pt>
                <c:pt idx="47">
                  <c:v>99.491404086106527</c:v>
                </c:pt>
                <c:pt idx="48">
                  <c:v>100.50542166894525</c:v>
                </c:pt>
                <c:pt idx="49">
                  <c:v>101.17039986672249</c:v>
                </c:pt>
                <c:pt idx="50">
                  <c:v>101.48623521016495</c:v>
                </c:pt>
                <c:pt idx="51">
                  <c:v>101.45614157342543</c:v>
                </c:pt>
                <c:pt idx="52">
                  <c:v>101.08651113239561</c:v>
                </c:pt>
                <c:pt idx="53">
                  <c:v>100.38673433541429</c:v>
                </c:pt>
                <c:pt idx="54">
                  <c:v>99.368983685023565</c:v>
                </c:pt>
                <c:pt idx="55">
                  <c:v>98.047966576590937</c:v>
                </c:pt>
                <c:pt idx="56">
                  <c:v>96.44065275442496</c:v>
                </c:pt>
                <c:pt idx="57">
                  <c:v>94.565982128774792</c:v>
                </c:pt>
                <c:pt idx="58">
                  <c:v>92.444558751323456</c:v>
                </c:pt>
                <c:pt idx="59">
                  <c:v>90.098336678886312</c:v>
                </c:pt>
                <c:pt idx="60">
                  <c:v>87.550303273993421</c:v>
                </c:pt>
                <c:pt idx="61">
                  <c:v>84.824165208026557</c:v>
                </c:pt>
                <c:pt idx="62">
                  <c:v>81.944042060485913</c:v>
                </c:pt>
                <c:pt idx="63">
                  <c:v>78.934171960951176</c:v>
                </c:pt>
                <c:pt idx="64">
                  <c:v>75.818633213369807</c:v>
                </c:pt>
                <c:pt idx="65">
                  <c:v>72.621085290844306</c:v>
                </c:pt>
                <c:pt idx="66">
                  <c:v>69.364532008416319</c:v>
                </c:pt>
                <c:pt idx="67">
                  <c:v>66.071109086379977</c:v>
                </c:pt>
                <c:pt idx="68">
                  <c:v>62.761897721489483</c:v>
                </c:pt>
                <c:pt idx="69">
                  <c:v>59.456765201102783</c:v>
                </c:pt>
                <c:pt idx="70">
                  <c:v>56.1742330375046</c:v>
                </c:pt>
                <c:pt idx="71">
                  <c:v>52.931372576545215</c:v>
                </c:pt>
                <c:pt idx="72">
                  <c:v>49.743727554829029</c:v>
                </c:pt>
                <c:pt idx="73">
                  <c:v>46.62526264975449</c:v>
                </c:pt>
                <c:pt idx="74">
                  <c:v>43.588336691765214</c:v>
                </c:pt>
                <c:pt idx="75">
                  <c:v>40.643698891503732</c:v>
                </c:pt>
                <c:pt idx="76">
                  <c:v>37.800506177785152</c:v>
                </c:pt>
                <c:pt idx="77">
                  <c:v>35.066359545513833</c:v>
                </c:pt>
                <c:pt idx="78">
                  <c:v>32.447357174515389</c:v>
                </c:pt>
                <c:pt idx="79">
                  <c:v>29.948161998183476</c:v>
                </c:pt>
                <c:pt idx="80">
                  <c:v>27.572081371222691</c:v>
                </c:pt>
                <c:pt idx="81">
                  <c:v>25.321156504118491</c:v>
                </c:pt>
                <c:pt idx="82">
                  <c:v>23.196259393133854</c:v>
                </c:pt>
                <c:pt idx="83">
                  <c:v>21.197195073010441</c:v>
                </c:pt>
                <c:pt idx="84">
                  <c:v>19.322807149240173</c:v>
                </c:pt>
                <c:pt idx="85">
                  <c:v>17.571084721782235</c:v>
                </c:pt>
                <c:pt idx="86">
                  <c:v>15.939268986490147</c:v>
                </c:pt>
                <c:pt idx="87">
                  <c:v>14.423957988544363</c:v>
                </c:pt>
                <c:pt idx="88">
                  <c:v>13.021208198441704</c:v>
                </c:pt>
                <c:pt idx="89">
                  <c:v>11.726631780570919</c:v>
                </c:pt>
                <c:pt idx="90">
                  <c:v>10.535488622592016</c:v>
                </c:pt>
                <c:pt idx="91">
                  <c:v>9.4427723867830338</c:v>
                </c:pt>
                <c:pt idx="92">
                  <c:v>8.4432900288345571</c:v>
                </c:pt>
                <c:pt idx="93">
                  <c:v>7.5317344024842372</c:v>
                </c:pt>
                <c:pt idx="94">
                  <c:v>6.7027497276923809</c:v>
                </c:pt>
                <c:pt idx="95">
                  <c:v>5.9509898441528062</c:v>
                </c:pt>
                <c:pt idx="96">
                  <c:v>5.2711692997327697</c:v>
                </c:pt>
                <c:pt idx="97">
                  <c:v>4.6581074343675635</c:v>
                </c:pt>
                <c:pt idx="98">
                  <c:v>4.1067657138736342</c:v>
                </c:pt>
                <c:pt idx="99">
                  <c:v>3.6122786453626774</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dLbls>
          <c:showLegendKey val="0"/>
          <c:showVal val="0"/>
          <c:showCatName val="0"/>
          <c:showSerName val="0"/>
          <c:showPercent val="0"/>
          <c:showBubbleSize val="0"/>
        </c:dLbls>
        <c:axId val="122051968"/>
        <c:axId val="122066048"/>
      </c:scatterChart>
      <c:valAx>
        <c:axId val="122048512"/>
        <c:scaling>
          <c:orientation val="minMax"/>
          <c:max val="40"/>
          <c:min val="0"/>
        </c:scaling>
        <c:delete val="0"/>
        <c:axPos val="b"/>
        <c:title>
          <c:tx>
            <c:rich>
              <a:bodyPr/>
              <a:lstStyle/>
              <a:p>
                <a:pPr>
                  <a:defRPr sz="800" b="1" i="0" u="none" strike="noStrike" baseline="0">
                    <a:solidFill>
                      <a:srgbClr val="000000"/>
                    </a:solidFill>
                    <a:latin typeface="Arial"/>
                    <a:ea typeface="Arial"/>
                    <a:cs typeface="Arial"/>
                  </a:defRPr>
                </a:pPr>
                <a:r>
                  <a:rPr lang="en-US"/>
                  <a:t>Windspeed (m/s)</a:t>
                </a:r>
              </a:p>
            </c:rich>
          </c:tx>
          <c:layout>
            <c:manualLayout>
              <c:xMode val="edge"/>
              <c:yMode val="edge"/>
              <c:x val="0.4184876700298415"/>
              <c:y val="0.808049535603717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2050432"/>
        <c:crosses val="autoZero"/>
        <c:crossBetween val="midCat"/>
      </c:valAx>
      <c:valAx>
        <c:axId val="122050432"/>
        <c:scaling>
          <c:orientation val="minMax"/>
        </c:scaling>
        <c:delete val="0"/>
        <c:axPos val="l"/>
        <c:majorGridlines>
          <c:spPr>
            <a:ln w="3175">
              <a:solidFill>
                <a:srgbClr val="000000"/>
              </a:solidFill>
              <a:prstDash val="solid"/>
            </a:ln>
          </c:spPr>
        </c:majorGridlines>
        <c:numFmt formatCode="0.0000" sourceLinked="1"/>
        <c:majorTickMark val="out"/>
        <c:minorTickMark val="none"/>
        <c:tickLblPos val="none"/>
        <c:spPr>
          <a:ln w="3175">
            <a:solidFill>
              <a:srgbClr val="000000"/>
            </a:solidFill>
            <a:prstDash val="solid"/>
          </a:ln>
        </c:spPr>
        <c:crossAx val="122048512"/>
        <c:crosses val="autoZero"/>
        <c:crossBetween val="midCat"/>
      </c:valAx>
      <c:valAx>
        <c:axId val="122051968"/>
        <c:scaling>
          <c:orientation val="minMax"/>
        </c:scaling>
        <c:delete val="1"/>
        <c:axPos val="b"/>
        <c:numFmt formatCode="0.00" sourceLinked="1"/>
        <c:majorTickMark val="out"/>
        <c:minorTickMark val="none"/>
        <c:tickLblPos val="none"/>
        <c:crossAx val="122066048"/>
        <c:crosses val="autoZero"/>
        <c:crossBetween val="midCat"/>
      </c:valAx>
      <c:valAx>
        <c:axId val="122066048"/>
        <c:scaling>
          <c:orientation val="minMax"/>
        </c:scaling>
        <c:delete val="0"/>
        <c:axPos val="r"/>
        <c:numFmt formatCode="0.0000" sourceLinked="1"/>
        <c:majorTickMark val="cross"/>
        <c:minorTickMark val="none"/>
        <c:tickLblPos val="none"/>
        <c:spPr>
          <a:ln w="3175">
            <a:solidFill>
              <a:srgbClr val="000000"/>
            </a:solidFill>
            <a:prstDash val="solid"/>
          </a:ln>
        </c:spPr>
        <c:crossAx val="122051968"/>
        <c:crosses val="max"/>
        <c:crossBetween val="midCat"/>
      </c:valAx>
      <c:spPr>
        <a:solidFill>
          <a:srgbClr val="C0C0C0"/>
        </a:solidFill>
        <a:ln w="12700">
          <a:solidFill>
            <a:srgbClr val="808080"/>
          </a:solidFill>
          <a:prstDash val="solid"/>
        </a:ln>
      </c:spPr>
    </c:plotArea>
    <c:legend>
      <c:legendPos val="b"/>
      <c:layout>
        <c:manualLayout>
          <c:xMode val="edge"/>
          <c:yMode val="edge"/>
          <c:x val="4.5378015960932674E-2"/>
          <c:y val="0.91021671826625172"/>
          <c:w val="0.90924436726777969"/>
          <c:h val="6.8111455108359142E-2"/>
        </c:manualLayout>
      </c:layout>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Power Curve</a:t>
            </a:r>
          </a:p>
        </c:rich>
      </c:tx>
      <c:layout>
        <c:manualLayout>
          <c:xMode val="edge"/>
          <c:yMode val="edge"/>
          <c:x val="0.43386324077911331"/>
          <c:y val="3.4055727554179689E-2"/>
        </c:manualLayout>
      </c:layout>
      <c:overlay val="0"/>
      <c:spPr>
        <a:noFill/>
        <a:ln w="25400">
          <a:noFill/>
        </a:ln>
      </c:spPr>
    </c:title>
    <c:autoTitleDeleted val="0"/>
    <c:plotArea>
      <c:layout>
        <c:manualLayout>
          <c:layoutTarget val="inner"/>
          <c:xMode val="edge"/>
          <c:yMode val="edge"/>
          <c:x val="0.13051168862931381"/>
          <c:y val="0.1826625386996904"/>
          <c:w val="0.83068926141090271"/>
          <c:h val="0.5417956656346774"/>
        </c:manualLayout>
      </c:layout>
      <c:scatterChart>
        <c:scatterStyle val="lineMarker"/>
        <c:varyColors val="0"/>
        <c:ser>
          <c:idx val="0"/>
          <c:order val="0"/>
          <c:tx>
            <c:strRef>
              <c:f>'AEP Input Output sheet'!$G$50</c:f>
              <c:strCache>
                <c:ptCount val="1"/>
                <c:pt idx="0">
                  <c:v>Idealized Turbine power</c:v>
                </c:pt>
              </c:strCache>
            </c:strRef>
          </c:tx>
          <c:spPr>
            <a:ln w="38100">
              <a:solidFill>
                <a:srgbClr val="0000FF"/>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sheet'!$G$51:$G$211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64.073114990131216</c:v>
                </c:pt>
                <c:pt idx="18">
                  <c:v>80.069228142984514</c:v>
                </c:pt>
                <c:pt idx="19">
                  <c:v>97.945189196281973</c:v>
                </c:pt>
                <c:pt idx="20">
                  <c:v>117.80543414449264</c:v>
                </c:pt>
                <c:pt idx="21">
                  <c:v>139.75439898208569</c:v>
                </c:pt>
                <c:pt idx="22">
                  <c:v>163.8965197035302</c:v>
                </c:pt>
                <c:pt idx="23">
                  <c:v>190.33623230329525</c:v>
                </c:pt>
                <c:pt idx="24">
                  <c:v>219.17797277585021</c:v>
                </c:pt>
                <c:pt idx="25">
                  <c:v>250.52617711566387</c:v>
                </c:pt>
                <c:pt idx="26">
                  <c:v>284.48528131720548</c:v>
                </c:pt>
                <c:pt idx="27">
                  <c:v>321.15972137494424</c:v>
                </c:pt>
                <c:pt idx="28">
                  <c:v>360.6539332833492</c:v>
                </c:pt>
                <c:pt idx="29">
                  <c:v>403.07235303688935</c:v>
                </c:pt>
                <c:pt idx="30">
                  <c:v>448.51941663003407</c:v>
                </c:pt>
                <c:pt idx="31">
                  <c:v>497.09956005725218</c:v>
                </c:pt>
                <c:pt idx="32">
                  <c:v>548.91721931301333</c:v>
                </c:pt>
                <c:pt idx="33">
                  <c:v>604.07683039178573</c:v>
                </c:pt>
                <c:pt idx="34">
                  <c:v>662.68282928803933</c:v>
                </c:pt>
                <c:pt idx="35">
                  <c:v>724.83965199624311</c:v>
                </c:pt>
                <c:pt idx="36">
                  <c:v>790.65173451086559</c:v>
                </c:pt>
                <c:pt idx="37">
                  <c:v>860.22351282637703</c:v>
                </c:pt>
                <c:pt idx="38">
                  <c:v>933.65942293724549</c:v>
                </c:pt>
                <c:pt idx="39">
                  <c:v>1011.0639008379403</c:v>
                </c:pt>
                <c:pt idx="40">
                  <c:v>1093.6789111778035</c:v>
                </c:pt>
                <c:pt idx="41">
                  <c:v>1178.1636749505246</c:v>
                </c:pt>
                <c:pt idx="42">
                  <c:v>1262.6484387232456</c:v>
                </c:pt>
                <c:pt idx="43">
                  <c:v>1347.133202495967</c:v>
                </c:pt>
                <c:pt idx="44">
                  <c:v>1431.617966268688</c:v>
                </c:pt>
                <c:pt idx="45">
                  <c:v>1500</c:v>
                </c:pt>
                <c:pt idx="46">
                  <c:v>1500</c:v>
                </c:pt>
                <c:pt idx="47">
                  <c:v>1500</c:v>
                </c:pt>
                <c:pt idx="48">
                  <c:v>1500</c:v>
                </c:pt>
                <c:pt idx="49">
                  <c:v>1500</c:v>
                </c:pt>
                <c:pt idx="50">
                  <c:v>1500</c:v>
                </c:pt>
                <c:pt idx="51">
                  <c:v>1500</c:v>
                </c:pt>
                <c:pt idx="52">
                  <c:v>1500</c:v>
                </c:pt>
                <c:pt idx="53">
                  <c:v>1500</c:v>
                </c:pt>
                <c:pt idx="54">
                  <c:v>1500</c:v>
                </c:pt>
                <c:pt idx="55">
                  <c:v>1500</c:v>
                </c:pt>
                <c:pt idx="56">
                  <c:v>1500</c:v>
                </c:pt>
                <c:pt idx="57">
                  <c:v>1500</c:v>
                </c:pt>
                <c:pt idx="58">
                  <c:v>1500</c:v>
                </c:pt>
                <c:pt idx="59">
                  <c:v>1500</c:v>
                </c:pt>
                <c:pt idx="60">
                  <c:v>1500</c:v>
                </c:pt>
                <c:pt idx="61">
                  <c:v>1500</c:v>
                </c:pt>
                <c:pt idx="62">
                  <c:v>1500</c:v>
                </c:pt>
                <c:pt idx="63">
                  <c:v>1500</c:v>
                </c:pt>
                <c:pt idx="64">
                  <c:v>1500</c:v>
                </c:pt>
                <c:pt idx="65">
                  <c:v>1500</c:v>
                </c:pt>
                <c:pt idx="66">
                  <c:v>1500</c:v>
                </c:pt>
                <c:pt idx="67">
                  <c:v>1500</c:v>
                </c:pt>
                <c:pt idx="68">
                  <c:v>1500</c:v>
                </c:pt>
                <c:pt idx="69">
                  <c:v>1500</c:v>
                </c:pt>
                <c:pt idx="70">
                  <c:v>1500</c:v>
                </c:pt>
                <c:pt idx="71">
                  <c:v>1500</c:v>
                </c:pt>
                <c:pt idx="72">
                  <c:v>1500</c:v>
                </c:pt>
                <c:pt idx="73">
                  <c:v>1500</c:v>
                </c:pt>
                <c:pt idx="74">
                  <c:v>1500</c:v>
                </c:pt>
                <c:pt idx="75">
                  <c:v>1500</c:v>
                </c:pt>
                <c:pt idx="76">
                  <c:v>1500</c:v>
                </c:pt>
                <c:pt idx="77">
                  <c:v>1500</c:v>
                </c:pt>
                <c:pt idx="78">
                  <c:v>1500</c:v>
                </c:pt>
                <c:pt idx="79">
                  <c:v>1500</c:v>
                </c:pt>
                <c:pt idx="80">
                  <c:v>1500</c:v>
                </c:pt>
                <c:pt idx="81">
                  <c:v>1500</c:v>
                </c:pt>
                <c:pt idx="82">
                  <c:v>1500</c:v>
                </c:pt>
                <c:pt idx="83">
                  <c:v>1500</c:v>
                </c:pt>
                <c:pt idx="84">
                  <c:v>1500</c:v>
                </c:pt>
                <c:pt idx="85">
                  <c:v>1500</c:v>
                </c:pt>
                <c:pt idx="86">
                  <c:v>1500</c:v>
                </c:pt>
                <c:pt idx="87">
                  <c:v>1500</c:v>
                </c:pt>
                <c:pt idx="88">
                  <c:v>1500</c:v>
                </c:pt>
                <c:pt idx="89">
                  <c:v>1500</c:v>
                </c:pt>
                <c:pt idx="90">
                  <c:v>1500</c:v>
                </c:pt>
                <c:pt idx="91">
                  <c:v>1500</c:v>
                </c:pt>
                <c:pt idx="92">
                  <c:v>1500</c:v>
                </c:pt>
                <c:pt idx="93">
                  <c:v>1500</c:v>
                </c:pt>
                <c:pt idx="94">
                  <c:v>1500</c:v>
                </c:pt>
                <c:pt idx="95">
                  <c:v>1500</c:v>
                </c:pt>
                <c:pt idx="96">
                  <c:v>1500</c:v>
                </c:pt>
                <c:pt idx="97">
                  <c:v>1500</c:v>
                </c:pt>
                <c:pt idx="98">
                  <c:v>1500</c:v>
                </c:pt>
                <c:pt idx="99">
                  <c:v>1500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ser>
          <c:idx val="1"/>
          <c:order val="1"/>
          <c:tx>
            <c:strRef>
              <c:f>'AEP Input Output sheet'!$N$50</c:f>
              <c:strCache>
                <c:ptCount val="1"/>
                <c:pt idx="0">
                  <c:v>Idealized Turbine power</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sheet'!$N$51:$N$211</c:f>
              <c:numCache>
                <c:formatCode>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64.073114990131216</c:v>
                </c:pt>
                <c:pt idx="18">
                  <c:v>80.069228142984514</c:v>
                </c:pt>
                <c:pt idx="19">
                  <c:v>97.945189196281973</c:v>
                </c:pt>
                <c:pt idx="20">
                  <c:v>117.80543414449264</c:v>
                </c:pt>
                <c:pt idx="21">
                  <c:v>139.75439898208569</c:v>
                </c:pt>
                <c:pt idx="22">
                  <c:v>163.8965197035302</c:v>
                </c:pt>
                <c:pt idx="23">
                  <c:v>190.33623230329525</c:v>
                </c:pt>
                <c:pt idx="24">
                  <c:v>219.17797277585021</c:v>
                </c:pt>
                <c:pt idx="25">
                  <c:v>250.52617711566387</c:v>
                </c:pt>
                <c:pt idx="26">
                  <c:v>284.48528131720548</c:v>
                </c:pt>
                <c:pt idx="27">
                  <c:v>321.15972137494424</c:v>
                </c:pt>
                <c:pt idx="28">
                  <c:v>360.6539332833492</c:v>
                </c:pt>
                <c:pt idx="29">
                  <c:v>403.07235303688935</c:v>
                </c:pt>
                <c:pt idx="30">
                  <c:v>448.51941663003407</c:v>
                </c:pt>
                <c:pt idx="31">
                  <c:v>497.09956005725218</c:v>
                </c:pt>
                <c:pt idx="32">
                  <c:v>548.91721931301333</c:v>
                </c:pt>
                <c:pt idx="33">
                  <c:v>604.07683039178573</c:v>
                </c:pt>
                <c:pt idx="34">
                  <c:v>662.68282928803933</c:v>
                </c:pt>
                <c:pt idx="35">
                  <c:v>724.83965199624311</c:v>
                </c:pt>
                <c:pt idx="36">
                  <c:v>790.65173451086559</c:v>
                </c:pt>
                <c:pt idx="37">
                  <c:v>860.22351282637703</c:v>
                </c:pt>
                <c:pt idx="38">
                  <c:v>933.65942293724549</c:v>
                </c:pt>
                <c:pt idx="39">
                  <c:v>1011.0639008379403</c:v>
                </c:pt>
                <c:pt idx="40">
                  <c:v>1093.6789111778035</c:v>
                </c:pt>
                <c:pt idx="41">
                  <c:v>1178.1636749505246</c:v>
                </c:pt>
                <c:pt idx="42">
                  <c:v>1262.6484387232456</c:v>
                </c:pt>
                <c:pt idx="43">
                  <c:v>1347.133202495967</c:v>
                </c:pt>
                <c:pt idx="44">
                  <c:v>1431.617966268688</c:v>
                </c:pt>
                <c:pt idx="45">
                  <c:v>1500</c:v>
                </c:pt>
                <c:pt idx="46">
                  <c:v>1500</c:v>
                </c:pt>
                <c:pt idx="47">
                  <c:v>1500</c:v>
                </c:pt>
                <c:pt idx="48">
                  <c:v>1500</c:v>
                </c:pt>
                <c:pt idx="49">
                  <c:v>1500</c:v>
                </c:pt>
                <c:pt idx="50">
                  <c:v>1500</c:v>
                </c:pt>
                <c:pt idx="51">
                  <c:v>1500</c:v>
                </c:pt>
                <c:pt idx="52">
                  <c:v>1500</c:v>
                </c:pt>
                <c:pt idx="53">
                  <c:v>1500</c:v>
                </c:pt>
                <c:pt idx="54">
                  <c:v>1500</c:v>
                </c:pt>
                <c:pt idx="55">
                  <c:v>1500</c:v>
                </c:pt>
                <c:pt idx="56">
                  <c:v>1500</c:v>
                </c:pt>
                <c:pt idx="57">
                  <c:v>1500</c:v>
                </c:pt>
                <c:pt idx="58">
                  <c:v>1500</c:v>
                </c:pt>
                <c:pt idx="59">
                  <c:v>1500</c:v>
                </c:pt>
                <c:pt idx="60">
                  <c:v>1500</c:v>
                </c:pt>
                <c:pt idx="61">
                  <c:v>1500</c:v>
                </c:pt>
                <c:pt idx="62">
                  <c:v>1500</c:v>
                </c:pt>
                <c:pt idx="63">
                  <c:v>1500</c:v>
                </c:pt>
                <c:pt idx="64">
                  <c:v>1500</c:v>
                </c:pt>
                <c:pt idx="65">
                  <c:v>1500</c:v>
                </c:pt>
                <c:pt idx="66">
                  <c:v>1500</c:v>
                </c:pt>
                <c:pt idx="67">
                  <c:v>1500</c:v>
                </c:pt>
                <c:pt idx="68">
                  <c:v>1500</c:v>
                </c:pt>
                <c:pt idx="69">
                  <c:v>1500</c:v>
                </c:pt>
                <c:pt idx="70">
                  <c:v>1500</c:v>
                </c:pt>
                <c:pt idx="71">
                  <c:v>1500</c:v>
                </c:pt>
                <c:pt idx="72">
                  <c:v>1500</c:v>
                </c:pt>
                <c:pt idx="73">
                  <c:v>1500</c:v>
                </c:pt>
                <c:pt idx="74">
                  <c:v>1500</c:v>
                </c:pt>
                <c:pt idx="75">
                  <c:v>1500</c:v>
                </c:pt>
                <c:pt idx="76">
                  <c:v>1500</c:v>
                </c:pt>
                <c:pt idx="77">
                  <c:v>1500</c:v>
                </c:pt>
                <c:pt idx="78">
                  <c:v>1500</c:v>
                </c:pt>
                <c:pt idx="79">
                  <c:v>1500</c:v>
                </c:pt>
                <c:pt idx="80">
                  <c:v>1500</c:v>
                </c:pt>
                <c:pt idx="81">
                  <c:v>1500</c:v>
                </c:pt>
                <c:pt idx="82">
                  <c:v>1500</c:v>
                </c:pt>
                <c:pt idx="83">
                  <c:v>1500</c:v>
                </c:pt>
                <c:pt idx="84">
                  <c:v>1500</c:v>
                </c:pt>
                <c:pt idx="85">
                  <c:v>1500</c:v>
                </c:pt>
                <c:pt idx="86">
                  <c:v>1500</c:v>
                </c:pt>
                <c:pt idx="87">
                  <c:v>1500</c:v>
                </c:pt>
                <c:pt idx="88">
                  <c:v>1500</c:v>
                </c:pt>
                <c:pt idx="89">
                  <c:v>1500</c:v>
                </c:pt>
                <c:pt idx="90">
                  <c:v>1500</c:v>
                </c:pt>
                <c:pt idx="91">
                  <c:v>1500</c:v>
                </c:pt>
                <c:pt idx="92">
                  <c:v>1500</c:v>
                </c:pt>
                <c:pt idx="93">
                  <c:v>1500</c:v>
                </c:pt>
                <c:pt idx="94">
                  <c:v>1500</c:v>
                </c:pt>
                <c:pt idx="95">
                  <c:v>1500</c:v>
                </c:pt>
                <c:pt idx="96">
                  <c:v>1500</c:v>
                </c:pt>
                <c:pt idx="97">
                  <c:v>1500</c:v>
                </c:pt>
                <c:pt idx="98">
                  <c:v>1500</c:v>
                </c:pt>
                <c:pt idx="99">
                  <c:v>1500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dLbls>
          <c:showLegendKey val="0"/>
          <c:showVal val="0"/>
          <c:showCatName val="0"/>
          <c:showSerName val="0"/>
          <c:showPercent val="0"/>
          <c:showBubbleSize val="0"/>
        </c:dLbls>
        <c:axId val="122084352"/>
        <c:axId val="122177024"/>
      </c:scatterChart>
      <c:valAx>
        <c:axId val="122084352"/>
        <c:scaling>
          <c:orientation val="minMax"/>
          <c:max val="40"/>
          <c:min val="0"/>
        </c:scaling>
        <c:delete val="0"/>
        <c:axPos val="b"/>
        <c:title>
          <c:tx>
            <c:rich>
              <a:bodyPr/>
              <a:lstStyle/>
              <a:p>
                <a:pPr>
                  <a:defRPr sz="800" b="1" i="0" u="none" strike="noStrike" baseline="0">
                    <a:solidFill>
                      <a:srgbClr val="000000"/>
                    </a:solidFill>
                    <a:latin typeface="Arial"/>
                    <a:ea typeface="Arial"/>
                    <a:cs typeface="Arial"/>
                  </a:defRPr>
                </a:pPr>
                <a:r>
                  <a:rPr lang="en-US"/>
                  <a:t>Windspeed (m/s)</a:t>
                </a:r>
              </a:p>
            </c:rich>
          </c:tx>
          <c:layout>
            <c:manualLayout>
              <c:xMode val="edge"/>
              <c:yMode val="edge"/>
              <c:x val="0.45855449647741398"/>
              <c:y val="0.808049535603717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2177024"/>
        <c:crosses val="autoZero"/>
        <c:crossBetween val="midCat"/>
      </c:valAx>
      <c:valAx>
        <c:axId val="122177024"/>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Power (kW)</a:t>
                </a:r>
              </a:p>
            </c:rich>
          </c:tx>
          <c:layout>
            <c:manualLayout>
              <c:xMode val="edge"/>
              <c:yMode val="edge"/>
              <c:x val="2.8218630565916152E-2"/>
              <c:y val="0.3467492260061905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2084352"/>
        <c:crosses val="autoZero"/>
        <c:crossBetween val="midCat"/>
      </c:valAx>
      <c:spPr>
        <a:solidFill>
          <a:srgbClr val="C0C0C0"/>
        </a:solidFill>
        <a:ln w="12700">
          <a:solidFill>
            <a:srgbClr val="808080"/>
          </a:solidFill>
          <a:prstDash val="solid"/>
        </a:ln>
      </c:spPr>
    </c:plotArea>
    <c:legend>
      <c:legendPos val="b"/>
      <c:layout>
        <c:manualLayout>
          <c:xMode val="edge"/>
          <c:yMode val="edge"/>
          <c:x val="0.30687885066998344"/>
          <c:y val="0.91021671826625172"/>
          <c:w val="0.47795496615554794"/>
          <c:h val="6.8111455108359142E-2"/>
        </c:manualLayout>
      </c:layout>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697047890110786"/>
          <c:y val="3.2085561497326304E-2"/>
        </c:manualLayout>
      </c:layout>
      <c:overlay val="0"/>
      <c:spPr>
        <a:noFill/>
        <a:ln w="25400">
          <a:noFill/>
        </a:ln>
      </c:spPr>
      <c:txPr>
        <a:bodyPr/>
        <a:lstStyle/>
        <a:p>
          <a:pPr>
            <a:defRPr sz="85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4204571726613791"/>
          <c:y val="0.16310160427807444"/>
          <c:w val="0.81439544565919286"/>
          <c:h val="0.66844919786096268"/>
        </c:manualLayout>
      </c:layout>
      <c:scatterChart>
        <c:scatterStyle val="lineMarker"/>
        <c:varyColors val="0"/>
        <c:ser>
          <c:idx val="0"/>
          <c:order val="0"/>
          <c:tx>
            <c:strRef>
              <c:f>'AEP Input Output sheet'!$G$1</c:f>
              <c:strCache>
                <c:ptCount val="1"/>
                <c:pt idx="0">
                  <c:v>Efficiency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'AEP Input Output sheet'!$F$2:$F$22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'AEP Input Output sheet'!$G$2:$G$22</c:f>
              <c:numCache>
                <c:formatCode>0.0%</c:formatCode>
                <c:ptCount val="21"/>
                <c:pt idx="0">
                  <c:v>0</c:v>
                </c:pt>
                <c:pt idx="1">
                  <c:v>0.65701922846702143</c:v>
                </c:pt>
                <c:pt idx="2">
                  <c:v>0.7859619729657753</c:v>
                </c:pt>
                <c:pt idx="3">
                  <c:v>0.8289428877986933</c:v>
                </c:pt>
                <c:pt idx="4">
                  <c:v>0.85043334521515224</c:v>
                </c:pt>
                <c:pt idx="5">
                  <c:v>0.86332761966502769</c:v>
                </c:pt>
                <c:pt idx="6">
                  <c:v>0.87192380263161118</c:v>
                </c:pt>
                <c:pt idx="7">
                  <c:v>0.87806393332202815</c:v>
                </c:pt>
                <c:pt idx="8">
                  <c:v>0.88266903133984076</c:v>
                </c:pt>
                <c:pt idx="9">
                  <c:v>0.88625077424258392</c:v>
                </c:pt>
                <c:pt idx="10">
                  <c:v>0.88911616856477849</c:v>
                </c:pt>
                <c:pt idx="11">
                  <c:v>0.89146058210111945</c:v>
                </c:pt>
                <c:pt idx="12">
                  <c:v>0.89341426004807034</c:v>
                </c:pt>
                <c:pt idx="13">
                  <c:v>0.89506737215702858</c:v>
                </c:pt>
                <c:pt idx="14">
                  <c:v>0.89648432539327871</c:v>
                </c:pt>
                <c:pt idx="15">
                  <c:v>0.89771235153136208</c:v>
                </c:pt>
                <c:pt idx="16">
                  <c:v>0.89878687440218497</c:v>
                </c:pt>
                <c:pt idx="17">
                  <c:v>0.89973498281761699</c:v>
                </c:pt>
                <c:pt idx="18">
                  <c:v>0.90057774585355665</c:v>
                </c:pt>
                <c:pt idx="19">
                  <c:v>0.90133179699097621</c:v>
                </c:pt>
                <c:pt idx="20">
                  <c:v>0.90201044301465383</c:v>
                </c:pt>
              </c:numCache>
            </c:numRef>
          </c:yVal>
          <c:smooth val="0"/>
        </c:ser>
        <c:dLbls>
          <c:showLegendKey val="0"/>
          <c:showVal val="0"/>
          <c:showCatName val="0"/>
          <c:showSerName val="0"/>
          <c:showPercent val="0"/>
          <c:showBubbleSize val="0"/>
        </c:dLbls>
        <c:axId val="122194560"/>
        <c:axId val="122225792"/>
      </c:scatterChart>
      <c:valAx>
        <c:axId val="1221945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P/P(rated)</a:t>
                </a:r>
              </a:p>
            </c:rich>
          </c:tx>
          <c:layout>
            <c:manualLayout>
              <c:xMode val="edge"/>
              <c:yMode val="edge"/>
              <c:x val="0.49431911728333588"/>
              <c:y val="0.903743315508023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22225792"/>
        <c:crosses val="autoZero"/>
        <c:crossBetween val="midCat"/>
      </c:valAx>
      <c:valAx>
        <c:axId val="122225792"/>
        <c:scaling>
          <c:orientation val="minMax"/>
          <c:max val="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Efficiency</a:t>
                </a:r>
              </a:p>
            </c:rich>
          </c:tx>
          <c:layout>
            <c:manualLayout>
              <c:xMode val="edge"/>
              <c:yMode val="edge"/>
              <c:x val="3.0302963184454346E-2"/>
              <c:y val="0.4224598930481283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221945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42</xdr:row>
      <xdr:rowOff>76200</xdr:rowOff>
    </xdr:from>
    <xdr:to>
      <xdr:col>3</xdr:col>
      <xdr:colOff>533400</xdr:colOff>
      <xdr:row>62</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75</xdr:row>
      <xdr:rowOff>152400</xdr:rowOff>
    </xdr:from>
    <xdr:to>
      <xdr:col>4</xdr:col>
      <xdr:colOff>28575</xdr:colOff>
      <xdr:row>97</xdr:row>
      <xdr:rowOff>9525</xdr:rowOff>
    </xdr:to>
    <xdr:graphicFrame macro="">
      <xdr:nvGraphicFramePr>
        <xdr:cNvPr id="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647700</xdr:colOff>
          <xdr:row>241</xdr:row>
          <xdr:rowOff>19050</xdr:rowOff>
        </xdr:from>
        <xdr:to>
          <xdr:col>6</xdr:col>
          <xdr:colOff>438150</xdr:colOff>
          <xdr:row>243</xdr:row>
          <xdr:rowOff>152400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100</xdr:row>
          <xdr:rowOff>104775</xdr:rowOff>
        </xdr:from>
        <xdr:to>
          <xdr:col>9</xdr:col>
          <xdr:colOff>571500</xdr:colOff>
          <xdr:row>104</xdr:row>
          <xdr:rowOff>57150</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104775</xdr:colOff>
      <xdr:row>28</xdr:row>
      <xdr:rowOff>85725</xdr:rowOff>
    </xdr:from>
    <xdr:to>
      <xdr:col>16</xdr:col>
      <xdr:colOff>104775</xdr:colOff>
      <xdr:row>47</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28</xdr:row>
      <xdr:rowOff>66675</xdr:rowOff>
    </xdr:from>
    <xdr:to>
      <xdr:col>6</xdr:col>
      <xdr:colOff>47625</xdr:colOff>
      <xdr:row>47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0</xdr:row>
      <xdr:rowOff>9525</xdr:rowOff>
    </xdr:from>
    <xdr:to>
      <xdr:col>16</xdr:col>
      <xdr:colOff>247650</xdr:colOff>
      <xdr:row>22</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pageSetUpPr fitToPage="1"/>
  </sheetPr>
  <dimension ref="A1:U74"/>
  <sheetViews>
    <sheetView tabSelected="1" topLeftCell="A2" workbookViewId="0">
      <selection activeCell="B20" sqref="B20"/>
    </sheetView>
  </sheetViews>
  <sheetFormatPr defaultRowHeight="12.75" x14ac:dyDescent="0.2"/>
  <cols>
    <col min="1" max="1" width="39.42578125" style="407" customWidth="1"/>
    <col min="2" max="2" width="23.7109375" style="407" customWidth="1"/>
    <col min="3" max="3" width="24.28515625" style="407" customWidth="1"/>
    <col min="4" max="4" width="9.140625" style="407"/>
    <col min="5" max="5" width="13.5703125" style="407" customWidth="1"/>
    <col min="6" max="16384" width="9.140625" style="407"/>
  </cols>
  <sheetData>
    <row r="1" spans="1:21" x14ac:dyDescent="0.2">
      <c r="A1" s="489" t="s">
        <v>793</v>
      </c>
      <c r="B1" s="489"/>
      <c r="C1" s="489"/>
      <c r="D1" s="406"/>
    </row>
    <row r="2" spans="1:21" x14ac:dyDescent="0.2">
      <c r="A2" s="408"/>
      <c r="B2" s="408"/>
      <c r="C2" s="408"/>
    </row>
    <row r="3" spans="1:21" ht="13.5" thickBot="1" x14ac:dyDescent="0.25">
      <c r="A3" s="405"/>
      <c r="B3" s="405"/>
      <c r="C3" s="405"/>
    </row>
    <row r="4" spans="1:21" ht="13.5" thickBot="1" x14ac:dyDescent="0.25">
      <c r="A4" s="409" t="s">
        <v>0</v>
      </c>
      <c r="B4" s="1">
        <v>1</v>
      </c>
      <c r="C4" s="410"/>
    </row>
    <row r="5" spans="1:21" ht="39" thickBot="1" x14ac:dyDescent="0.25">
      <c r="A5" s="411" t="s">
        <v>1</v>
      </c>
      <c r="B5" s="412"/>
      <c r="C5" s="413" t="s">
        <v>2</v>
      </c>
      <c r="E5" s="414" t="s">
        <v>3</v>
      </c>
      <c r="F5" s="414"/>
    </row>
    <row r="6" spans="1:21" ht="27" customHeight="1" thickBot="1" x14ac:dyDescent="0.25">
      <c r="A6" s="415" t="s">
        <v>4</v>
      </c>
      <c r="B6" s="416" t="s">
        <v>5</v>
      </c>
      <c r="C6" s="456" t="str">
        <f>IF(AND(HLOOKUP(B6,'AEP Input Output sheet'!N50:CO215,166,FALSE)&lt;&gt;"I",HLOOKUP(B6,'AEP Input Output sheet'!N50:CO215,166,FALSE)&lt;&gt;"II",HLOOKUP(B6,'AEP Input Output sheet'!N50:CO215,166,FALSE)&lt;&gt;"III"),"",IF(AND(HLOOKUP(B6,'AEP Input Output sheet'!N50:CO215,166,FALSE)="I",'AEP Input Output sheet'!B16&gt;9.25),"",IF(AND(HLOOKUP(B6,'AEP Input Output sheet'!N50:CO215,166,FALSE)="II",'AEP Input Output sheet'!B16&lt;=9.25,'AEP Input Output sheet'!B16&gt;8),"",IF(AND(HLOOKUP(B6,'AEP Input Output sheet'!N50:CO215,166,FALSE)="III",'AEP Input Output sheet'!B16&lt;=8),"","Caution: Turbine design does not match current wind class"))))</f>
        <v/>
      </c>
      <c r="E6" s="2" t="s">
        <v>6</v>
      </c>
      <c r="F6" s="2">
        <v>13</v>
      </c>
      <c r="J6" s="407" t="s">
        <v>7</v>
      </c>
    </row>
    <row r="7" spans="1:21" ht="13.5" thickBot="1" x14ac:dyDescent="0.25">
      <c r="A7" s="417" t="s">
        <v>8</v>
      </c>
      <c r="B7" s="3">
        <f>HLOOKUP(B6,'AEP Input Output sheet'!N50:CO215,164,FALSE)</f>
        <v>1500</v>
      </c>
      <c r="E7" s="2" t="s">
        <v>9</v>
      </c>
      <c r="F7" s="2">
        <v>2009</v>
      </c>
      <c r="K7" s="407" t="s">
        <v>10</v>
      </c>
    </row>
    <row r="8" spans="1:21" ht="13.5" thickBot="1" x14ac:dyDescent="0.25">
      <c r="A8" s="418" t="s">
        <v>11</v>
      </c>
      <c r="B8" s="4">
        <f>HLOOKUP(B6,'AEP Input Output sheet'!N50:CO215,165,FALSE)</f>
        <v>75</v>
      </c>
      <c r="C8" s="5" t="s">
        <v>10</v>
      </c>
      <c r="E8" s="410" t="s">
        <v>12</v>
      </c>
      <c r="K8" s="407" t="s">
        <v>13</v>
      </c>
    </row>
    <row r="9" spans="1:21" ht="13.5" thickBot="1" x14ac:dyDescent="0.25">
      <c r="A9" s="418" t="s">
        <v>14</v>
      </c>
      <c r="B9" s="6">
        <v>80</v>
      </c>
      <c r="C9" s="5" t="s">
        <v>10</v>
      </c>
      <c r="D9" s="419"/>
      <c r="E9" s="458" t="str">
        <f>IF(F7&lt;2000, "Ending Year&lt; Table Values","OK")</f>
        <v>OK</v>
      </c>
      <c r="F9" s="420"/>
      <c r="G9" s="421"/>
    </row>
    <row r="10" spans="1:21" ht="29.25" customHeight="1" thickBot="1" x14ac:dyDescent="0.25">
      <c r="A10" s="485" t="str">
        <f>IF(B6='AEP Input Output sheet'!N50, "**Enter Idealized Turbine Power Parameters below**","**These parameters only apply to the Idealized Turbine Selection**")</f>
        <v>**Enter Idealized Turbine Power Parameters below**</v>
      </c>
      <c r="B10" s="486"/>
      <c r="E10" s="458" t="str">
        <f>IF('PPI Calculation'!D18=0, "Ending Year &gt; Than Table Values","OK")</f>
        <v>OK</v>
      </c>
      <c r="F10" s="420"/>
      <c r="G10" s="421"/>
      <c r="J10" s="407" t="s">
        <v>15</v>
      </c>
    </row>
    <row r="11" spans="1:21" ht="13.5" thickBot="1" x14ac:dyDescent="0.25">
      <c r="A11" s="7" t="s">
        <v>16</v>
      </c>
      <c r="B11" s="7">
        <v>1500</v>
      </c>
      <c r="E11" s="487" t="s">
        <v>792</v>
      </c>
      <c r="F11" s="487"/>
      <c r="K11" s="407" t="s">
        <v>17</v>
      </c>
    </row>
    <row r="12" spans="1:21" ht="13.5" thickBot="1" x14ac:dyDescent="0.25">
      <c r="A12" s="7" t="s">
        <v>11</v>
      </c>
      <c r="B12" s="8">
        <v>75</v>
      </c>
      <c r="E12" s="488"/>
      <c r="F12" s="488"/>
    </row>
    <row r="13" spans="1:21" x14ac:dyDescent="0.2">
      <c r="A13" s="418" t="s">
        <v>18</v>
      </c>
      <c r="B13" s="6">
        <v>7.6</v>
      </c>
      <c r="E13" s="488"/>
      <c r="F13" s="488"/>
      <c r="T13" s="422"/>
      <c r="U13" s="422"/>
    </row>
    <row r="14" spans="1:21" x14ac:dyDescent="0.2">
      <c r="A14" s="418" t="s">
        <v>19</v>
      </c>
      <c r="B14" s="6">
        <v>2.1</v>
      </c>
      <c r="E14" s="488"/>
      <c r="F14" s="488"/>
      <c r="K14" s="407" t="s">
        <v>20</v>
      </c>
      <c r="T14" s="422"/>
      <c r="U14" s="422"/>
    </row>
    <row r="15" spans="1:21" x14ac:dyDescent="0.2">
      <c r="A15" s="418" t="s">
        <v>21</v>
      </c>
      <c r="B15" s="9">
        <v>0.14000000000000001</v>
      </c>
      <c r="E15" s="488"/>
      <c r="F15" s="488"/>
      <c r="T15" s="422"/>
      <c r="U15" s="423"/>
    </row>
    <row r="16" spans="1:21" x14ac:dyDescent="0.2">
      <c r="A16" s="418" t="s">
        <v>22</v>
      </c>
      <c r="B16" s="10">
        <v>0</v>
      </c>
      <c r="E16" s="488"/>
      <c r="F16" s="488"/>
      <c r="S16" s="424"/>
      <c r="T16" s="424"/>
      <c r="U16" s="425"/>
    </row>
    <row r="17" spans="1:21" ht="13.5" thickBot="1" x14ac:dyDescent="0.25">
      <c r="A17" s="418" t="s">
        <v>23</v>
      </c>
      <c r="B17" s="11">
        <v>0.45</v>
      </c>
      <c r="S17" s="424"/>
      <c r="T17" s="424"/>
      <c r="U17" s="426"/>
    </row>
    <row r="18" spans="1:21" ht="13.5" thickBot="1" x14ac:dyDescent="0.25">
      <c r="A18" s="418" t="s">
        <v>24</v>
      </c>
      <c r="B18" s="12">
        <v>80</v>
      </c>
      <c r="C18" s="457" t="str">
        <f>'AEP Input Output sheet'!C14</f>
        <v>OK</v>
      </c>
      <c r="S18" s="424"/>
      <c r="T18" s="424"/>
      <c r="U18" s="426"/>
    </row>
    <row r="19" spans="1:21" x14ac:dyDescent="0.2">
      <c r="A19" s="418" t="s">
        <v>25</v>
      </c>
      <c r="B19" s="6">
        <v>8</v>
      </c>
      <c r="S19" s="424"/>
      <c r="T19" s="424"/>
      <c r="U19" s="426"/>
    </row>
    <row r="20" spans="1:21" x14ac:dyDescent="0.2">
      <c r="A20" s="418" t="s">
        <v>26</v>
      </c>
      <c r="B20" s="13">
        <v>0</v>
      </c>
      <c r="K20" s="407" t="s">
        <v>27</v>
      </c>
      <c r="S20" s="424"/>
      <c r="T20" s="424"/>
    </row>
    <row r="21" spans="1:21" x14ac:dyDescent="0.2">
      <c r="A21" s="418" t="s">
        <v>28</v>
      </c>
      <c r="B21" s="13">
        <v>0.15</v>
      </c>
      <c r="K21" s="407" t="s">
        <v>29</v>
      </c>
      <c r="S21" s="424"/>
      <c r="T21" s="424"/>
    </row>
    <row r="22" spans="1:21" x14ac:dyDescent="0.2">
      <c r="A22" s="418" t="s">
        <v>30</v>
      </c>
      <c r="B22" s="13">
        <v>0.95</v>
      </c>
      <c r="J22" s="407" t="s">
        <v>31</v>
      </c>
      <c r="S22" s="424"/>
      <c r="T22" s="424"/>
    </row>
    <row r="23" spans="1:21" x14ac:dyDescent="0.2">
      <c r="A23" s="418" t="s">
        <v>32</v>
      </c>
      <c r="B23" s="6"/>
      <c r="K23" s="407" t="s">
        <v>33</v>
      </c>
      <c r="S23" s="424"/>
      <c r="T23" s="424"/>
    </row>
    <row r="24" spans="1:21" x14ac:dyDescent="0.2">
      <c r="A24" s="427" t="s">
        <v>34</v>
      </c>
      <c r="B24" s="14">
        <v>1</v>
      </c>
      <c r="S24" s="424"/>
      <c r="T24" s="424"/>
    </row>
    <row r="25" spans="1:21" ht="13.5" thickBot="1" x14ac:dyDescent="0.25">
      <c r="A25" s="428" t="s">
        <v>35</v>
      </c>
      <c r="B25" s="15">
        <v>1</v>
      </c>
      <c r="K25" s="407" t="s">
        <v>36</v>
      </c>
      <c r="S25" s="424"/>
      <c r="T25" s="424"/>
    </row>
    <row r="26" spans="1:21" ht="13.5" thickBot="1" x14ac:dyDescent="0.25">
      <c r="S26" s="424"/>
      <c r="T26" s="424"/>
    </row>
    <row r="27" spans="1:21" ht="13.5" thickBot="1" x14ac:dyDescent="0.25">
      <c r="A27" s="429" t="s">
        <v>37</v>
      </c>
      <c r="B27" s="430"/>
      <c r="S27" s="424"/>
      <c r="T27" s="424"/>
    </row>
    <row r="28" spans="1:21" x14ac:dyDescent="0.2">
      <c r="A28" s="431" t="s">
        <v>38</v>
      </c>
      <c r="B28" s="432">
        <f>'Cost Summary'!B35</f>
        <v>1551.2282326473387</v>
      </c>
      <c r="S28" s="424"/>
      <c r="T28" s="424"/>
    </row>
    <row r="29" spans="1:21" x14ac:dyDescent="0.2">
      <c r="A29" s="433" t="s">
        <v>39</v>
      </c>
      <c r="B29" s="434">
        <f>'Cost Summary'!B48</f>
        <v>571.3100334051212</v>
      </c>
      <c r="S29" s="424"/>
      <c r="T29" s="424"/>
    </row>
    <row r="30" spans="1:21" x14ac:dyDescent="0.2">
      <c r="A30" s="433" t="s">
        <v>40</v>
      </c>
      <c r="B30" s="434">
        <f>'Cost Summary'!B59</f>
        <v>35.638364753332311</v>
      </c>
      <c r="S30" s="424"/>
      <c r="T30" s="424"/>
    </row>
    <row r="31" spans="1:21" x14ac:dyDescent="0.2">
      <c r="A31" s="433" t="s">
        <v>41</v>
      </c>
      <c r="B31" s="434">
        <f>'Cost Summary'!B58</f>
        <v>17.484985422740522</v>
      </c>
      <c r="S31" s="424"/>
      <c r="T31" s="424"/>
    </row>
    <row r="32" spans="1:21" x14ac:dyDescent="0.2">
      <c r="A32" s="433" t="s">
        <v>42</v>
      </c>
      <c r="B32" s="434">
        <f>'Cost Summary'!B60</f>
        <v>5.4984905619426989</v>
      </c>
      <c r="S32" s="424"/>
      <c r="T32" s="424"/>
    </row>
    <row r="33" spans="1:3" x14ac:dyDescent="0.2">
      <c r="A33" s="435" t="s">
        <v>43</v>
      </c>
      <c r="B33" s="436">
        <f>'Cost Summary'!B65</f>
        <v>4673.3627285814891</v>
      </c>
    </row>
    <row r="34" spans="1:3" ht="13.5" thickBot="1" x14ac:dyDescent="0.25">
      <c r="A34" s="437" t="s">
        <v>44</v>
      </c>
      <c r="B34" s="438">
        <f>'Cost Summary'!B64</f>
        <v>0.35565926397119402</v>
      </c>
    </row>
    <row r="35" spans="1:3" ht="13.5" thickBot="1" x14ac:dyDescent="0.25">
      <c r="A35" s="439"/>
      <c r="B35" s="440"/>
    </row>
    <row r="36" spans="1:3" ht="13.5" thickBot="1" x14ac:dyDescent="0.25">
      <c r="A36" s="441" t="s">
        <v>45</v>
      </c>
      <c r="B36" s="442">
        <f>SUM(B37:B42)</f>
        <v>6.3949419356773438E-2</v>
      </c>
      <c r="C36" s="443" t="s">
        <v>46</v>
      </c>
    </row>
    <row r="37" spans="1:3" x14ac:dyDescent="0.2">
      <c r="A37" s="444" t="s">
        <v>4</v>
      </c>
      <c r="B37" s="445">
        <f>'Cost Summary'!B72+'Cost Summary'!B73</f>
        <v>3.9798379859735465E-2</v>
      </c>
      <c r="C37" s="446">
        <f>B37/B36</f>
        <v>0.62234153585821528</v>
      </c>
    </row>
    <row r="38" spans="1:3" x14ac:dyDescent="0.2">
      <c r="A38" s="447" t="s">
        <v>47</v>
      </c>
      <c r="B38" s="448">
        <f>'Cost Summary'!B74</f>
        <v>1.9239836196990507E-3</v>
      </c>
      <c r="C38" s="449">
        <f>B38/B36</f>
        <v>3.008602171921464E-2</v>
      </c>
    </row>
    <row r="39" spans="1:3" x14ac:dyDescent="0.2">
      <c r="A39" s="447" t="s">
        <v>48</v>
      </c>
      <c r="B39" s="448">
        <f>'Cost Summary'!B76+'Cost Summary'!B77</f>
        <v>7.4577035553273956E-3</v>
      </c>
      <c r="C39" s="449">
        <f>B39/B36</f>
        <v>0.11661878450718859</v>
      </c>
    </row>
    <row r="40" spans="1:3" x14ac:dyDescent="0.2">
      <c r="A40" s="447" t="s">
        <v>49</v>
      </c>
      <c r="B40" s="448">
        <f>'Cost Summary'!B75</f>
        <v>5.2758682050298199E-3</v>
      </c>
      <c r="C40" s="449">
        <f>B40/B36</f>
        <v>8.2500642822036924E-2</v>
      </c>
    </row>
    <row r="41" spans="1:3" x14ac:dyDescent="0.2">
      <c r="A41" s="447" t="s">
        <v>50</v>
      </c>
      <c r="B41" s="448">
        <f>'Cost Summary'!B78</f>
        <v>4.9179739129000628E-3</v>
      </c>
      <c r="C41" s="449">
        <f>B41/B36</f>
        <v>7.6904121450465643E-2</v>
      </c>
    </row>
    <row r="42" spans="1:3" ht="13.5" thickBot="1" x14ac:dyDescent="0.25">
      <c r="A42" s="450" t="s">
        <v>51</v>
      </c>
      <c r="B42" s="451">
        <f>'Cost Summary'!B79</f>
        <v>4.5755102040816323E-3</v>
      </c>
      <c r="C42" s="438">
        <f>B42/B36</f>
        <v>7.1548893642878725E-2</v>
      </c>
    </row>
    <row r="65" spans="1:3" ht="13.5" thickBot="1" x14ac:dyDescent="0.25"/>
    <row r="66" spans="1:3" ht="13.5" thickBot="1" x14ac:dyDescent="0.25">
      <c r="A66" s="441" t="s">
        <v>52</v>
      </c>
      <c r="B66" s="442">
        <f>SUM(B67:B74)</f>
        <v>6.3949419356773424E-2</v>
      </c>
      <c r="C66" s="443" t="s">
        <v>46</v>
      </c>
    </row>
    <row r="67" spans="1:3" x14ac:dyDescent="0.2">
      <c r="A67" s="444" t="s">
        <v>4</v>
      </c>
      <c r="B67" s="445">
        <f>'Cost Summary'!B72</f>
        <v>3.9798379859735465E-2</v>
      </c>
      <c r="C67" s="446">
        <f>B67/B66</f>
        <v>0.6223415358582155</v>
      </c>
    </row>
    <row r="68" spans="1:3" x14ac:dyDescent="0.2">
      <c r="A68" s="444" t="s">
        <v>53</v>
      </c>
      <c r="B68" s="445">
        <f>'Cost Summary'!B73</f>
        <v>0</v>
      </c>
      <c r="C68" s="446">
        <f>B68/B66</f>
        <v>0</v>
      </c>
    </row>
    <row r="69" spans="1:3" x14ac:dyDescent="0.2">
      <c r="A69" s="447" t="s">
        <v>48</v>
      </c>
      <c r="B69" s="448">
        <f>'Cost Summary'!B76</f>
        <v>6.5437005909339489E-3</v>
      </c>
      <c r="C69" s="449">
        <f>B69/B66</f>
        <v>0.10232619243071908</v>
      </c>
    </row>
    <row r="70" spans="1:3" x14ac:dyDescent="0.2">
      <c r="A70" s="447" t="s">
        <v>54</v>
      </c>
      <c r="B70" s="448">
        <f>'Cost Summary'!B74</f>
        <v>1.9239836196990507E-3</v>
      </c>
      <c r="C70" s="449">
        <f>B70/B66</f>
        <v>3.0086021719214647E-2</v>
      </c>
    </row>
    <row r="71" spans="1:3" x14ac:dyDescent="0.2">
      <c r="A71" s="447" t="s">
        <v>55</v>
      </c>
      <c r="B71" s="448">
        <f>'Cost Summary'!B77</f>
        <v>9.1400296439344696E-4</v>
      </c>
      <c r="C71" s="449">
        <f>B71/B66</f>
        <v>1.4292592076469528E-2</v>
      </c>
    </row>
    <row r="72" spans="1:3" x14ac:dyDescent="0.2">
      <c r="A72" s="447" t="s">
        <v>49</v>
      </c>
      <c r="B72" s="448">
        <f>'Cost Summary'!B75</f>
        <v>5.2758682050298199E-3</v>
      </c>
      <c r="C72" s="449">
        <f>B72/B66</f>
        <v>8.2500642822036951E-2</v>
      </c>
    </row>
    <row r="73" spans="1:3" x14ac:dyDescent="0.2">
      <c r="A73" s="447" t="s">
        <v>50</v>
      </c>
      <c r="B73" s="448">
        <f>'Cost Summary'!B78</f>
        <v>4.9179739129000628E-3</v>
      </c>
      <c r="C73" s="449">
        <f>B73/B66</f>
        <v>7.6904121450465657E-2</v>
      </c>
    </row>
    <row r="74" spans="1:3" ht="13.5" thickBot="1" x14ac:dyDescent="0.25">
      <c r="A74" s="450" t="s">
        <v>51</v>
      </c>
      <c r="B74" s="451">
        <f>'Cost Summary'!B79</f>
        <v>4.5755102040816323E-3</v>
      </c>
      <c r="C74" s="438">
        <f>B74/B66</f>
        <v>7.1548893642878739E-2</v>
      </c>
    </row>
  </sheetData>
  <sheetProtection password="9B9F" sheet="1" objects="1" scenarios="1"/>
  <mergeCells count="3">
    <mergeCell ref="A10:B10"/>
    <mergeCell ref="E11:F16"/>
    <mergeCell ref="A1:C1"/>
  </mergeCells>
  <conditionalFormatting sqref="F9:G9">
    <cfRule type="cellIs" dxfId="8" priority="8" stopIfTrue="1" operator="equal">
      <formula>"OK"</formula>
    </cfRule>
    <cfRule type="cellIs" dxfId="7" priority="9" stopIfTrue="1" operator="notEqual">
      <formula>"OK"</formula>
    </cfRule>
  </conditionalFormatting>
  <conditionalFormatting sqref="C18">
    <cfRule type="cellIs" dxfId="6" priority="6" stopIfTrue="1" operator="equal">
      <formula>"OK"</formula>
    </cfRule>
    <cfRule type="cellIs" dxfId="5" priority="7" stopIfTrue="1" operator="notEqual">
      <formula>"OK"</formula>
    </cfRule>
  </conditionalFormatting>
  <conditionalFormatting sqref="E9">
    <cfRule type="cellIs" dxfId="4" priority="4" stopIfTrue="1" operator="equal">
      <formula>"OK"</formula>
    </cfRule>
    <cfRule type="cellIs" dxfId="3" priority="5" stopIfTrue="1" operator="notEqual">
      <formula>"OK"</formula>
    </cfRule>
  </conditionalFormatting>
  <conditionalFormatting sqref="E10">
    <cfRule type="cellIs" dxfId="2" priority="2" stopIfTrue="1" operator="equal">
      <formula>"OK"</formula>
    </cfRule>
    <cfRule type="cellIs" dxfId="1" priority="3" stopIfTrue="1" operator="notEqual">
      <formula>"OK"</formula>
    </cfRule>
  </conditionalFormatting>
  <conditionalFormatting sqref="C6">
    <cfRule type="containsText" dxfId="0" priority="1" operator="containsText" text="Caution: Turbine Design does not match current wind class">
      <formula>NOT(ISERROR(SEARCH("Caution: Turbine Design does not match current wind class",C6)))</formula>
    </cfRule>
  </conditionalFormatting>
  <dataValidations count="2">
    <dataValidation type="list" allowBlank="1" showInputMessage="1" showErrorMessage="1" sqref="C8:C9">
      <formula1>$K$7:$K$8</formula1>
    </dataValidation>
    <dataValidation type="list" allowBlank="1" showInputMessage="1" showErrorMessage="1" sqref="B6">
      <formula1>TurbineChoices</formula1>
    </dataValidation>
  </dataValidations>
  <pageMargins left="0.75" right="0.75" top="1" bottom="1" header="0.5" footer="0.5"/>
  <pageSetup scale="54"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N81"/>
  <sheetViews>
    <sheetView workbookViewId="0">
      <selection activeCell="A32" sqref="A32"/>
    </sheetView>
  </sheetViews>
  <sheetFormatPr defaultRowHeight="12.75" x14ac:dyDescent="0.2"/>
  <cols>
    <col min="1" max="1" width="62.7109375" customWidth="1"/>
    <col min="2" max="2" width="13.85546875" bestFit="1" customWidth="1"/>
    <col min="3" max="3" width="13.5703125" customWidth="1"/>
    <col min="5" max="5" width="7.7109375" bestFit="1" customWidth="1"/>
    <col min="6" max="6" width="10.28515625" customWidth="1"/>
    <col min="7" max="7" width="30.85546875" customWidth="1"/>
    <col min="8" max="8" width="37.5703125" customWidth="1"/>
    <col min="9" max="9" width="32.140625" customWidth="1"/>
    <col min="10" max="10" width="34.5703125" bestFit="1" customWidth="1"/>
    <col min="11" max="11" width="11.5703125" customWidth="1"/>
  </cols>
  <sheetData>
    <row r="1" spans="1:10" x14ac:dyDescent="0.2">
      <c r="A1" s="16" t="str">
        <f>'Input &amp; Summary'!A1</f>
        <v>Based on Combined Land Based-Offshore Turbine Cost Model. v2.01.04</v>
      </c>
      <c r="B1" s="16"/>
      <c r="C1" s="16"/>
    </row>
    <row r="2" spans="1:10" x14ac:dyDescent="0.2">
      <c r="A2" s="17"/>
      <c r="B2" s="16"/>
      <c r="C2" s="16"/>
    </row>
    <row r="3" spans="1:10" x14ac:dyDescent="0.2">
      <c r="A3" s="16"/>
      <c r="B3" s="16"/>
      <c r="C3" s="16"/>
    </row>
    <row r="4" spans="1:10" x14ac:dyDescent="0.2">
      <c r="A4" s="18" t="s">
        <v>56</v>
      </c>
      <c r="B4" s="19"/>
    </row>
    <row r="5" spans="1:10" x14ac:dyDescent="0.2">
      <c r="A5" s="20" t="s">
        <v>8</v>
      </c>
      <c r="B5" s="21">
        <f>'Input &amp; Summary'!B7</f>
        <v>1500</v>
      </c>
    </row>
    <row r="6" spans="1:10" x14ac:dyDescent="0.2">
      <c r="A6" s="20" t="s">
        <v>11</v>
      </c>
      <c r="B6" s="21">
        <f>'Input &amp; Summary'!B8</f>
        <v>75</v>
      </c>
    </row>
    <row r="7" spans="1:10" x14ac:dyDescent="0.2">
      <c r="A7" s="20" t="s">
        <v>14</v>
      </c>
      <c r="B7" s="21">
        <f>'Input &amp; Summary'!B9</f>
        <v>80</v>
      </c>
    </row>
    <row r="8" spans="1:10" ht="13.5" thickBot="1" x14ac:dyDescent="0.25">
      <c r="G8" s="22">
        <v>1</v>
      </c>
      <c r="H8" s="22">
        <v>2</v>
      </c>
      <c r="I8" s="22">
        <v>3</v>
      </c>
      <c r="J8" s="22">
        <v>4</v>
      </c>
    </row>
    <row r="9" spans="1:10" ht="13.5" thickBot="1" x14ac:dyDescent="0.25">
      <c r="A9" s="23" t="str">
        <f>HLOOKUP('Input &amp; Summary'!$B$4,'Cost Summary'!$G$8:$J$9,2)</f>
        <v>Land Based</v>
      </c>
      <c r="B9" s="24"/>
      <c r="C9" s="25"/>
      <c r="G9" t="s">
        <v>57</v>
      </c>
      <c r="H9" t="s">
        <v>58</v>
      </c>
      <c r="I9" t="s">
        <v>59</v>
      </c>
      <c r="J9" t="s">
        <v>60</v>
      </c>
    </row>
    <row r="10" spans="1:10" ht="13.5" thickBot="1" x14ac:dyDescent="0.25">
      <c r="A10" s="26" t="s">
        <v>61</v>
      </c>
      <c r="B10" s="27">
        <f>'Input &amp; Summary'!F7</f>
        <v>2009</v>
      </c>
    </row>
    <row r="11" spans="1:10" ht="13.5" thickTop="1" x14ac:dyDescent="0.2">
      <c r="A11" s="28"/>
      <c r="B11" s="29"/>
      <c r="C11" s="30"/>
    </row>
    <row r="12" spans="1:10" x14ac:dyDescent="0.2">
      <c r="A12" s="31"/>
      <c r="B12" s="32" t="s">
        <v>62</v>
      </c>
      <c r="C12" s="33" t="s">
        <v>62</v>
      </c>
    </row>
    <row r="13" spans="1:10" x14ac:dyDescent="0.2">
      <c r="A13" s="31"/>
      <c r="B13" s="32" t="s">
        <v>63</v>
      </c>
      <c r="C13" s="33" t="s">
        <v>64</v>
      </c>
    </row>
    <row r="14" spans="1:10" ht="13.5" thickBot="1" x14ac:dyDescent="0.25">
      <c r="A14" s="34" t="s">
        <v>62</v>
      </c>
      <c r="B14" s="35"/>
      <c r="C14" s="36" t="s">
        <v>65</v>
      </c>
    </row>
    <row r="15" spans="1:10" ht="13.5" thickTop="1" x14ac:dyDescent="0.2">
      <c r="A15" s="37" t="s">
        <v>66</v>
      </c>
      <c r="B15" s="38">
        <f>SUM(B16:B19)</f>
        <v>325.13118852079702</v>
      </c>
      <c r="C15" s="39">
        <f>SUM(C16:C19)</f>
        <v>32979.662497358906</v>
      </c>
      <c r="E15" s="40"/>
      <c r="F15" s="40"/>
    </row>
    <row r="16" spans="1:10" x14ac:dyDescent="0.2">
      <c r="A16" s="41" t="s">
        <v>67</v>
      </c>
      <c r="B16" s="42">
        <f>'Cost &amp; Mass Functions'!D30/1000</f>
        <v>197.69509633185265</v>
      </c>
      <c r="C16" s="43">
        <f>'Cost &amp; Mass Functions'!D28*3</f>
        <v>16929.66020683094</v>
      </c>
      <c r="D16" t="s">
        <v>68</v>
      </c>
      <c r="E16" s="40"/>
      <c r="F16" s="40"/>
    </row>
    <row r="17" spans="1:6" x14ac:dyDescent="0.2">
      <c r="A17" s="41" t="s">
        <v>69</v>
      </c>
      <c r="B17" s="42">
        <f>'Cost &amp; Mass Functions'!D46/1000</f>
        <v>60.825358545453845</v>
      </c>
      <c r="C17" s="43">
        <f>'Cost &amp; Mass Functions'!D43</f>
        <v>11064.047366798004</v>
      </c>
      <c r="D17" t="s">
        <v>68</v>
      </c>
      <c r="E17" s="40"/>
      <c r="F17" s="40"/>
    </row>
    <row r="18" spans="1:6" x14ac:dyDescent="0.2">
      <c r="A18" s="41" t="s">
        <v>70</v>
      </c>
      <c r="B18" s="42">
        <f>'Cost &amp; Mass Functions'!D73/1000</f>
        <v>61.513016487515245</v>
      </c>
      <c r="C18" s="43">
        <f>'Cost &amp; Mass Functions'!D61</f>
        <v>4118.954923729958</v>
      </c>
      <c r="D18" t="s">
        <v>68</v>
      </c>
      <c r="E18" s="40"/>
      <c r="F18" s="40"/>
    </row>
    <row r="19" spans="1:6" x14ac:dyDescent="0.2">
      <c r="A19" s="44" t="s">
        <v>71</v>
      </c>
      <c r="B19" s="42">
        <f>'Cost &amp; Mass Functions'!D88/1000</f>
        <v>5.097717155975241</v>
      </c>
      <c r="C19" s="43">
        <f>'Cost &amp; Mass Functions'!D85</f>
        <v>867</v>
      </c>
      <c r="E19" s="40"/>
      <c r="F19" s="40"/>
    </row>
    <row r="20" spans="1:6" x14ac:dyDescent="0.2">
      <c r="A20" s="45" t="s">
        <v>72</v>
      </c>
      <c r="B20" s="46">
        <f>SUM(B21:B31)</f>
        <v>857.61794129532132</v>
      </c>
      <c r="C20" s="47">
        <f>SUM(C21:C31)</f>
        <v>54090.515056636083</v>
      </c>
      <c r="E20" s="40"/>
      <c r="F20" s="40"/>
    </row>
    <row r="21" spans="1:6" x14ac:dyDescent="0.2">
      <c r="A21" s="44" t="s">
        <v>73</v>
      </c>
      <c r="B21" s="42">
        <f>'Cost &amp; Mass Functions'!D117/1000</f>
        <v>40.027177950213208</v>
      </c>
      <c r="C21" s="43">
        <f>'Cost &amp; Mass Functions'!D114</f>
        <v>6004.0832382227372</v>
      </c>
      <c r="D21" t="s">
        <v>68</v>
      </c>
      <c r="E21" s="40"/>
      <c r="F21" s="40"/>
    </row>
    <row r="22" spans="1:6" x14ac:dyDescent="0.2">
      <c r="A22" s="44" t="s">
        <v>74</v>
      </c>
      <c r="B22" s="42">
        <f>'Cost &amp; Mass Functions'!D137/1000</f>
        <v>20.08745658742561</v>
      </c>
      <c r="C22" s="43">
        <f>'Cost &amp; Mass Functions'!D132</f>
        <v>866.75719525063562</v>
      </c>
      <c r="D22" t="s">
        <v>68</v>
      </c>
    </row>
    <row r="23" spans="1:6" x14ac:dyDescent="0.2">
      <c r="A23" s="44" t="s">
        <v>75</v>
      </c>
      <c r="B23" s="42">
        <f>'Cost &amp; Mass Functions'!D159/1000</f>
        <v>206.02077724071793</v>
      </c>
      <c r="C23" s="43">
        <f>'Cost &amp; Mass Functions'!D156</f>
        <v>10275.601357435782</v>
      </c>
      <c r="D23" t="s">
        <v>68</v>
      </c>
    </row>
    <row r="24" spans="1:6" x14ac:dyDescent="0.2">
      <c r="A24" s="44" t="s">
        <v>76</v>
      </c>
      <c r="B24" s="42">
        <f>'Cost &amp; Mass Functions'!D172/1000</f>
        <v>3.0678842851921275</v>
      </c>
      <c r="C24" s="43">
        <f>'Cost &amp; Mass Functions'!D173</f>
        <v>298.39859000000001</v>
      </c>
      <c r="D24" t="s">
        <v>68</v>
      </c>
    </row>
    <row r="25" spans="1:6" x14ac:dyDescent="0.2">
      <c r="A25" s="44" t="s">
        <v>77</v>
      </c>
      <c r="B25" s="42">
        <f>'Cost &amp; Mass Functions'!D197/1000</f>
        <v>125.30736240171552</v>
      </c>
      <c r="C25" s="43">
        <f>'Cost &amp; Mass Functions'!D194</f>
        <v>5501.2519810856256</v>
      </c>
      <c r="D25" t="s">
        <v>68</v>
      </c>
      <c r="E25" s="40"/>
      <c r="F25" s="40"/>
    </row>
    <row r="26" spans="1:6" x14ac:dyDescent="0.2">
      <c r="A26" s="44" t="s">
        <v>78</v>
      </c>
      <c r="B26" s="42">
        <f>'Cost &amp; Mass Functions'!D207/1000</f>
        <v>151.5905291723202</v>
      </c>
      <c r="C26" s="43"/>
      <c r="D26" t="s">
        <v>68</v>
      </c>
      <c r="E26" s="40"/>
      <c r="F26" s="40"/>
    </row>
    <row r="27" spans="1:6" x14ac:dyDescent="0.2">
      <c r="A27" s="44" t="s">
        <v>79</v>
      </c>
      <c r="B27" s="42">
        <f>'Cost &amp; Mass Functions'!D224/1000</f>
        <v>33.271983325858308</v>
      </c>
      <c r="C27" s="43">
        <f>'Cost &amp; Mass Functions'!D221</f>
        <v>2356.7608707438299</v>
      </c>
      <c r="D27" t="s">
        <v>68</v>
      </c>
      <c r="E27" s="40"/>
      <c r="F27" s="40"/>
    </row>
    <row r="28" spans="1:6" x14ac:dyDescent="0.2">
      <c r="A28" s="44" t="s">
        <v>80</v>
      </c>
      <c r="B28" s="42">
        <f>'Cost &amp; Mass Functions'!D281/1000</f>
        <v>140.2849041015543</v>
      </c>
      <c r="C28" s="43">
        <f>'Cost &amp; Mass Functions'!D274</f>
        <v>26317.084046119693</v>
      </c>
      <c r="D28" t="s">
        <v>68</v>
      </c>
      <c r="E28" s="40"/>
      <c r="F28" s="40"/>
    </row>
    <row r="29" spans="1:6" x14ac:dyDescent="0.2">
      <c r="A29" s="44" t="s">
        <v>81</v>
      </c>
      <c r="B29" s="42">
        <f>'Cost &amp; Mass Functions'!D291/1000</f>
        <v>91.54009583858398</v>
      </c>
      <c r="C29" s="43"/>
      <c r="D29" t="s">
        <v>68</v>
      </c>
      <c r="E29" s="40"/>
      <c r="F29" s="40"/>
    </row>
    <row r="30" spans="1:6" x14ac:dyDescent="0.2">
      <c r="A30" s="44" t="s">
        <v>82</v>
      </c>
      <c r="B30" s="42">
        <f>'Cost &amp; Mass Functions'!D306/1000</f>
        <v>24.088235294117652</v>
      </c>
      <c r="C30" s="43">
        <f>'Cost &amp; Mass Functions'!D303</f>
        <v>120</v>
      </c>
      <c r="D30" t="s">
        <v>68</v>
      </c>
      <c r="E30" s="40"/>
      <c r="F30" s="40"/>
    </row>
    <row r="31" spans="1:6" x14ac:dyDescent="0.2">
      <c r="A31" s="44" t="s">
        <v>83</v>
      </c>
      <c r="B31" s="42">
        <f>'Cost &amp; Mass Functions'!D322/1000</f>
        <v>22.331535097622467</v>
      </c>
      <c r="C31" s="43">
        <f>'Cost &amp; Mass Functions'!D319</f>
        <v>2350.5777777777776</v>
      </c>
      <c r="D31" t="s">
        <v>68</v>
      </c>
      <c r="E31" s="40"/>
      <c r="F31" s="40"/>
    </row>
    <row r="32" spans="1:6" x14ac:dyDescent="0.2">
      <c r="A32" s="48" t="s">
        <v>84</v>
      </c>
      <c r="B32" s="49">
        <f>IF('Input &amp; Summary'!B4=1,'Cost &amp; Mass Functions'!D331/1000,'Cost &amp; Mass Functions'!D340/1000)</f>
        <v>42.819859961807765</v>
      </c>
      <c r="C32" s="47"/>
      <c r="D32" t="s">
        <v>68</v>
      </c>
      <c r="E32" s="40"/>
      <c r="F32" s="40"/>
    </row>
    <row r="33" spans="1:14" x14ac:dyDescent="0.2">
      <c r="A33" s="48" t="s">
        <v>85</v>
      </c>
      <c r="B33" s="49">
        <f>'Cost &amp; Mass Functions'!D361/1000</f>
        <v>325.65924286941242</v>
      </c>
      <c r="C33" s="50">
        <f>'Cost &amp; Mass Functions'!D358</f>
        <v>138985.76287948794</v>
      </c>
      <c r="D33" t="s">
        <v>68</v>
      </c>
      <c r="E33" s="40"/>
      <c r="F33" s="40"/>
    </row>
    <row r="34" spans="1:14" ht="13.5" thickBot="1" x14ac:dyDescent="0.25">
      <c r="A34" s="48" t="str">
        <f>IF('Input &amp; Summary'!B4=1," ",CONCATENATE("Marinization (",TEXT('Cost &amp; Mass Functions'!D477,"0.00%")," of Turbine and Tower System)") )</f>
        <v xml:space="preserve"> </v>
      </c>
      <c r="B34" s="51">
        <f>IF('Input &amp; Summary'!B4=1,,'Cost &amp; Mass Functions'!D481/1000 )</f>
        <v>0</v>
      </c>
      <c r="C34" s="47"/>
      <c r="E34" s="40"/>
      <c r="F34" s="40"/>
    </row>
    <row r="35" spans="1:14" ht="13.5" thickBot="1" x14ac:dyDescent="0.25">
      <c r="A35" s="52" t="s">
        <v>86</v>
      </c>
      <c r="B35" s="53">
        <f>B15+B20+B32+B33+B34</f>
        <v>1551.2282326473387</v>
      </c>
      <c r="C35" s="54">
        <f>C33+C32+C20+C15+C34</f>
        <v>226055.94043348293</v>
      </c>
      <c r="D35" s="55"/>
      <c r="E35" s="55"/>
      <c r="F35" s="40"/>
      <c r="G35" s="56" t="s">
        <v>87</v>
      </c>
      <c r="H35" s="57"/>
      <c r="I35" s="57"/>
      <c r="J35" s="58"/>
      <c r="K35" s="56" t="s">
        <v>88</v>
      </c>
      <c r="L35" s="57"/>
      <c r="M35" s="57"/>
      <c r="N35" s="58"/>
    </row>
    <row r="36" spans="1:14" x14ac:dyDescent="0.2">
      <c r="A36" s="52"/>
      <c r="B36" s="49"/>
      <c r="C36" s="43"/>
      <c r="G36" s="59">
        <v>1</v>
      </c>
      <c r="H36" s="60">
        <v>2</v>
      </c>
      <c r="I36" s="60">
        <v>3</v>
      </c>
      <c r="J36" s="61">
        <v>4</v>
      </c>
      <c r="K36" s="59">
        <v>1</v>
      </c>
      <c r="L36" s="60">
        <v>2</v>
      </c>
      <c r="M36" s="60">
        <v>3</v>
      </c>
      <c r="N36" s="61">
        <v>4</v>
      </c>
    </row>
    <row r="37" spans="1:14" x14ac:dyDescent="0.2">
      <c r="A37" s="62" t="str">
        <f>HLOOKUP('Input &amp; Summary'!$B$4,'Cost Summary'!$G$36:$J$46,2)</f>
        <v>Foundations</v>
      </c>
      <c r="B37" s="63">
        <f>HLOOKUP('Input &amp; Summary'!$B$4,'Cost Summary'!$K$36:$N$46,2)/1000</f>
        <v>74.991437353651762</v>
      </c>
      <c r="C37" s="50"/>
      <c r="D37" t="s">
        <v>68</v>
      </c>
      <c r="G37" s="64" t="s">
        <v>89</v>
      </c>
      <c r="H37" s="65" t="s">
        <v>90</v>
      </c>
      <c r="I37" s="65" t="s">
        <v>91</v>
      </c>
      <c r="J37" s="66" t="s">
        <v>92</v>
      </c>
      <c r="K37" s="67">
        <f>'Cost &amp; Mass Functions'!D375</f>
        <v>74991.437353651767</v>
      </c>
      <c r="L37" s="68">
        <f>'Cost &amp; Mass Functions'!D577</f>
        <v>630577.33428367763</v>
      </c>
      <c r="M37" s="68">
        <f>'Cost &amp; Mass Functions'!D619</f>
        <v>945866.00142551656</v>
      </c>
      <c r="N37" s="69"/>
    </row>
    <row r="38" spans="1:14" x14ac:dyDescent="0.2">
      <c r="A38" s="62" t="str">
        <f>HLOOKUP('Input &amp; Summary'!$B$4,'Cost Summary'!$G$36:$J$46,3)</f>
        <v>Turbine Transportation</v>
      </c>
      <c r="B38" s="63">
        <f>HLOOKUP('Input &amp; Summary'!$B$4,'Cost Summary'!$K$36:$N$46,3)/1000</f>
        <v>58.370722247497724</v>
      </c>
      <c r="C38" s="43"/>
      <c r="D38" t="s">
        <v>68</v>
      </c>
      <c r="G38" s="64" t="s">
        <v>93</v>
      </c>
      <c r="H38" s="65" t="s">
        <v>93</v>
      </c>
      <c r="I38" s="65" t="s">
        <v>94</v>
      </c>
      <c r="J38" s="66" t="s">
        <v>95</v>
      </c>
      <c r="K38" s="67">
        <f>'Cost &amp; Mass Functions'!D390</f>
        <v>58370.722247497724</v>
      </c>
      <c r="L38" s="68">
        <f>'Cost &amp; Mass Functions'!D599</f>
        <v>58370.722247497724</v>
      </c>
      <c r="M38" s="68">
        <f>'Cost &amp; Mass Functions'!D627</f>
        <v>693635.06771204551</v>
      </c>
      <c r="N38" s="69"/>
    </row>
    <row r="39" spans="1:14" x14ac:dyDescent="0.2">
      <c r="A39" s="62" t="str">
        <f>HLOOKUP('Input &amp; Summary'!$B$4,'Cost Summary'!$G$36:$J$46,4)</f>
        <v>Roads &amp; Civil Work</v>
      </c>
      <c r="B39" s="63">
        <f>HLOOKUP('Input &amp; Summary'!$B$4,'Cost Summary'!$K$36:$N$46,4)/1000</f>
        <v>120.68821707589289</v>
      </c>
      <c r="C39" s="43"/>
      <c r="D39" t="s">
        <v>68</v>
      </c>
      <c r="G39" s="64" t="s">
        <v>96</v>
      </c>
      <c r="H39" s="65" t="s">
        <v>97</v>
      </c>
      <c r="I39" s="65" t="s">
        <v>98</v>
      </c>
      <c r="J39" s="66" t="s">
        <v>99</v>
      </c>
      <c r="K39" s="67">
        <f>'Cost &amp; Mass Functions'!D404</f>
        <v>120688.2170758929</v>
      </c>
      <c r="L39" s="68">
        <f>'Cost &amp; Mass Functions'!D491</f>
        <v>42038.488952245178</v>
      </c>
      <c r="M39" s="68">
        <f>'Cost &amp; Mass Functions'!D636</f>
        <v>52548.111190306474</v>
      </c>
      <c r="N39" s="69"/>
    </row>
    <row r="40" spans="1:14" x14ac:dyDescent="0.2">
      <c r="A40" s="62" t="str">
        <f>HLOOKUP('Input &amp; Summary'!$B$4,'Cost Summary'!$G$36:$J$46,5)</f>
        <v>Turbine Assembly &amp; Installation</v>
      </c>
      <c r="B40" s="63">
        <f>HLOOKUP('Input &amp; Summary'!$B$4,'Cost Summary'!$K$36:$N$46,5)/1000</f>
        <v>75.995993526212175</v>
      </c>
      <c r="C40" s="43"/>
      <c r="D40" t="s">
        <v>68</v>
      </c>
      <c r="G40" s="64" t="s">
        <v>100</v>
      </c>
      <c r="H40" s="65" t="s">
        <v>101</v>
      </c>
      <c r="I40" s="65" t="s">
        <v>93</v>
      </c>
      <c r="J40" s="66" t="s">
        <v>93</v>
      </c>
      <c r="K40" s="67">
        <f>'Cost &amp; Mass Functions'!D415</f>
        <v>75995.993526212173</v>
      </c>
      <c r="L40" s="68">
        <f>'Cost &amp; Mass Functions'!D585</f>
        <v>210192.4447612259</v>
      </c>
      <c r="M40" s="68">
        <f>'Cost &amp; Mass Functions'!D645</f>
        <v>132105.09554140127</v>
      </c>
      <c r="N40" s="69"/>
    </row>
    <row r="41" spans="1:14" x14ac:dyDescent="0.2">
      <c r="A41" s="62" t="str">
        <f>HLOOKUP('Input &amp; Summary'!$B$4,'Cost Summary'!$G$36:$J$46,6)</f>
        <v>Electrical Interface and Connections</v>
      </c>
      <c r="B41" s="63">
        <f>HLOOKUP('Input &amp; Summary'!$B$4,'Cost Summary'!$K$36:$N$46,6)/1000</f>
        <v>205.6384139307296</v>
      </c>
      <c r="C41" s="43"/>
      <c r="D41" t="s">
        <v>68</v>
      </c>
      <c r="G41" s="64" t="s">
        <v>102</v>
      </c>
      <c r="H41" s="65" t="s">
        <v>103</v>
      </c>
      <c r="I41" s="65" t="s">
        <v>101</v>
      </c>
      <c r="J41" s="66" t="s">
        <v>101</v>
      </c>
      <c r="K41" s="67">
        <f>'Cost &amp; Mass Functions'!D429</f>
        <v>205638.41393072958</v>
      </c>
      <c r="L41" s="68">
        <f>'Cost &amp; Mass Functions'!D607</f>
        <v>573475.01101895538</v>
      </c>
      <c r="M41" s="68">
        <f>'Cost &amp; Mass Functions'!D653</f>
        <v>210192.4447612259</v>
      </c>
      <c r="N41" s="69"/>
    </row>
    <row r="42" spans="1:14" x14ac:dyDescent="0.2">
      <c r="A42" s="62" t="str">
        <f>HLOOKUP('Input &amp; Summary'!$B$4,'Cost Summary'!$G$36:$J$46,7)</f>
        <v>Engineering &amp; Permits</v>
      </c>
      <c r="B42" s="63">
        <f>HLOOKUP('Input &amp; Summary'!$B$4,'Cost Summary'!$K$36:$N$46,7)/1000</f>
        <v>35.625249271137022</v>
      </c>
      <c r="C42" s="43"/>
      <c r="D42" t="s">
        <v>68</v>
      </c>
      <c r="G42" s="64" t="s">
        <v>104</v>
      </c>
      <c r="H42" s="65" t="s">
        <v>105</v>
      </c>
      <c r="I42" s="65" t="s">
        <v>106</v>
      </c>
      <c r="J42" s="66" t="s">
        <v>106</v>
      </c>
      <c r="K42" s="67">
        <f>'Cost &amp; Mass Functions'!D440</f>
        <v>35625.249271137021</v>
      </c>
      <c r="L42" s="68">
        <f>'Cost &amp; Mass Functions'!D501</f>
        <v>59027.988614800757</v>
      </c>
      <c r="M42" s="68">
        <f>'Cost &amp; Mass Functions'!D491</f>
        <v>42038.488952245178</v>
      </c>
      <c r="N42" s="69"/>
    </row>
    <row r="43" spans="1:14" x14ac:dyDescent="0.2">
      <c r="A43" s="62" t="str">
        <f>HLOOKUP('Input &amp; Summary'!$B$4,'Cost Summary'!$G$36:$J$46,8)</f>
        <v/>
      </c>
      <c r="B43" s="63">
        <f>HLOOKUP('Input &amp; Summary'!$B$4,'Cost Summary'!$K$36:$N$46,8)/1000</f>
        <v>0</v>
      </c>
      <c r="C43" s="70"/>
      <c r="G43" s="71" t="s">
        <v>107</v>
      </c>
      <c r="H43" s="65" t="s">
        <v>108</v>
      </c>
      <c r="I43" s="65" t="s">
        <v>103</v>
      </c>
      <c r="J43" s="66" t="s">
        <v>103</v>
      </c>
      <c r="K43" s="67"/>
      <c r="L43" s="68">
        <f>'Cost &amp; Mass Functions'!D509</f>
        <v>63814.041745730545</v>
      </c>
      <c r="M43" s="68">
        <f>'Cost &amp; Mass Functions'!D661</f>
        <v>639645.2045980657</v>
      </c>
      <c r="N43" s="69"/>
    </row>
    <row r="44" spans="1:14" x14ac:dyDescent="0.2">
      <c r="A44" s="62" t="str">
        <f>HLOOKUP('Input &amp; Summary'!$B$4,'Cost Summary'!$G$36:$J$46,9)</f>
        <v/>
      </c>
      <c r="B44" s="63">
        <f>HLOOKUP('Input &amp; Summary'!$B$4,'Cost Summary'!$K$36:$N$46,9)/1000</f>
        <v>0</v>
      </c>
      <c r="C44" s="70"/>
      <c r="G44" s="71" t="s">
        <v>107</v>
      </c>
      <c r="H44" s="65" t="s">
        <v>109</v>
      </c>
      <c r="I44" s="65" t="s">
        <v>105</v>
      </c>
      <c r="J44" s="66" t="s">
        <v>105</v>
      </c>
      <c r="K44" s="67"/>
      <c r="L44" s="68">
        <f>'Cost &amp; Mass Functions'!D519</f>
        <v>115605.84461867424</v>
      </c>
      <c r="M44" s="68">
        <f>'Cost &amp; Mass Functions'!D501</f>
        <v>59027.988614800757</v>
      </c>
      <c r="N44" s="69"/>
    </row>
    <row r="45" spans="1:14" x14ac:dyDescent="0.2">
      <c r="A45" s="62" t="str">
        <f>HLOOKUP('Input &amp; Summary'!$B$4,'Cost Summary'!$G$36:$J$46,10)</f>
        <v/>
      </c>
      <c r="B45" s="63">
        <f>HLOOKUP('Input &amp; Summary'!$B$4,'Cost Summary'!$K$36:$N$46,10)/1000</f>
        <v>0</v>
      </c>
      <c r="C45" s="70"/>
      <c r="G45" s="71" t="s">
        <v>107</v>
      </c>
      <c r="H45" s="72" t="s">
        <v>107</v>
      </c>
      <c r="I45" s="65" t="s">
        <v>108</v>
      </c>
      <c r="J45" s="66" t="s">
        <v>108</v>
      </c>
      <c r="K45" s="67"/>
      <c r="L45" s="68"/>
      <c r="M45" s="68">
        <f>'Cost &amp; Mass Functions'!D509</f>
        <v>63814.041745730545</v>
      </c>
      <c r="N45" s="69"/>
    </row>
    <row r="46" spans="1:14" ht="13.5" thickBot="1" x14ac:dyDescent="0.25">
      <c r="A46" s="62" t="str">
        <f>HLOOKUP('Input &amp; Summary'!$B$4,'Cost Summary'!$G$36:$J$46,11)</f>
        <v/>
      </c>
      <c r="B46" s="63">
        <f>HLOOKUP('Input &amp; Summary'!$B$4,'Cost Summary'!$K$36:$N$46,11)/1000</f>
        <v>0</v>
      </c>
      <c r="C46" s="70"/>
      <c r="G46" s="73" t="s">
        <v>107</v>
      </c>
      <c r="H46" s="74" t="s">
        <v>107</v>
      </c>
      <c r="I46" s="75" t="s">
        <v>109</v>
      </c>
      <c r="J46" s="76" t="s">
        <v>109</v>
      </c>
      <c r="K46" s="77"/>
      <c r="L46" s="78"/>
      <c r="M46" s="78">
        <f>'Cost &amp; Mass Functions'!D519</f>
        <v>115605.84461867424</v>
      </c>
      <c r="N46" s="79"/>
    </row>
    <row r="47" spans="1:14" x14ac:dyDescent="0.2">
      <c r="A47" s="45" t="str">
        <f>IF('Input &amp; Summary'!B4=1," ",CONCATENATE("Surety Bond (Decomissioning - ",TEXT('Cost &amp; Mass Functions'!D523,"0.0%")," of ICC)"))</f>
        <v xml:space="preserve"> </v>
      </c>
      <c r="B47" s="80">
        <f>IF('Input &amp; Summary'!B4=1,,'Cost &amp; Mass Functions'!D527/1000)</f>
        <v>0</v>
      </c>
      <c r="C47" s="70"/>
      <c r="G47" s="81"/>
      <c r="H47" s="82"/>
      <c r="I47" s="82"/>
      <c r="J47" s="82"/>
    </row>
    <row r="48" spans="1:14" x14ac:dyDescent="0.2">
      <c r="A48" s="83" t="s">
        <v>110</v>
      </c>
      <c r="B48" s="84">
        <f>SUM(B37:B47)</f>
        <v>571.3100334051212</v>
      </c>
      <c r="C48" s="85"/>
    </row>
    <row r="49" spans="1:3" x14ac:dyDescent="0.2">
      <c r="A49" s="83"/>
      <c r="B49" s="84"/>
      <c r="C49" s="85"/>
    </row>
    <row r="50" spans="1:3" x14ac:dyDescent="0.2">
      <c r="A50" s="86" t="str">
        <f>IF('Input &amp; Summary'!B4=1," ",CONCATENATE("Offshore Warranty Premium (",TEXT('Cost &amp; Mass Functions'!D531,"0.00%")," of Turbine and Tower System)"))</f>
        <v xml:space="preserve"> </v>
      </c>
      <c r="B50" s="84">
        <f>IF('Input &amp; Summary'!B4=1,,'Cost &amp; Mass Functions'!D535/1000)</f>
        <v>0</v>
      </c>
      <c r="C50" s="85"/>
    </row>
    <row r="51" spans="1:3" x14ac:dyDescent="0.2">
      <c r="A51" s="83"/>
      <c r="B51" s="87"/>
      <c r="C51" s="43"/>
    </row>
    <row r="52" spans="1:3" ht="13.5" thickBot="1" x14ac:dyDescent="0.25">
      <c r="A52" s="88" t="s">
        <v>111</v>
      </c>
      <c r="B52" s="89">
        <f>B35+B48+B50</f>
        <v>2122.5382660524601</v>
      </c>
      <c r="C52" s="90">
        <f>C35+C48</f>
        <v>226055.94043348293</v>
      </c>
    </row>
    <row r="53" spans="1:3" ht="13.5" thickTop="1" x14ac:dyDescent="0.2">
      <c r="A53" s="91" t="s">
        <v>112</v>
      </c>
      <c r="B53" s="92">
        <f>B52/$B$5*1000</f>
        <v>1415.0255107016401</v>
      </c>
      <c r="C53" s="93">
        <f>C52/$B$5*1000</f>
        <v>150703.9602889886</v>
      </c>
    </row>
    <row r="54" spans="1:3" x14ac:dyDescent="0.2">
      <c r="A54" s="91" t="s">
        <v>113</v>
      </c>
      <c r="B54" s="94"/>
      <c r="C54" s="95"/>
    </row>
    <row r="55" spans="1:3" x14ac:dyDescent="0.2">
      <c r="A55" s="91" t="s">
        <v>114</v>
      </c>
      <c r="B55" s="92">
        <f>(B35)/$B$5*1000</f>
        <v>1034.1521550982259</v>
      </c>
      <c r="C55" s="93">
        <f>(C35)/$B$5*1000</f>
        <v>150703.9602889886</v>
      </c>
    </row>
    <row r="56" spans="1:3" ht="13.5" thickBot="1" x14ac:dyDescent="0.25">
      <c r="A56" s="91" t="s">
        <v>115</v>
      </c>
      <c r="B56" s="94"/>
      <c r="C56" s="96"/>
    </row>
    <row r="57" spans="1:3" ht="13.5" thickTop="1" x14ac:dyDescent="0.2">
      <c r="A57" s="97"/>
      <c r="B57" s="98"/>
      <c r="C57" s="99"/>
    </row>
    <row r="58" spans="1:3" x14ac:dyDescent="0.2">
      <c r="A58" s="100" t="s">
        <v>766</v>
      </c>
      <c r="B58" s="101">
        <f>IF('Input &amp; Summary'!B4=1,'Cost &amp; Mass Functions'!D450/1000,'Cost &amp; Mass Functions'!D545/1000)</f>
        <v>17.484985422740522</v>
      </c>
      <c r="C58" s="102"/>
    </row>
    <row r="59" spans="1:3" x14ac:dyDescent="0.2">
      <c r="A59" s="100" t="s">
        <v>767</v>
      </c>
      <c r="B59" s="101">
        <f>IF('Input &amp; Summary'!B4=1,'Cost &amp; Mass Functions'!D460/1000,'Cost &amp; Mass Functions'!D555/1000)</f>
        <v>35.638364753332311</v>
      </c>
      <c r="C59" s="102"/>
    </row>
    <row r="60" spans="1:3" x14ac:dyDescent="0.2">
      <c r="A60" s="100" t="str">
        <f>IF('Input &amp; Summary'!B4=1,"Land Lease Cost","Bottom Lease Cost")</f>
        <v>Land Lease Cost</v>
      </c>
      <c r="B60" s="101">
        <f>IF('Input &amp; Summary'!B4=1,'Cost &amp; Mass Functions'!D470/1000,'Cost &amp; Mass Functions'!D565/1000)</f>
        <v>5.4984905619426989</v>
      </c>
      <c r="C60" s="102"/>
    </row>
    <row r="61" spans="1:3" x14ac:dyDescent="0.2">
      <c r="A61" s="100"/>
      <c r="B61" s="101"/>
      <c r="C61" s="102"/>
    </row>
    <row r="62" spans="1:3" ht="13.5" thickBot="1" x14ac:dyDescent="0.25">
      <c r="A62" s="103"/>
      <c r="B62" s="104"/>
      <c r="C62" s="105"/>
    </row>
    <row r="63" spans="1:3" ht="13.5" thickTop="1" x14ac:dyDescent="0.2">
      <c r="A63" s="91"/>
      <c r="B63" s="101"/>
      <c r="C63" s="106"/>
    </row>
    <row r="64" spans="1:3" x14ac:dyDescent="0.2">
      <c r="A64" s="100" t="s">
        <v>116</v>
      </c>
      <c r="B64" s="107">
        <f>'AEP Input Output sheet'!B27</f>
        <v>0.35565926397119402</v>
      </c>
      <c r="C64" s="106"/>
    </row>
    <row r="65" spans="1:3" ht="13.5" thickBot="1" x14ac:dyDescent="0.25">
      <c r="A65" s="103" t="s">
        <v>117</v>
      </c>
      <c r="B65" s="108">
        <f>'AEP Input Output sheet'!B26</f>
        <v>4673.3627285814891</v>
      </c>
      <c r="C65" s="105"/>
    </row>
    <row r="66" spans="1:3" ht="13.5" thickTop="1" x14ac:dyDescent="0.2">
      <c r="A66" s="109"/>
      <c r="B66" s="110"/>
      <c r="C66" s="111"/>
    </row>
    <row r="67" spans="1:3" x14ac:dyDescent="0.2">
      <c r="A67" s="91" t="s">
        <v>118</v>
      </c>
      <c r="B67" s="112">
        <v>0.11990000000000001</v>
      </c>
      <c r="C67" s="113"/>
    </row>
    <row r="68" spans="1:3" x14ac:dyDescent="0.2">
      <c r="A68" s="114"/>
      <c r="B68" s="115"/>
      <c r="C68" s="111"/>
    </row>
    <row r="69" spans="1:3" x14ac:dyDescent="0.2">
      <c r="A69" s="116"/>
      <c r="B69" s="117"/>
      <c r="C69" s="111"/>
    </row>
    <row r="70" spans="1:3" ht="13.5" thickBot="1" x14ac:dyDescent="0.25">
      <c r="A70" s="118" t="s">
        <v>119</v>
      </c>
      <c r="B70" s="119">
        <f>(B52*B67)/B65+(B58+B59*0.6+B60)/B65</f>
        <v>6.3949419356773438E-2</v>
      </c>
      <c r="C70" s="120"/>
    </row>
    <row r="71" spans="1:3" ht="13.5" thickTop="1" x14ac:dyDescent="0.2"/>
    <row r="72" spans="1:3" x14ac:dyDescent="0.2">
      <c r="A72" t="s">
        <v>120</v>
      </c>
      <c r="B72" s="121">
        <f>B35*B67/B65</f>
        <v>3.9798379859735465E-2</v>
      </c>
      <c r="C72" s="122"/>
    </row>
    <row r="73" spans="1:3" x14ac:dyDescent="0.2">
      <c r="A73" t="s">
        <v>121</v>
      </c>
      <c r="B73" s="121">
        <f>B50*B67/B65</f>
        <v>0</v>
      </c>
      <c r="C73" s="122"/>
    </row>
    <row r="74" spans="1:3" x14ac:dyDescent="0.2">
      <c r="A74" t="s">
        <v>122</v>
      </c>
      <c r="B74" s="121">
        <f>B37*B67/B65</f>
        <v>1.9239836196990507E-3</v>
      </c>
      <c r="C74" s="122"/>
    </row>
    <row r="75" spans="1:3" x14ac:dyDescent="0.2">
      <c r="A75" t="s">
        <v>123</v>
      </c>
      <c r="B75" s="121">
        <f>B41*B67/B65</f>
        <v>5.2758682050298199E-3</v>
      </c>
      <c r="C75" s="122"/>
    </row>
    <row r="76" spans="1:3" x14ac:dyDescent="0.2">
      <c r="A76" t="s">
        <v>124</v>
      </c>
      <c r="B76" s="121">
        <f>(B48-B41-B37-B42)*B67/B65</f>
        <v>6.5437005909339489E-3</v>
      </c>
      <c r="C76" s="122"/>
    </row>
    <row r="77" spans="1:3" x14ac:dyDescent="0.2">
      <c r="A77" t="s">
        <v>125</v>
      </c>
      <c r="B77" s="121">
        <f>B42*B67/B65</f>
        <v>9.1400296439344696E-4</v>
      </c>
      <c r="C77" s="122"/>
    </row>
    <row r="78" spans="1:3" x14ac:dyDescent="0.2">
      <c r="A78" t="s">
        <v>126</v>
      </c>
      <c r="B78" s="121">
        <f>(B58+B60)/B65</f>
        <v>4.9179739129000628E-3</v>
      </c>
      <c r="C78" s="122"/>
    </row>
    <row r="79" spans="1:3" x14ac:dyDescent="0.2">
      <c r="A79" t="s">
        <v>127</v>
      </c>
      <c r="B79" s="121">
        <f>(B59*0.6)/B65</f>
        <v>4.5755102040816323E-3</v>
      </c>
      <c r="C79" s="122"/>
    </row>
    <row r="80" spans="1:3" x14ac:dyDescent="0.2">
      <c r="B80" s="121"/>
      <c r="C80" s="122"/>
    </row>
    <row r="81" spans="1:3" x14ac:dyDescent="0.2">
      <c r="A81" s="123" t="s">
        <v>128</v>
      </c>
      <c r="B81" s="121">
        <f>SUM(B72:B79)</f>
        <v>6.3949419356773424E-2</v>
      </c>
      <c r="C81" s="122"/>
    </row>
  </sheetData>
  <pageMargins left="0.75" right="0.75" top="1" bottom="1" header="0.5" footer="0.5"/>
  <pageSetup scale="81"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B1:Q663"/>
  <sheetViews>
    <sheetView workbookViewId="0">
      <selection activeCell="F44" sqref="F44"/>
    </sheetView>
  </sheetViews>
  <sheetFormatPr defaultRowHeight="12.75" x14ac:dyDescent="0.2"/>
  <cols>
    <col min="1" max="1" width="2.42578125" customWidth="1"/>
    <col min="2" max="2" width="11.7109375" customWidth="1"/>
    <col min="3" max="3" width="16.7109375" customWidth="1"/>
    <col min="4" max="4" width="16.140625" bestFit="1" customWidth="1"/>
    <col min="5" max="6" width="9.7109375" customWidth="1"/>
    <col min="7" max="7" width="10" customWidth="1"/>
    <col min="8" max="8" width="10.140625" customWidth="1"/>
    <col min="9" max="10" width="9.5703125" customWidth="1"/>
    <col min="11" max="11" width="9.140625" customWidth="1"/>
    <col min="12" max="12" width="13.85546875" bestFit="1" customWidth="1"/>
  </cols>
  <sheetData>
    <row r="1" spans="2:11" x14ac:dyDescent="0.2">
      <c r="B1" s="124" t="str">
        <f>'Input &amp; Summary'!A1</f>
        <v>Based on Combined Land Based-Offshore Turbine Cost Model. v2.01.04</v>
      </c>
      <c r="C1" s="124"/>
      <c r="D1" s="125"/>
      <c r="E1" s="125"/>
      <c r="F1" s="125"/>
      <c r="G1" s="125"/>
      <c r="H1" s="125"/>
      <c r="I1" s="125"/>
    </row>
    <row r="2" spans="2:11" x14ac:dyDescent="0.2">
      <c r="B2" s="17"/>
      <c r="C2" s="17"/>
      <c r="D2" s="125"/>
      <c r="E2" s="125"/>
      <c r="F2" s="125"/>
      <c r="G2" s="125"/>
      <c r="H2" s="125"/>
    </row>
    <row r="4" spans="2:11" ht="13.5" thickBot="1" x14ac:dyDescent="0.25">
      <c r="C4" s="546" t="s">
        <v>129</v>
      </c>
      <c r="D4" s="547"/>
      <c r="E4" s="547"/>
      <c r="F4" s="547"/>
      <c r="G4" s="547"/>
      <c r="H4" s="547"/>
      <c r="I4" s="547"/>
      <c r="J4" s="547"/>
    </row>
    <row r="5" spans="2:11" ht="26.25" thickBot="1" x14ac:dyDescent="0.25">
      <c r="B5" s="27"/>
      <c r="C5" s="126" t="s">
        <v>130</v>
      </c>
      <c r="D5" s="126" t="s">
        <v>131</v>
      </c>
      <c r="E5" s="126" t="s">
        <v>132</v>
      </c>
      <c r="F5" s="126" t="s">
        <v>133</v>
      </c>
      <c r="G5" s="126" t="s">
        <v>134</v>
      </c>
      <c r="H5" s="126" t="s">
        <v>135</v>
      </c>
      <c r="I5" s="126" t="s">
        <v>136</v>
      </c>
      <c r="J5" s="126" t="s">
        <v>35</v>
      </c>
    </row>
    <row r="6" spans="2:11" ht="13.5" thickBot="1" x14ac:dyDescent="0.25">
      <c r="B6" s="27"/>
      <c r="C6" s="126">
        <f>'Input &amp; Summary'!B7</f>
        <v>1500</v>
      </c>
      <c r="D6" s="126">
        <f>'Input &amp; Summary'!B8</f>
        <v>75</v>
      </c>
      <c r="E6" s="126">
        <f>'Input &amp; Summary'!B9</f>
        <v>80</v>
      </c>
      <c r="F6" s="126" t="str">
        <f>'Input &amp; Summary'!C8</f>
        <v>Baseline</v>
      </c>
      <c r="G6" s="126" t="str">
        <f>'Input &amp; Summary'!C9</f>
        <v>Baseline</v>
      </c>
      <c r="H6" s="126">
        <f>'Input &amp; Summary'!B24</f>
        <v>1</v>
      </c>
      <c r="I6" s="126">
        <f>'Input &amp; Summary'!B18</f>
        <v>80</v>
      </c>
      <c r="J6" s="126">
        <f>'Input &amp; Summary'!B25</f>
        <v>1</v>
      </c>
    </row>
    <row r="7" spans="2:11" x14ac:dyDescent="0.2">
      <c r="B7" s="27"/>
      <c r="C7" s="127"/>
      <c r="D7" s="127"/>
      <c r="E7" s="127"/>
      <c r="F7" s="127"/>
      <c r="G7" s="127"/>
      <c r="H7" s="127"/>
      <c r="I7" s="127"/>
      <c r="J7" s="127"/>
    </row>
    <row r="8" spans="2:11" x14ac:dyDescent="0.2">
      <c r="B8" s="128" t="s">
        <v>137</v>
      </c>
      <c r="C8" s="127"/>
      <c r="D8" s="127"/>
      <c r="E8" s="127"/>
      <c r="F8" s="127"/>
      <c r="G8" s="127"/>
      <c r="H8" s="127"/>
      <c r="I8" s="127"/>
      <c r="J8" s="127"/>
    </row>
    <row r="9" spans="2:11" x14ac:dyDescent="0.2">
      <c r="B9" s="27"/>
      <c r="C9" s="27"/>
      <c r="D9" s="129"/>
      <c r="E9" s="129"/>
      <c r="F9" s="129"/>
      <c r="G9" s="129"/>
      <c r="H9" s="129"/>
      <c r="I9" s="129"/>
      <c r="J9" s="129"/>
      <c r="K9" s="129"/>
    </row>
    <row r="10" spans="2:11" ht="13.5" thickBot="1" x14ac:dyDescent="0.25">
      <c r="B10" s="548" t="s">
        <v>138</v>
      </c>
      <c r="C10" s="549"/>
      <c r="D10" s="549"/>
      <c r="E10" s="549"/>
      <c r="F10" s="549"/>
    </row>
    <row r="11" spans="2:11" ht="14.25" thickTop="1" thickBot="1" x14ac:dyDescent="0.25">
      <c r="B11" s="130"/>
      <c r="C11" s="130"/>
      <c r="D11" s="27"/>
    </row>
    <row r="12" spans="2:11" ht="13.5" thickTop="1" x14ac:dyDescent="0.2">
      <c r="B12" s="131" t="s">
        <v>139</v>
      </c>
      <c r="C12" s="132"/>
      <c r="D12" s="132"/>
      <c r="E12" s="133"/>
      <c r="F12" s="133"/>
      <c r="G12" s="133"/>
      <c r="H12" s="133"/>
      <c r="I12" s="133"/>
      <c r="J12" s="134"/>
    </row>
    <row r="13" spans="2:11" x14ac:dyDescent="0.2">
      <c r="B13" s="135"/>
      <c r="C13" s="136"/>
      <c r="D13" s="136"/>
      <c r="E13" s="82"/>
      <c r="F13" s="82"/>
      <c r="G13" s="82"/>
      <c r="H13" s="82"/>
      <c r="I13" s="82"/>
      <c r="J13" s="137"/>
    </row>
    <row r="14" spans="2:11" x14ac:dyDescent="0.2">
      <c r="B14" s="138" t="s">
        <v>140</v>
      </c>
      <c r="C14" s="136"/>
      <c r="D14" s="136"/>
      <c r="E14" s="82"/>
      <c r="F14" s="136" t="s">
        <v>141</v>
      </c>
      <c r="G14" s="136"/>
      <c r="H14" s="139"/>
      <c r="I14" s="82"/>
      <c r="J14" s="137"/>
    </row>
    <row r="15" spans="2:11" x14ac:dyDescent="0.2">
      <c r="B15" s="492" t="s">
        <v>142</v>
      </c>
      <c r="C15" s="493"/>
      <c r="D15" s="140">
        <v>0.1452</v>
      </c>
      <c r="E15" s="82"/>
      <c r="F15" s="493" t="s">
        <v>142</v>
      </c>
      <c r="G15" s="493"/>
      <c r="H15" s="140">
        <v>0.49480000000000002</v>
      </c>
      <c r="I15" s="82"/>
      <c r="J15" s="137"/>
    </row>
    <row r="16" spans="2:11" x14ac:dyDescent="0.2">
      <c r="B16" s="492" t="s">
        <v>143</v>
      </c>
      <c r="C16" s="493"/>
      <c r="D16" s="140">
        <v>2.9157999999999999</v>
      </c>
      <c r="E16" s="82"/>
      <c r="F16" s="493" t="s">
        <v>143</v>
      </c>
      <c r="G16" s="493"/>
      <c r="H16" s="140">
        <v>2.5299999999999998</v>
      </c>
      <c r="I16" s="82"/>
      <c r="J16" s="137"/>
    </row>
    <row r="17" spans="2:10" ht="13.5" thickBot="1" x14ac:dyDescent="0.25">
      <c r="B17" s="141"/>
      <c r="C17" s="82"/>
      <c r="D17" s="82"/>
      <c r="E17" s="82"/>
      <c r="F17" s="82"/>
      <c r="G17" s="82"/>
      <c r="H17" s="82"/>
      <c r="I17" s="82"/>
      <c r="J17" s="137"/>
    </row>
    <row r="18" spans="2:10" ht="25.5" customHeight="1" x14ac:dyDescent="0.2">
      <c r="B18" s="540" t="s">
        <v>144</v>
      </c>
      <c r="C18" s="541"/>
      <c r="D18" s="542" t="s">
        <v>145</v>
      </c>
      <c r="E18" s="541"/>
      <c r="F18" s="542" t="s">
        <v>146</v>
      </c>
      <c r="G18" s="541"/>
      <c r="H18" s="82"/>
      <c r="I18" s="82"/>
      <c r="J18" s="137"/>
    </row>
    <row r="19" spans="2:10" x14ac:dyDescent="0.2">
      <c r="B19" s="142" t="s">
        <v>147</v>
      </c>
      <c r="C19" s="143">
        <v>0.40193758052952494</v>
      </c>
      <c r="D19" s="144" t="s">
        <v>147</v>
      </c>
      <c r="E19" s="143">
        <v>0.40193758052952488</v>
      </c>
      <c r="F19" s="144" t="s">
        <v>148</v>
      </c>
      <c r="G19" s="145">
        <v>2.7444999999999999</v>
      </c>
      <c r="H19" s="82"/>
      <c r="I19" s="82"/>
      <c r="J19" s="137"/>
    </row>
    <row r="20" spans="2:10" ht="13.5" thickBot="1" x14ac:dyDescent="0.25">
      <c r="B20" s="146" t="s">
        <v>149</v>
      </c>
      <c r="C20" s="147">
        <v>-955.24267312367738</v>
      </c>
      <c r="D20" s="148" t="s">
        <v>149</v>
      </c>
      <c r="E20" s="149">
        <v>-21051.045982777105</v>
      </c>
      <c r="F20" s="148" t="s">
        <v>150</v>
      </c>
      <c r="G20" s="150">
        <v>2.5024999999999999</v>
      </c>
      <c r="H20" s="82"/>
      <c r="I20" s="82"/>
      <c r="J20" s="137"/>
    </row>
    <row r="21" spans="2:10" x14ac:dyDescent="0.2">
      <c r="B21" s="151"/>
      <c r="C21" s="152"/>
      <c r="D21" s="153"/>
      <c r="E21" s="82"/>
      <c r="F21" s="82"/>
      <c r="G21" s="82"/>
      <c r="H21" s="82"/>
      <c r="I21" s="82"/>
      <c r="J21" s="137"/>
    </row>
    <row r="22" spans="2:10" x14ac:dyDescent="0.2">
      <c r="B22" s="138" t="s">
        <v>151</v>
      </c>
      <c r="C22" s="136"/>
      <c r="D22" s="136"/>
      <c r="E22" s="82"/>
      <c r="F22" s="82"/>
      <c r="G22" s="82"/>
      <c r="H22" s="82"/>
      <c r="I22" s="82"/>
      <c r="J22" s="137"/>
    </row>
    <row r="23" spans="2:10" x14ac:dyDescent="0.2">
      <c r="B23" s="138"/>
      <c r="C23" s="136"/>
      <c r="D23" s="136"/>
      <c r="E23" s="82"/>
      <c r="F23" s="82"/>
      <c r="G23" s="82"/>
      <c r="H23" s="82"/>
      <c r="I23" s="82"/>
      <c r="J23" s="137"/>
    </row>
    <row r="24" spans="2:10" ht="25.5" customHeight="1" x14ac:dyDescent="0.2">
      <c r="B24" s="543" t="s">
        <v>152</v>
      </c>
      <c r="C24" s="544"/>
      <c r="D24" s="544"/>
      <c r="E24" s="544"/>
      <c r="F24" s="544"/>
      <c r="G24" s="544"/>
      <c r="H24" s="544"/>
      <c r="I24" s="544"/>
      <c r="J24" s="545"/>
    </row>
    <row r="25" spans="2:10" ht="14.25" customHeight="1" x14ac:dyDescent="0.2">
      <c r="B25" s="154"/>
      <c r="C25" s="155"/>
      <c r="D25" s="155"/>
      <c r="E25" s="155"/>
      <c r="F25" s="155"/>
      <c r="G25" s="155"/>
      <c r="H25" s="155"/>
      <c r="I25" s="155"/>
      <c r="J25" s="156"/>
    </row>
    <row r="26" spans="2:10" ht="25.5" customHeight="1" x14ac:dyDescent="0.2">
      <c r="B26" s="543" t="s">
        <v>153</v>
      </c>
      <c r="C26" s="544"/>
      <c r="D26" s="544"/>
      <c r="E26" s="544"/>
      <c r="F26" s="544"/>
      <c r="G26" s="544"/>
      <c r="H26" s="544"/>
      <c r="I26" s="544"/>
      <c r="J26" s="545"/>
    </row>
    <row r="27" spans="2:10" ht="25.5" customHeight="1" x14ac:dyDescent="0.2">
      <c r="B27" s="154"/>
      <c r="C27" s="155"/>
      <c r="D27" s="155"/>
      <c r="E27" s="155"/>
      <c r="F27" s="155"/>
      <c r="G27" s="155"/>
      <c r="H27" s="155"/>
      <c r="I27" s="155"/>
      <c r="J27" s="156"/>
    </row>
    <row r="28" spans="2:10" x14ac:dyDescent="0.2">
      <c r="B28" s="490" t="s">
        <v>154</v>
      </c>
      <c r="C28" s="491"/>
      <c r="D28" s="157">
        <f>IF(EXACT(F6,"Baseline"),($D$15*($D$6/2)^$D$16),($H$15*($D$6/2)^$H$16))</f>
        <v>5643.2200689436468</v>
      </c>
      <c r="E28" s="82"/>
      <c r="F28" s="158">
        <f>'PPI Calculation'!D12</f>
        <v>1.097181729834791</v>
      </c>
      <c r="G28" s="536" t="s">
        <v>155</v>
      </c>
      <c r="H28" s="537"/>
      <c r="I28" s="538"/>
      <c r="J28" s="137"/>
    </row>
    <row r="29" spans="2:10" x14ac:dyDescent="0.2">
      <c r="B29" s="490" t="s">
        <v>156</v>
      </c>
      <c r="C29" s="491"/>
      <c r="D29" s="159">
        <f>IF(EXACT($F$6,"Baseline"),(($C$19*($D$6/2)^3+$C$20)*$F$29+($G$19*($D$6/2)^$G$20)*$F$28)/(1-0.28),(($E$19*($D$6/2)^3+$E$20)*$F$30+($G$19*($D$6/2)^$G$20)*$F$28)/(1-0.28))</f>
        <v>65898.365443950883</v>
      </c>
      <c r="E29" s="82"/>
      <c r="F29" s="158">
        <f>'PPI Calculation'!D31</f>
        <v>1.0513357883536096</v>
      </c>
      <c r="G29" s="536" t="s">
        <v>157</v>
      </c>
      <c r="H29" s="537"/>
      <c r="I29" s="538"/>
      <c r="J29" s="137"/>
    </row>
    <row r="30" spans="2:10" x14ac:dyDescent="0.2">
      <c r="B30" s="490" t="s">
        <v>158</v>
      </c>
      <c r="C30" s="491"/>
      <c r="D30" s="157">
        <f>D29*3</f>
        <v>197695.09633185266</v>
      </c>
      <c r="E30" s="82"/>
      <c r="F30" s="158">
        <f>'PPI Calculation'!K31</f>
        <v>1.0891171048515433</v>
      </c>
      <c r="G30" s="539" t="s">
        <v>159</v>
      </c>
      <c r="H30" s="539"/>
      <c r="I30" s="539"/>
      <c r="J30" s="137"/>
    </row>
    <row r="31" spans="2:10" ht="13.5" thickBot="1" x14ac:dyDescent="0.25">
      <c r="B31" s="160"/>
      <c r="C31" s="161"/>
      <c r="D31" s="162"/>
      <c r="E31" s="163"/>
      <c r="F31" s="163"/>
      <c r="G31" s="163"/>
      <c r="H31" s="163"/>
      <c r="I31" s="163"/>
      <c r="J31" s="164"/>
    </row>
    <row r="32" spans="2:10" ht="13.5" thickTop="1" x14ac:dyDescent="0.2">
      <c r="B32" s="131" t="s">
        <v>160</v>
      </c>
      <c r="C32" s="165"/>
      <c r="D32" s="165"/>
      <c r="E32" s="166"/>
      <c r="F32" s="166"/>
      <c r="G32" s="166"/>
      <c r="H32" s="166"/>
      <c r="I32" s="166"/>
      <c r="J32" s="167"/>
    </row>
    <row r="33" spans="2:10" x14ac:dyDescent="0.2">
      <c r="B33" s="138"/>
      <c r="C33" s="136"/>
      <c r="D33" s="136"/>
      <c r="E33" s="82"/>
      <c r="F33" s="82"/>
      <c r="G33" s="82"/>
      <c r="H33" s="82"/>
      <c r="I33" s="82"/>
      <c r="J33" s="137"/>
    </row>
    <row r="34" spans="2:10" x14ac:dyDescent="0.2">
      <c r="B34" s="492" t="s">
        <v>161</v>
      </c>
      <c r="C34" s="517"/>
      <c r="D34" s="168">
        <v>0.95402537264402965</v>
      </c>
      <c r="E34" s="82"/>
      <c r="F34" s="82"/>
      <c r="G34" s="82"/>
      <c r="H34" s="82"/>
      <c r="I34" s="82"/>
      <c r="J34" s="137"/>
    </row>
    <row r="35" spans="2:10" x14ac:dyDescent="0.2">
      <c r="B35" s="492" t="s">
        <v>162</v>
      </c>
      <c r="C35" s="517"/>
      <c r="D35" s="168">
        <v>5680.2722376117763</v>
      </c>
      <c r="E35" s="82"/>
      <c r="F35" s="82"/>
      <c r="G35" s="82"/>
      <c r="H35" s="82"/>
      <c r="I35" s="82"/>
      <c r="J35" s="137"/>
    </row>
    <row r="36" spans="2:10" x14ac:dyDescent="0.2">
      <c r="B36" s="151"/>
      <c r="C36" s="152"/>
      <c r="D36" s="169"/>
      <c r="E36" s="82"/>
      <c r="F36" s="82"/>
      <c r="G36" s="82"/>
      <c r="H36" s="82"/>
      <c r="I36" s="82"/>
      <c r="J36" s="137"/>
    </row>
    <row r="37" spans="2:10" x14ac:dyDescent="0.2">
      <c r="B37" s="492" t="s">
        <v>163</v>
      </c>
      <c r="C37" s="493"/>
      <c r="D37" s="140">
        <v>4.25</v>
      </c>
      <c r="E37" s="82" t="s">
        <v>164</v>
      </c>
      <c r="F37" s="82"/>
      <c r="G37" s="82"/>
      <c r="H37" s="82"/>
      <c r="I37" s="82"/>
      <c r="J37" s="137"/>
    </row>
    <row r="38" spans="2:10" x14ac:dyDescent="0.2">
      <c r="B38" s="151"/>
      <c r="C38" s="152"/>
      <c r="D38" s="153"/>
      <c r="E38" s="82"/>
      <c r="F38" s="82"/>
      <c r="G38" s="82"/>
      <c r="H38" s="82"/>
      <c r="I38" s="82"/>
      <c r="J38" s="137"/>
    </row>
    <row r="39" spans="2:10" x14ac:dyDescent="0.2">
      <c r="B39" s="138" t="s">
        <v>165</v>
      </c>
      <c r="C39" s="152"/>
      <c r="D39" s="153"/>
      <c r="E39" s="82"/>
      <c r="F39" s="82"/>
      <c r="G39" s="82"/>
      <c r="H39" s="82"/>
      <c r="I39" s="82"/>
      <c r="J39" s="137"/>
    </row>
    <row r="40" spans="2:10" x14ac:dyDescent="0.2">
      <c r="B40" s="151"/>
      <c r="C40" s="152"/>
      <c r="D40" s="153"/>
      <c r="E40" s="82"/>
      <c r="F40" s="82"/>
      <c r="G40" s="82"/>
      <c r="H40" s="82"/>
      <c r="I40" s="82"/>
      <c r="J40" s="137"/>
    </row>
    <row r="41" spans="2:10" x14ac:dyDescent="0.2">
      <c r="B41" s="151" t="s">
        <v>166</v>
      </c>
      <c r="C41" s="152"/>
      <c r="D41" s="153"/>
      <c r="E41" s="82"/>
      <c r="F41" s="82"/>
      <c r="G41" s="82"/>
      <c r="H41" s="82"/>
      <c r="I41" s="82"/>
      <c r="J41" s="137"/>
    </row>
    <row r="42" spans="2:10" x14ac:dyDescent="0.2">
      <c r="B42" s="151"/>
      <c r="C42" s="152"/>
      <c r="D42" s="170"/>
      <c r="E42" s="82"/>
      <c r="F42" s="82"/>
      <c r="G42" s="82"/>
      <c r="H42" s="82"/>
      <c r="I42" s="82"/>
      <c r="J42" s="137"/>
    </row>
    <row r="43" spans="2:10" x14ac:dyDescent="0.2">
      <c r="B43" s="490" t="s">
        <v>167</v>
      </c>
      <c r="C43" s="491"/>
      <c r="D43" s="51">
        <f>D34*'Cost Summary'!C16/3 +'Cost &amp; Mass Functions'!D35</f>
        <v>11064.047366798004</v>
      </c>
      <c r="E43" s="82" t="s">
        <v>168</v>
      </c>
      <c r="F43" s="82"/>
      <c r="G43" s="82"/>
      <c r="H43" s="82"/>
      <c r="I43" s="82"/>
      <c r="J43" s="137"/>
    </row>
    <row r="44" spans="2:10" x14ac:dyDescent="0.2">
      <c r="B44" s="490" t="s">
        <v>169</v>
      </c>
      <c r="C44" s="491"/>
      <c r="D44" s="171">
        <f>D43*D37</f>
        <v>47022.201308891519</v>
      </c>
      <c r="E44" s="82"/>
      <c r="F44" s="82"/>
      <c r="G44" s="82"/>
      <c r="H44" s="82"/>
      <c r="I44" s="82"/>
      <c r="J44" s="137"/>
    </row>
    <row r="45" spans="2:10" x14ac:dyDescent="0.2">
      <c r="B45" s="490" t="s">
        <v>170</v>
      </c>
      <c r="C45" s="491"/>
      <c r="D45" s="172">
        <f>'PPI Calculation'!D37</f>
        <v>1.2935455349248455</v>
      </c>
      <c r="E45" s="82"/>
      <c r="F45" s="82"/>
      <c r="G45" s="82"/>
      <c r="H45" s="82"/>
      <c r="I45" s="82"/>
      <c r="J45" s="137"/>
    </row>
    <row r="46" spans="2:10" x14ac:dyDescent="0.2">
      <c r="B46" s="490" t="s">
        <v>171</v>
      </c>
      <c r="C46" s="491"/>
      <c r="D46" s="171">
        <f>D45*D44</f>
        <v>60825.358545453848</v>
      </c>
      <c r="E46" s="82"/>
      <c r="F46" s="82"/>
      <c r="G46" s="82"/>
      <c r="H46" s="82"/>
      <c r="I46" s="82"/>
      <c r="J46" s="137"/>
    </row>
    <row r="47" spans="2:10" ht="13.5" thickBot="1" x14ac:dyDescent="0.25">
      <c r="B47" s="160"/>
      <c r="C47" s="161"/>
      <c r="D47" s="161"/>
      <c r="E47" s="163"/>
      <c r="F47" s="163"/>
      <c r="G47" s="163"/>
      <c r="H47" s="163"/>
      <c r="I47" s="163"/>
      <c r="J47" s="164"/>
    </row>
    <row r="48" spans="2:10" ht="13.5" thickTop="1" x14ac:dyDescent="0.2">
      <c r="B48" s="131" t="s">
        <v>172</v>
      </c>
      <c r="C48" s="165"/>
      <c r="D48" s="165"/>
      <c r="E48" s="166"/>
      <c r="F48" s="166"/>
      <c r="G48" s="166"/>
      <c r="H48" s="166"/>
      <c r="I48" s="166"/>
      <c r="J48" s="167"/>
    </row>
    <row r="49" spans="2:10" x14ac:dyDescent="0.2">
      <c r="B49" s="135"/>
      <c r="C49" s="136"/>
      <c r="D49" s="136"/>
      <c r="E49" s="82"/>
      <c r="F49" s="82"/>
      <c r="G49" s="82"/>
      <c r="H49" s="82"/>
      <c r="I49" s="82"/>
      <c r="J49" s="137"/>
    </row>
    <row r="50" spans="2:10" x14ac:dyDescent="0.2">
      <c r="B50" s="503" t="s">
        <v>173</v>
      </c>
      <c r="C50" s="518"/>
      <c r="D50" s="140">
        <v>0.1295</v>
      </c>
      <c r="E50" s="82"/>
      <c r="F50" s="82"/>
      <c r="G50" s="82"/>
      <c r="H50" s="82"/>
      <c r="I50" s="82"/>
      <c r="J50" s="137"/>
    </row>
    <row r="51" spans="2:10" x14ac:dyDescent="0.2">
      <c r="B51" s="503" t="s">
        <v>174</v>
      </c>
      <c r="C51" s="518"/>
      <c r="D51" s="140">
        <v>491.31</v>
      </c>
      <c r="E51" s="82"/>
      <c r="F51" s="82"/>
      <c r="G51" s="82"/>
      <c r="H51" s="82"/>
      <c r="I51" s="82"/>
      <c r="J51" s="137"/>
    </row>
    <row r="52" spans="2:10" x14ac:dyDescent="0.2">
      <c r="B52" s="135"/>
      <c r="C52" s="136"/>
      <c r="D52" s="136"/>
      <c r="E52" s="82"/>
      <c r="F52" s="82"/>
      <c r="G52" s="82"/>
      <c r="H52" s="82"/>
      <c r="I52" s="82"/>
      <c r="J52" s="137"/>
    </row>
    <row r="53" spans="2:10" x14ac:dyDescent="0.2">
      <c r="B53" s="492" t="s">
        <v>175</v>
      </c>
      <c r="C53" s="510"/>
      <c r="D53" s="173">
        <v>0.32800000000000001</v>
      </c>
      <c r="E53" s="82"/>
      <c r="F53" s="82"/>
      <c r="G53" s="82"/>
      <c r="H53" s="82"/>
      <c r="I53" s="82"/>
      <c r="J53" s="137"/>
    </row>
    <row r="54" spans="2:10" x14ac:dyDescent="0.2">
      <c r="B54" s="492" t="s">
        <v>176</v>
      </c>
      <c r="C54" s="510"/>
      <c r="D54" s="174">
        <v>555</v>
      </c>
      <c r="E54" s="82"/>
      <c r="F54" s="82"/>
      <c r="G54" s="82"/>
      <c r="H54" s="82"/>
      <c r="I54" s="82"/>
      <c r="J54" s="137"/>
    </row>
    <row r="55" spans="2:10" x14ac:dyDescent="0.2">
      <c r="B55" s="135"/>
      <c r="C55" s="136"/>
      <c r="D55" s="136"/>
      <c r="E55" s="82"/>
      <c r="F55" s="82"/>
      <c r="G55" s="82"/>
      <c r="H55" s="82"/>
      <c r="I55" s="82"/>
      <c r="J55" s="137"/>
    </row>
    <row r="56" spans="2:10" ht="15" customHeight="1" x14ac:dyDescent="0.2">
      <c r="B56" s="175" t="s">
        <v>177</v>
      </c>
      <c r="C56" s="176"/>
      <c r="D56" s="177"/>
      <c r="E56" s="177"/>
      <c r="F56" s="177"/>
      <c r="G56" s="177"/>
      <c r="H56" s="177"/>
      <c r="I56" s="177"/>
      <c r="J56" s="178"/>
    </row>
    <row r="57" spans="2:10" ht="15" customHeight="1" x14ac:dyDescent="0.2">
      <c r="B57" s="138" t="s">
        <v>178</v>
      </c>
      <c r="C57" s="176"/>
      <c r="D57" s="177"/>
      <c r="E57" s="177"/>
      <c r="F57" s="177"/>
      <c r="G57" s="177"/>
      <c r="H57" s="177"/>
      <c r="I57" s="177"/>
      <c r="J57" s="178"/>
    </row>
    <row r="58" spans="2:10" ht="12" customHeight="1" x14ac:dyDescent="0.2">
      <c r="B58" s="138"/>
      <c r="C58" s="136"/>
      <c r="D58" s="27"/>
      <c r="E58" s="27"/>
      <c r="F58" s="27"/>
      <c r="G58" s="27"/>
      <c r="H58" s="27"/>
      <c r="I58" s="27"/>
      <c r="J58" s="137"/>
    </row>
    <row r="59" spans="2:10" x14ac:dyDescent="0.2">
      <c r="B59" s="490" t="s">
        <v>179</v>
      </c>
      <c r="C59" s="491"/>
      <c r="D59" s="46">
        <f>'Cost Summary'!C16</f>
        <v>16929.66020683094</v>
      </c>
      <c r="E59" s="82" t="s">
        <v>168</v>
      </c>
      <c r="F59" s="82"/>
      <c r="G59" s="82"/>
      <c r="H59" s="82"/>
      <c r="I59" s="82"/>
      <c r="J59" s="137"/>
    </row>
    <row r="60" spans="2:10" x14ac:dyDescent="0.2">
      <c r="B60" s="519" t="s">
        <v>180</v>
      </c>
      <c r="C60" s="518"/>
      <c r="D60" s="179">
        <f>D50*D59+D51</f>
        <v>2683.7009967846066</v>
      </c>
      <c r="E60" s="82" t="s">
        <v>168</v>
      </c>
      <c r="F60" s="82"/>
      <c r="G60" s="82"/>
      <c r="H60" s="82"/>
      <c r="I60" s="82"/>
      <c r="J60" s="137"/>
    </row>
    <row r="61" spans="2:10" x14ac:dyDescent="0.2">
      <c r="B61" s="490" t="s">
        <v>181</v>
      </c>
      <c r="C61" s="494"/>
      <c r="D61" s="179">
        <f>D60+D60*D53+D54</f>
        <v>4118.954923729958</v>
      </c>
      <c r="E61" s="82" t="s">
        <v>168</v>
      </c>
      <c r="F61" s="82"/>
      <c r="G61" s="82"/>
      <c r="H61" s="82"/>
      <c r="I61" s="82"/>
      <c r="J61" s="137"/>
    </row>
    <row r="62" spans="2:10" x14ac:dyDescent="0.2">
      <c r="B62" s="175"/>
      <c r="C62" s="180"/>
      <c r="D62" s="181"/>
      <c r="E62" s="82"/>
      <c r="F62" s="82"/>
      <c r="G62" s="82"/>
      <c r="H62" s="82"/>
      <c r="I62" s="82"/>
      <c r="J62" s="137"/>
    </row>
    <row r="63" spans="2:10" x14ac:dyDescent="0.2">
      <c r="B63" s="492" t="s">
        <v>182</v>
      </c>
      <c r="C63" s="510"/>
      <c r="D63" s="182">
        <v>0.21060000000000001</v>
      </c>
      <c r="E63" s="82"/>
      <c r="F63" s="82"/>
      <c r="G63" s="82"/>
      <c r="H63" s="82"/>
      <c r="I63" s="82"/>
      <c r="J63" s="137"/>
    </row>
    <row r="64" spans="2:10" x14ac:dyDescent="0.2">
      <c r="B64" s="492" t="s">
        <v>183</v>
      </c>
      <c r="C64" s="510"/>
      <c r="D64" s="182">
        <v>2.6576</v>
      </c>
      <c r="E64" s="82"/>
      <c r="F64" s="82"/>
      <c r="G64" s="82"/>
      <c r="H64" s="82"/>
      <c r="I64" s="82"/>
      <c r="J64" s="137"/>
    </row>
    <row r="65" spans="2:10" x14ac:dyDescent="0.2">
      <c r="B65" s="492" t="s">
        <v>184</v>
      </c>
      <c r="C65" s="510"/>
      <c r="D65" s="183">
        <v>1.28</v>
      </c>
      <c r="E65" s="82"/>
      <c r="F65" s="82"/>
      <c r="G65" s="82"/>
      <c r="H65" s="82"/>
      <c r="I65" s="82"/>
      <c r="J65" s="137"/>
    </row>
    <row r="66" spans="2:10" x14ac:dyDescent="0.2">
      <c r="B66" s="175"/>
      <c r="C66" s="180"/>
      <c r="D66" s="181"/>
      <c r="E66" s="82"/>
      <c r="F66" s="82"/>
      <c r="G66" s="82"/>
      <c r="H66" s="82"/>
      <c r="I66" s="82"/>
      <c r="J66" s="137"/>
    </row>
    <row r="67" spans="2:10" x14ac:dyDescent="0.2">
      <c r="B67" s="138" t="s">
        <v>185</v>
      </c>
      <c r="C67" s="180"/>
      <c r="D67" s="181"/>
      <c r="E67" s="82"/>
      <c r="F67" s="82"/>
      <c r="G67" s="82"/>
      <c r="H67" s="82"/>
      <c r="I67" s="82"/>
      <c r="J67" s="137"/>
    </row>
    <row r="68" spans="2:10" x14ac:dyDescent="0.2">
      <c r="B68" s="138" t="s">
        <v>186</v>
      </c>
      <c r="C68" s="180"/>
      <c r="D68" s="181"/>
      <c r="E68" s="82"/>
      <c r="F68" s="82"/>
      <c r="G68" s="82"/>
      <c r="H68" s="82"/>
      <c r="I68" s="82"/>
      <c r="J68" s="137"/>
    </row>
    <row r="69" spans="2:10" x14ac:dyDescent="0.2">
      <c r="B69" s="138"/>
      <c r="C69" s="180"/>
      <c r="D69" s="181"/>
      <c r="E69" s="82"/>
      <c r="F69" s="82"/>
      <c r="G69" s="82"/>
      <c r="H69" s="82"/>
      <c r="I69" s="82"/>
      <c r="J69" s="137"/>
    </row>
    <row r="70" spans="2:10" x14ac:dyDescent="0.2">
      <c r="B70" s="505" t="s">
        <v>187</v>
      </c>
      <c r="C70" s="535"/>
      <c r="D70" s="171">
        <f>D63*D6^D64</f>
        <v>20259.14815478872</v>
      </c>
      <c r="E70" s="82"/>
      <c r="F70" s="82"/>
      <c r="G70" s="82">
        <f>2.28*(0.2106*D6^2.6576)</f>
        <v>46190.857792918279</v>
      </c>
      <c r="H70" s="82"/>
      <c r="I70" s="82"/>
      <c r="J70" s="137"/>
    </row>
    <row r="71" spans="2:10" x14ac:dyDescent="0.2">
      <c r="B71" s="505" t="s">
        <v>188</v>
      </c>
      <c r="C71" s="535"/>
      <c r="D71" s="171">
        <f>D70+D70*D65</f>
        <v>46190.857792918279</v>
      </c>
      <c r="E71" s="82"/>
      <c r="F71" s="82"/>
      <c r="G71" s="82"/>
      <c r="H71" s="82"/>
      <c r="I71" s="82"/>
      <c r="J71" s="137"/>
    </row>
    <row r="72" spans="2:10" x14ac:dyDescent="0.2">
      <c r="B72" s="490" t="s">
        <v>170</v>
      </c>
      <c r="C72" s="491"/>
      <c r="D72" s="172">
        <f>'PPI Calculation'!D52</f>
        <v>1.331714097263335</v>
      </c>
      <c r="E72" s="82"/>
      <c r="F72" s="82"/>
      <c r="G72" s="82"/>
      <c r="H72" s="82"/>
      <c r="I72" s="82"/>
      <c r="J72" s="137"/>
    </row>
    <row r="73" spans="2:10" x14ac:dyDescent="0.2">
      <c r="B73" s="490" t="s">
        <v>171</v>
      </c>
      <c r="C73" s="491"/>
      <c r="D73" s="171">
        <f>D72*D71</f>
        <v>61513.016487515248</v>
      </c>
      <c r="E73" s="82"/>
      <c r="F73" s="82"/>
      <c r="G73" s="82"/>
      <c r="H73" s="82"/>
      <c r="I73" s="82"/>
      <c r="J73" s="137"/>
    </row>
    <row r="74" spans="2:10" ht="13.5" thickBot="1" x14ac:dyDescent="0.25">
      <c r="B74" s="184"/>
      <c r="C74" s="161"/>
      <c r="D74" s="161"/>
      <c r="E74" s="163"/>
      <c r="F74" s="163"/>
      <c r="G74" s="163"/>
      <c r="H74" s="163"/>
      <c r="I74" s="163"/>
      <c r="J74" s="164"/>
    </row>
    <row r="75" spans="2:10" ht="13.5" thickTop="1" x14ac:dyDescent="0.2">
      <c r="B75" s="131" t="s">
        <v>189</v>
      </c>
      <c r="C75" s="185"/>
      <c r="D75" s="165"/>
      <c r="E75" s="166"/>
      <c r="F75" s="166"/>
      <c r="G75" s="166"/>
      <c r="H75" s="166"/>
      <c r="I75" s="166"/>
      <c r="J75" s="167"/>
    </row>
    <row r="76" spans="2:10" x14ac:dyDescent="0.2">
      <c r="B76" s="186"/>
      <c r="C76" s="136"/>
      <c r="D76" s="136"/>
      <c r="E76" s="82"/>
      <c r="F76" s="82"/>
      <c r="G76" s="82"/>
      <c r="H76" s="82"/>
      <c r="I76" s="82"/>
      <c r="J76" s="137"/>
    </row>
    <row r="77" spans="2:10" x14ac:dyDescent="0.2">
      <c r="B77" s="521" t="s">
        <v>190</v>
      </c>
      <c r="C77" s="522"/>
      <c r="D77" s="140">
        <v>18.5</v>
      </c>
      <c r="E77" s="82"/>
      <c r="F77" s="82"/>
      <c r="G77" s="82"/>
      <c r="H77" s="82"/>
      <c r="I77" s="82"/>
      <c r="J77" s="137"/>
    </row>
    <row r="78" spans="2:10" x14ac:dyDescent="0.2">
      <c r="B78" s="521" t="s">
        <v>191</v>
      </c>
      <c r="C78" s="522"/>
      <c r="D78" s="140">
        <v>-520.5</v>
      </c>
      <c r="E78" s="82"/>
      <c r="F78" s="82"/>
      <c r="G78" s="82"/>
      <c r="H78" s="82"/>
      <c r="I78" s="82"/>
      <c r="J78" s="137"/>
    </row>
    <row r="79" spans="2:10" x14ac:dyDescent="0.2">
      <c r="B79" s="138"/>
      <c r="C79" s="136"/>
      <c r="D79" s="136"/>
      <c r="E79" s="82"/>
      <c r="F79" s="82"/>
      <c r="G79" s="82"/>
      <c r="H79" s="82"/>
      <c r="I79" s="82"/>
      <c r="J79" s="137"/>
    </row>
    <row r="80" spans="2:10" x14ac:dyDescent="0.2">
      <c r="B80" s="521" t="s">
        <v>192</v>
      </c>
      <c r="C80" s="522"/>
      <c r="D80" s="140">
        <v>5.57</v>
      </c>
      <c r="E80" s="82" t="s">
        <v>164</v>
      </c>
      <c r="F80" s="82"/>
      <c r="G80" s="82"/>
      <c r="H80" s="82"/>
      <c r="I80" s="82"/>
      <c r="J80" s="137"/>
    </row>
    <row r="81" spans="2:10" x14ac:dyDescent="0.2">
      <c r="B81" s="138"/>
      <c r="C81" s="136"/>
      <c r="D81" s="136"/>
      <c r="E81" s="82"/>
      <c r="F81" s="82"/>
      <c r="G81" s="82"/>
      <c r="H81" s="82"/>
      <c r="I81" s="82"/>
      <c r="J81" s="137"/>
    </row>
    <row r="82" spans="2:10" x14ac:dyDescent="0.2">
      <c r="B82" s="533" t="s">
        <v>193</v>
      </c>
      <c r="C82" s="534"/>
      <c r="D82" s="534"/>
      <c r="E82" s="534"/>
      <c r="F82" s="534"/>
      <c r="G82" s="534"/>
      <c r="H82" s="534"/>
      <c r="I82" s="82"/>
      <c r="J82" s="137"/>
    </row>
    <row r="83" spans="2:10" x14ac:dyDescent="0.2">
      <c r="B83" s="187" t="s">
        <v>194</v>
      </c>
      <c r="C83" s="176"/>
      <c r="D83" s="176"/>
      <c r="E83" s="176"/>
      <c r="F83" s="176"/>
      <c r="G83" s="176"/>
      <c r="H83" s="176"/>
      <c r="I83" s="82"/>
      <c r="J83" s="137"/>
    </row>
    <row r="84" spans="2:10" x14ac:dyDescent="0.2">
      <c r="B84" s="187"/>
      <c r="C84" s="176"/>
      <c r="D84" s="176"/>
      <c r="E84" s="176"/>
      <c r="F84" s="176"/>
      <c r="G84" s="176"/>
      <c r="H84" s="176"/>
      <c r="I84" s="82"/>
      <c r="J84" s="137"/>
    </row>
    <row r="85" spans="2:10" x14ac:dyDescent="0.2">
      <c r="B85" s="530" t="s">
        <v>195</v>
      </c>
      <c r="C85" s="531"/>
      <c r="D85" s="188">
        <f>D77*D6+D78</f>
        <v>867</v>
      </c>
      <c r="E85" s="82" t="s">
        <v>168</v>
      </c>
      <c r="F85" s="82"/>
      <c r="G85" s="82"/>
      <c r="H85" s="82"/>
      <c r="I85" s="82"/>
      <c r="J85" s="137"/>
    </row>
    <row r="86" spans="2:10" x14ac:dyDescent="0.2">
      <c r="B86" s="530" t="s">
        <v>196</v>
      </c>
      <c r="C86" s="531"/>
      <c r="D86" s="171">
        <f>D85*D80</f>
        <v>4829.1900000000005</v>
      </c>
      <c r="E86" s="82" t="s">
        <v>197</v>
      </c>
      <c r="F86" s="82"/>
      <c r="G86" s="82"/>
      <c r="H86" s="82"/>
      <c r="I86" s="82"/>
      <c r="J86" s="137"/>
    </row>
    <row r="87" spans="2:10" x14ac:dyDescent="0.2">
      <c r="B87" s="530" t="s">
        <v>198</v>
      </c>
      <c r="C87" s="532"/>
      <c r="D87" s="189">
        <f>'PPI Calculation'!D135</f>
        <v>1.0556050095306337</v>
      </c>
      <c r="E87" s="82"/>
      <c r="F87" s="82"/>
      <c r="G87" s="82"/>
      <c r="H87" s="82"/>
      <c r="I87" s="82"/>
      <c r="J87" s="137"/>
    </row>
    <row r="88" spans="2:10" x14ac:dyDescent="0.2">
      <c r="B88" s="530" t="s">
        <v>171</v>
      </c>
      <c r="C88" s="532"/>
      <c r="D88" s="190">
        <f>D86*D87</f>
        <v>5097.7171559752414</v>
      </c>
      <c r="E88" s="82" t="s">
        <v>197</v>
      </c>
      <c r="F88" s="82"/>
      <c r="G88" s="82"/>
      <c r="H88" s="82"/>
      <c r="I88" s="82"/>
      <c r="J88" s="137"/>
    </row>
    <row r="89" spans="2:10" ht="13.5" thickBot="1" x14ac:dyDescent="0.25">
      <c r="B89" s="191"/>
      <c r="C89" s="192"/>
      <c r="D89" s="193"/>
      <c r="E89" s="163"/>
      <c r="F89" s="163"/>
      <c r="G89" s="163"/>
      <c r="H89" s="163"/>
      <c r="I89" s="163"/>
      <c r="J89" s="164"/>
    </row>
    <row r="90" spans="2:10" ht="13.5" thickTop="1" x14ac:dyDescent="0.2">
      <c r="B90" s="131" t="s">
        <v>199</v>
      </c>
      <c r="C90" s="165"/>
      <c r="D90" s="165"/>
      <c r="E90" s="166"/>
      <c r="F90" s="166"/>
      <c r="G90" s="166"/>
      <c r="H90" s="166"/>
      <c r="I90" s="166"/>
      <c r="J90" s="167"/>
    </row>
    <row r="91" spans="2:10" x14ac:dyDescent="0.2">
      <c r="B91" s="138"/>
      <c r="C91" s="136"/>
      <c r="D91" s="136"/>
      <c r="E91" s="82"/>
      <c r="F91" s="82"/>
      <c r="G91" s="82"/>
      <c r="H91" s="82"/>
      <c r="I91" s="82"/>
      <c r="J91" s="137"/>
    </row>
    <row r="92" spans="2:10" x14ac:dyDescent="0.2">
      <c r="B92" s="492" t="s">
        <v>768</v>
      </c>
      <c r="C92" s="493"/>
      <c r="D92" s="194">
        <f>((32/PI())*D96*3.25*((D113*3/371000000)^2+(D97/71070000)^2)^(1/2))^(1/3)</f>
        <v>0.5910214944031148</v>
      </c>
      <c r="E92" s="82"/>
      <c r="F92" s="82"/>
      <c r="G92" s="82"/>
      <c r="H92" s="82"/>
      <c r="I92" s="82"/>
      <c r="J92" s="137"/>
    </row>
    <row r="93" spans="2:10" x14ac:dyDescent="0.2">
      <c r="B93" s="492" t="s">
        <v>769</v>
      </c>
      <c r="C93" s="493"/>
      <c r="D93" s="194">
        <f>D92/10</f>
        <v>5.9102149440311481E-2</v>
      </c>
      <c r="E93" s="139" t="s">
        <v>200</v>
      </c>
      <c r="F93" s="82"/>
      <c r="G93" s="82"/>
      <c r="H93" s="82"/>
      <c r="I93" s="82"/>
      <c r="J93" s="137"/>
    </row>
    <row r="94" spans="2:10" x14ac:dyDescent="0.2">
      <c r="B94" s="492" t="s">
        <v>770</v>
      </c>
      <c r="C94" s="493"/>
      <c r="D94" s="195">
        <f>0.03*D6</f>
        <v>2.25</v>
      </c>
      <c r="E94" s="139" t="s">
        <v>201</v>
      </c>
      <c r="F94" s="82"/>
      <c r="G94" s="82"/>
      <c r="H94" s="82"/>
      <c r="I94" s="82"/>
      <c r="J94" s="137"/>
    </row>
    <row r="95" spans="2:10" x14ac:dyDescent="0.2">
      <c r="B95" s="492" t="s">
        <v>771</v>
      </c>
      <c r="C95" s="493"/>
      <c r="D95" s="196">
        <f>1.25*(PI()/4)*(D92^2-D93^2)*D94*7860</f>
        <v>6004.0832382227372</v>
      </c>
      <c r="E95" s="139" t="s">
        <v>202</v>
      </c>
      <c r="F95" s="82"/>
      <c r="G95" s="82"/>
      <c r="H95" s="82"/>
      <c r="I95" s="82"/>
      <c r="J95" s="137"/>
    </row>
    <row r="96" spans="2:10" x14ac:dyDescent="0.2">
      <c r="B96" s="492" t="s">
        <v>203</v>
      </c>
      <c r="C96" s="493"/>
      <c r="D96" s="194">
        <f>1/(1-(0.1)^4)</f>
        <v>1.000100010001</v>
      </c>
      <c r="E96" s="153" t="s">
        <v>204</v>
      </c>
      <c r="F96" s="82"/>
      <c r="G96" s="82"/>
      <c r="H96" s="82"/>
      <c r="I96" s="82"/>
      <c r="J96" s="137"/>
    </row>
    <row r="97" spans="2:10" x14ac:dyDescent="0.2">
      <c r="B97" s="492" t="s">
        <v>772</v>
      </c>
      <c r="C97" s="493"/>
      <c r="D97" s="196">
        <f>D98*D99</f>
        <v>181985.90011823864</v>
      </c>
      <c r="E97" s="197" t="s">
        <v>205</v>
      </c>
      <c r="F97" s="82"/>
      <c r="G97" s="82"/>
      <c r="H97" s="82"/>
      <c r="I97" s="82"/>
      <c r="J97" s="137"/>
    </row>
    <row r="98" spans="2:10" x14ac:dyDescent="0.2">
      <c r="B98" s="492" t="s">
        <v>773</v>
      </c>
      <c r="C98" s="493"/>
      <c r="D98" s="196">
        <f>1.25*9.81*D112</f>
        <v>404413.11137386365</v>
      </c>
      <c r="E98" s="197" t="s">
        <v>206</v>
      </c>
      <c r="F98" s="82"/>
      <c r="G98" s="82"/>
      <c r="H98" s="82"/>
      <c r="I98" s="82"/>
      <c r="J98" s="137"/>
    </row>
    <row r="99" spans="2:10" x14ac:dyDescent="0.2">
      <c r="B99" s="492" t="s">
        <v>774</v>
      </c>
      <c r="C99" s="493"/>
      <c r="D99" s="198">
        <f>D94/5</f>
        <v>0.45</v>
      </c>
      <c r="E99" s="197" t="s">
        <v>207</v>
      </c>
      <c r="F99" s="82"/>
      <c r="G99" s="82"/>
      <c r="H99" s="82"/>
      <c r="I99" s="82"/>
      <c r="J99" s="137"/>
    </row>
    <row r="100" spans="2:10" x14ac:dyDescent="0.2">
      <c r="B100" s="492"/>
      <c r="C100" s="493"/>
      <c r="D100" s="198"/>
      <c r="E100" s="82"/>
      <c r="F100" s="82"/>
      <c r="G100" s="82"/>
      <c r="H100" s="82"/>
      <c r="I100" s="82"/>
      <c r="J100" s="137"/>
    </row>
    <row r="101" spans="2:10" x14ac:dyDescent="0.2">
      <c r="B101" s="138"/>
      <c r="C101" s="152"/>
      <c r="D101" s="199"/>
      <c r="E101" s="82"/>
      <c r="F101" s="82"/>
      <c r="G101" s="82"/>
      <c r="H101" s="82"/>
      <c r="I101" s="82"/>
      <c r="J101" s="137"/>
    </row>
    <row r="102" spans="2:10" x14ac:dyDescent="0.2">
      <c r="B102" s="138"/>
      <c r="C102" s="152"/>
      <c r="D102" s="199"/>
      <c r="E102" s="82"/>
      <c r="F102" s="82"/>
      <c r="G102" s="82"/>
      <c r="H102" s="82"/>
      <c r="I102" s="82"/>
      <c r="J102" s="137"/>
    </row>
    <row r="103" spans="2:10" x14ac:dyDescent="0.2">
      <c r="B103" s="138" t="s">
        <v>208</v>
      </c>
      <c r="C103" s="152"/>
      <c r="D103" s="199"/>
      <c r="E103" s="82"/>
      <c r="F103" s="82"/>
      <c r="G103" s="82"/>
      <c r="H103" s="82"/>
      <c r="I103" s="82"/>
      <c r="J103" s="137"/>
    </row>
    <row r="104" spans="2:10" x14ac:dyDescent="0.2">
      <c r="B104" s="138"/>
      <c r="C104" s="152"/>
      <c r="D104" s="199"/>
      <c r="E104" s="82"/>
      <c r="F104" s="82"/>
      <c r="G104" s="82"/>
      <c r="H104" s="82"/>
      <c r="I104" s="82"/>
      <c r="J104" s="137"/>
    </row>
    <row r="105" spans="2:10" x14ac:dyDescent="0.2">
      <c r="B105" s="138"/>
      <c r="C105" s="152"/>
      <c r="D105" s="199"/>
      <c r="E105" s="82"/>
      <c r="F105" s="82"/>
      <c r="G105" s="82"/>
      <c r="H105" s="82"/>
      <c r="I105" s="82"/>
      <c r="J105" s="137"/>
    </row>
    <row r="106" spans="2:10" x14ac:dyDescent="0.2">
      <c r="B106" s="492" t="s">
        <v>209</v>
      </c>
      <c r="C106" s="493"/>
      <c r="D106" s="140">
        <v>9.98E-2</v>
      </c>
      <c r="E106" s="82"/>
      <c r="F106" s="82"/>
      <c r="G106" s="82"/>
      <c r="H106" s="82"/>
      <c r="I106" s="82"/>
      <c r="J106" s="137"/>
    </row>
    <row r="107" spans="2:10" x14ac:dyDescent="0.2">
      <c r="B107" s="492" t="s">
        <v>210</v>
      </c>
      <c r="C107" s="493"/>
      <c r="D107" s="140">
        <v>2.8873000000000002</v>
      </c>
      <c r="E107" s="82"/>
      <c r="F107" s="82"/>
      <c r="G107" s="82"/>
      <c r="H107" s="82"/>
      <c r="I107" s="82"/>
      <c r="J107" s="137"/>
    </row>
    <row r="108" spans="2:10" x14ac:dyDescent="0.2">
      <c r="B108" s="138"/>
      <c r="C108" s="136"/>
      <c r="D108" s="136"/>
      <c r="E108" s="82"/>
      <c r="F108" s="82"/>
      <c r="G108" s="82"/>
      <c r="H108" s="82"/>
      <c r="I108" s="82"/>
      <c r="J108" s="137"/>
    </row>
    <row r="109" spans="2:10" x14ac:dyDescent="0.2">
      <c r="B109" s="138" t="s">
        <v>211</v>
      </c>
      <c r="C109" s="136"/>
      <c r="D109" s="136"/>
      <c r="E109" s="82"/>
      <c r="F109" s="82"/>
      <c r="G109" s="82"/>
      <c r="H109" s="82"/>
      <c r="I109" s="82"/>
      <c r="J109" s="137"/>
    </row>
    <row r="110" spans="2:10" x14ac:dyDescent="0.2">
      <c r="B110" s="138"/>
      <c r="C110" s="136"/>
      <c r="D110" s="136"/>
      <c r="E110" s="82"/>
      <c r="F110" s="82"/>
      <c r="G110" s="82"/>
      <c r="H110" s="82"/>
      <c r="I110" s="82"/>
      <c r="J110" s="137"/>
    </row>
    <row r="111" spans="2:10" x14ac:dyDescent="0.2">
      <c r="B111" s="528" t="s">
        <v>311</v>
      </c>
      <c r="C111" s="529"/>
      <c r="D111" s="200">
        <f>(I6)/((D6/2)*(PI()/30))</f>
        <v>20.371832715762604</v>
      </c>
      <c r="E111" s="82"/>
      <c r="F111" s="82"/>
      <c r="G111" s="82"/>
      <c r="H111" s="82"/>
      <c r="I111" s="82"/>
      <c r="J111" s="137"/>
    </row>
    <row r="112" spans="2:10" x14ac:dyDescent="0.2">
      <c r="B112" s="528" t="s">
        <v>312</v>
      </c>
      <c r="C112" s="529"/>
      <c r="D112" s="201">
        <f>'Cost &amp; Mass Functions'!D28*3+'Cost &amp; Mass Functions'!D43+'Cost &amp; Mass Functions'!D61+'Cost &amp; Mass Functions'!D85</f>
        <v>32979.662497358906</v>
      </c>
      <c r="E112" s="82"/>
      <c r="F112" s="82"/>
      <c r="G112" s="82"/>
      <c r="H112" s="82"/>
      <c r="I112" s="82"/>
      <c r="J112" s="137"/>
    </row>
    <row r="113" spans="2:10" x14ac:dyDescent="0.2">
      <c r="B113" s="528" t="s">
        <v>313</v>
      </c>
      <c r="C113" s="529"/>
      <c r="D113" s="201">
        <f>C6/(D111*(PI()/30))*1000</f>
        <v>703125</v>
      </c>
      <c r="E113" s="82"/>
      <c r="F113" s="82"/>
      <c r="G113" s="82"/>
      <c r="H113" s="82"/>
      <c r="I113" s="82"/>
      <c r="J113" s="137"/>
    </row>
    <row r="114" spans="2:10" x14ac:dyDescent="0.2">
      <c r="B114" s="490" t="s">
        <v>212</v>
      </c>
      <c r="C114" s="491"/>
      <c r="D114" s="202">
        <f>1.25*(PI()/4)*(D92^2-D93^2)*D94*7860</f>
        <v>6004.0832382227372</v>
      </c>
      <c r="E114" s="82" t="s">
        <v>168</v>
      </c>
      <c r="F114" s="82"/>
      <c r="G114" s="82"/>
      <c r="H114" s="82"/>
      <c r="I114" s="82"/>
      <c r="J114" s="137"/>
    </row>
    <row r="115" spans="2:10" x14ac:dyDescent="0.2">
      <c r="B115" s="490" t="s">
        <v>169</v>
      </c>
      <c r="C115" s="491"/>
      <c r="D115" s="171">
        <f>D106*D6^D107</f>
        <v>25881.826828441026</v>
      </c>
      <c r="E115" s="82"/>
      <c r="F115" s="82"/>
      <c r="G115" s="82"/>
      <c r="H115" s="82"/>
      <c r="I115" s="82"/>
      <c r="J115" s="137"/>
    </row>
    <row r="116" spans="2:10" x14ac:dyDescent="0.2">
      <c r="B116" s="490" t="s">
        <v>170</v>
      </c>
      <c r="C116" s="491"/>
      <c r="D116" s="203">
        <f>'PPI Calculation'!D58</f>
        <v>1.5465360391882434</v>
      </c>
      <c r="E116" s="82"/>
      <c r="F116" s="82"/>
      <c r="G116" s="82"/>
      <c r="H116" s="82"/>
      <c r="I116" s="82"/>
      <c r="J116" s="137"/>
    </row>
    <row r="117" spans="2:10" x14ac:dyDescent="0.2">
      <c r="B117" s="490" t="s">
        <v>213</v>
      </c>
      <c r="C117" s="491"/>
      <c r="D117" s="171">
        <f>D115*D116</f>
        <v>40027.177950213205</v>
      </c>
      <c r="E117" s="82"/>
      <c r="F117" s="82"/>
      <c r="G117" s="82"/>
      <c r="H117" s="82"/>
      <c r="I117" s="82"/>
      <c r="J117" s="137"/>
    </row>
    <row r="118" spans="2:10" ht="13.5" thickBot="1" x14ac:dyDescent="0.25">
      <c r="B118" s="160"/>
      <c r="C118" s="161"/>
      <c r="D118" s="161"/>
      <c r="E118" s="163"/>
      <c r="F118" s="163"/>
      <c r="G118" s="163"/>
      <c r="H118" s="163"/>
      <c r="I118" s="163"/>
      <c r="J118" s="164"/>
    </row>
    <row r="119" spans="2:10" ht="13.5" thickTop="1" x14ac:dyDescent="0.2">
      <c r="B119" s="131" t="s">
        <v>214</v>
      </c>
      <c r="C119" s="165"/>
      <c r="D119" s="165"/>
      <c r="E119" s="166"/>
      <c r="F119" s="166"/>
      <c r="G119" s="166"/>
      <c r="H119" s="166"/>
      <c r="I119" s="166"/>
      <c r="J119" s="167"/>
    </row>
    <row r="120" spans="2:10" x14ac:dyDescent="0.2">
      <c r="B120" s="135"/>
      <c r="C120" s="136"/>
      <c r="D120" s="136"/>
      <c r="E120" s="82"/>
      <c r="F120" s="82"/>
      <c r="G120" s="82"/>
      <c r="H120" s="82"/>
      <c r="I120" s="82"/>
      <c r="J120" s="137"/>
    </row>
    <row r="121" spans="2:10" x14ac:dyDescent="0.2">
      <c r="B121" s="492" t="s">
        <v>215</v>
      </c>
      <c r="C121" s="511"/>
      <c r="D121" s="204">
        <v>1.2266666666666668E-4</v>
      </c>
      <c r="E121" s="82"/>
      <c r="F121" s="82"/>
      <c r="G121" s="82"/>
      <c r="H121" s="82"/>
      <c r="I121" s="82"/>
      <c r="J121" s="137"/>
    </row>
    <row r="122" spans="2:10" x14ac:dyDescent="0.2">
      <c r="B122" s="492" t="s">
        <v>216</v>
      </c>
      <c r="C122" s="511"/>
      <c r="D122" s="204">
        <v>-3.0360000000000001E-4</v>
      </c>
      <c r="E122" s="82"/>
      <c r="F122" s="82"/>
      <c r="G122" s="82"/>
      <c r="H122" s="82"/>
      <c r="I122" s="82"/>
      <c r="J122" s="137"/>
    </row>
    <row r="123" spans="2:10" x14ac:dyDescent="0.2">
      <c r="B123" s="492" t="s">
        <v>217</v>
      </c>
      <c r="C123" s="511"/>
      <c r="D123" s="205">
        <v>17.600000000000001</v>
      </c>
      <c r="E123" t="s">
        <v>218</v>
      </c>
      <c r="F123" s="82"/>
      <c r="G123" s="82"/>
      <c r="H123" s="82"/>
      <c r="I123" s="82"/>
      <c r="J123" s="137"/>
    </row>
    <row r="124" spans="2:10" x14ac:dyDescent="0.2">
      <c r="B124" s="135"/>
      <c r="C124" s="136"/>
      <c r="D124" s="136"/>
      <c r="E124" s="82"/>
      <c r="F124" s="82"/>
      <c r="G124" s="82"/>
      <c r="H124" s="82"/>
      <c r="I124" s="82"/>
      <c r="J124" s="137"/>
    </row>
    <row r="125" spans="2:10" x14ac:dyDescent="0.2">
      <c r="B125" s="138" t="s">
        <v>219</v>
      </c>
      <c r="C125" s="136"/>
      <c r="D125" s="136"/>
      <c r="E125" s="82"/>
      <c r="F125" s="82"/>
      <c r="G125" s="82"/>
      <c r="H125" s="82"/>
      <c r="I125" s="82"/>
      <c r="J125" s="137"/>
    </row>
    <row r="126" spans="2:10" x14ac:dyDescent="0.2">
      <c r="B126" s="138" t="s">
        <v>220</v>
      </c>
      <c r="C126" s="136"/>
      <c r="D126" s="136"/>
      <c r="E126" s="82"/>
      <c r="F126" s="82"/>
      <c r="G126" s="82"/>
      <c r="H126" s="82"/>
      <c r="I126" s="82"/>
      <c r="J126" s="137"/>
    </row>
    <row r="127" spans="2:10" x14ac:dyDescent="0.2">
      <c r="B127" s="138" t="s">
        <v>221</v>
      </c>
      <c r="C127" s="136"/>
      <c r="D127" s="136"/>
      <c r="E127" s="82"/>
      <c r="F127" s="82"/>
      <c r="G127" s="82"/>
      <c r="H127" s="82"/>
      <c r="I127" s="82"/>
      <c r="J127" s="137"/>
    </row>
    <row r="128" spans="2:10" x14ac:dyDescent="0.2">
      <c r="B128" s="138" t="s">
        <v>222</v>
      </c>
      <c r="C128" s="136"/>
      <c r="D128" s="136"/>
      <c r="E128" s="82"/>
      <c r="F128" s="82"/>
      <c r="G128" s="82"/>
      <c r="H128" s="82"/>
      <c r="I128" s="82"/>
      <c r="J128" s="137"/>
    </row>
    <row r="129" spans="2:17" x14ac:dyDescent="0.2">
      <c r="B129" s="138"/>
      <c r="C129" s="136"/>
      <c r="D129" s="136"/>
      <c r="E129" s="82"/>
      <c r="F129" s="82"/>
      <c r="G129" s="82"/>
      <c r="H129" s="82"/>
      <c r="I129" s="82"/>
      <c r="J129" s="137"/>
    </row>
    <row r="130" spans="2:17" x14ac:dyDescent="0.2">
      <c r="B130" s="519" t="s">
        <v>223</v>
      </c>
      <c r="C130" s="518"/>
      <c r="D130" s="51">
        <f>D121*D6^3.5+D122*D6^2.5</f>
        <v>433.37859762531781</v>
      </c>
      <c r="E130" s="82" t="s">
        <v>168</v>
      </c>
      <c r="F130" s="82"/>
      <c r="G130" s="82"/>
      <c r="H130" s="82"/>
      <c r="I130" s="82"/>
      <c r="J130" s="137"/>
    </row>
    <row r="131" spans="2:17" x14ac:dyDescent="0.2">
      <c r="B131" s="519" t="s">
        <v>224</v>
      </c>
      <c r="C131" s="518"/>
      <c r="D131" s="51">
        <f>D130</f>
        <v>433.37859762531781</v>
      </c>
      <c r="E131" s="82" t="s">
        <v>225</v>
      </c>
      <c r="F131" s="82"/>
      <c r="G131" s="82"/>
      <c r="H131" s="82"/>
      <c r="I131" s="82"/>
      <c r="J131" s="137"/>
    </row>
    <row r="132" spans="2:17" x14ac:dyDescent="0.2">
      <c r="B132" s="519" t="s">
        <v>226</v>
      </c>
      <c r="C132" s="518"/>
      <c r="D132" s="51">
        <f>D130+D131</f>
        <v>866.75719525063562</v>
      </c>
      <c r="E132" s="82" t="s">
        <v>168</v>
      </c>
      <c r="F132" s="82"/>
      <c r="G132" s="82"/>
      <c r="H132" s="82"/>
      <c r="I132" s="82"/>
      <c r="J132" s="137"/>
    </row>
    <row r="133" spans="2:17" x14ac:dyDescent="0.2">
      <c r="B133" s="519" t="s">
        <v>227</v>
      </c>
      <c r="C133" s="518"/>
      <c r="D133" s="171">
        <f>D130*D123</f>
        <v>7627.4633182055941</v>
      </c>
      <c r="E133" s="82"/>
      <c r="F133" s="82"/>
      <c r="G133" s="82"/>
      <c r="H133" s="82"/>
      <c r="I133" s="82"/>
      <c r="J133" s="137"/>
    </row>
    <row r="134" spans="2:17" x14ac:dyDescent="0.2">
      <c r="B134" s="519" t="s">
        <v>228</v>
      </c>
      <c r="C134" s="518"/>
      <c r="D134" s="171">
        <f>D131*D123</f>
        <v>7627.4633182055941</v>
      </c>
      <c r="E134" s="82"/>
      <c r="F134" s="82"/>
      <c r="G134" s="82"/>
      <c r="H134" s="82"/>
      <c r="I134" s="82"/>
      <c r="J134" s="137"/>
    </row>
    <row r="135" spans="2:17" x14ac:dyDescent="0.2">
      <c r="B135" s="519" t="s">
        <v>229</v>
      </c>
      <c r="C135" s="518"/>
      <c r="D135" s="171">
        <f>D133+D134</f>
        <v>15254.926636411188</v>
      </c>
      <c r="E135" s="206"/>
      <c r="F135" s="82"/>
      <c r="G135" s="82"/>
      <c r="H135" s="82"/>
      <c r="I135" s="82"/>
      <c r="J135" s="137"/>
    </row>
    <row r="136" spans="2:17" x14ac:dyDescent="0.2">
      <c r="B136" s="519" t="s">
        <v>198</v>
      </c>
      <c r="C136" s="518"/>
      <c r="D136" s="203">
        <f>'PPI Calculation'!D64</f>
        <v>1.3167848699763596</v>
      </c>
      <c r="E136" s="206"/>
      <c r="F136" s="82"/>
      <c r="G136" s="82"/>
      <c r="H136" s="82"/>
      <c r="I136" s="82"/>
      <c r="J136" s="137"/>
    </row>
    <row r="137" spans="2:17" x14ac:dyDescent="0.2">
      <c r="B137" s="519" t="s">
        <v>230</v>
      </c>
      <c r="C137" s="518"/>
      <c r="D137" s="171">
        <f>D136*D135</f>
        <v>20087.456587425611</v>
      </c>
      <c r="E137" s="207"/>
      <c r="F137" s="82"/>
      <c r="G137" s="82"/>
      <c r="H137" s="82"/>
      <c r="I137" s="82"/>
      <c r="J137" s="137"/>
    </row>
    <row r="138" spans="2:17" ht="13.5" thickBot="1" x14ac:dyDescent="0.25">
      <c r="B138" s="160"/>
      <c r="C138" s="161"/>
      <c r="D138" s="161"/>
      <c r="E138" s="163"/>
      <c r="F138" s="163"/>
      <c r="G138" s="163"/>
      <c r="H138" s="163"/>
      <c r="I138" s="163"/>
      <c r="J138" s="164"/>
    </row>
    <row r="139" spans="2:17" ht="13.5" thickTop="1" x14ac:dyDescent="0.2">
      <c r="B139" s="208" t="s">
        <v>231</v>
      </c>
      <c r="C139" s="165"/>
      <c r="D139" s="165"/>
      <c r="E139" s="166"/>
      <c r="F139" s="166"/>
      <c r="G139" s="166"/>
      <c r="H139" s="166"/>
      <c r="I139" s="166"/>
      <c r="J139" s="167"/>
      <c r="K139" s="208" t="s">
        <v>232</v>
      </c>
      <c r="L139" s="166"/>
      <c r="M139" s="166"/>
      <c r="N139" s="166"/>
      <c r="O139" s="166"/>
      <c r="P139" s="166"/>
      <c r="Q139" s="167"/>
    </row>
    <row r="140" spans="2:17" x14ac:dyDescent="0.2">
      <c r="B140" s="135"/>
      <c r="C140" s="136"/>
      <c r="D140" s="136"/>
      <c r="E140" s="82"/>
      <c r="F140" s="82"/>
      <c r="G140" s="82"/>
      <c r="H140" s="82"/>
      <c r="I140" s="82"/>
      <c r="J140" s="137"/>
      <c r="K140" s="141"/>
      <c r="L140" s="82"/>
      <c r="M140" s="176"/>
      <c r="N140" s="176"/>
      <c r="O140" s="176"/>
      <c r="P140" s="176"/>
      <c r="Q140" s="137"/>
    </row>
    <row r="141" spans="2:17" x14ac:dyDescent="0.2">
      <c r="B141" s="209" t="s">
        <v>233</v>
      </c>
      <c r="C141" s="136"/>
      <c r="D141" s="136"/>
      <c r="E141" s="82"/>
      <c r="F141" s="82"/>
      <c r="G141" s="82"/>
      <c r="H141" s="82"/>
      <c r="I141" s="82"/>
      <c r="J141" s="137"/>
      <c r="K141" s="141"/>
      <c r="L141" s="198" t="s">
        <v>234</v>
      </c>
      <c r="M141" s="210">
        <v>1</v>
      </c>
      <c r="N141" s="210">
        <v>2</v>
      </c>
      <c r="O141" s="210">
        <v>3</v>
      </c>
      <c r="P141" s="210">
        <v>4</v>
      </c>
      <c r="Q141" s="137"/>
    </row>
    <row r="142" spans="2:17" x14ac:dyDescent="0.2">
      <c r="B142" s="503" t="s">
        <v>234</v>
      </c>
      <c r="C142" s="504"/>
      <c r="D142" s="140">
        <v>1</v>
      </c>
      <c r="E142" s="198">
        <v>2</v>
      </c>
      <c r="F142" s="140">
        <v>3</v>
      </c>
      <c r="G142" s="140">
        <v>4</v>
      </c>
      <c r="H142" s="82"/>
      <c r="I142" s="82"/>
      <c r="J142" s="137"/>
      <c r="K142" s="141"/>
      <c r="L142" s="198" t="s">
        <v>235</v>
      </c>
      <c r="M142" s="211">
        <v>1.2894274449875391E-2</v>
      </c>
      <c r="N142" s="211">
        <v>1.3307334562839045E-2</v>
      </c>
      <c r="O142" s="211">
        <v>1.5473717106191873E-2</v>
      </c>
      <c r="P142" s="211">
        <v>1.0071854519359659E-2</v>
      </c>
      <c r="Q142" s="137"/>
    </row>
    <row r="143" spans="2:17" x14ac:dyDescent="0.2">
      <c r="B143" s="503" t="s">
        <v>148</v>
      </c>
      <c r="C143" s="504"/>
      <c r="D143" s="140">
        <v>70.942999999999998</v>
      </c>
      <c r="E143" s="140">
        <v>88.286780523122673</v>
      </c>
      <c r="F143" s="140">
        <v>139.68734550643705</v>
      </c>
      <c r="G143" s="140">
        <v>0</v>
      </c>
      <c r="H143" s="82"/>
      <c r="I143" s="82"/>
      <c r="J143" s="137"/>
      <c r="K143" s="141"/>
      <c r="L143" s="198" t="s">
        <v>236</v>
      </c>
      <c r="M143" s="211">
        <v>8.5095282535470773E-2</v>
      </c>
      <c r="N143" s="211">
        <v>3.6547061795117138E-2</v>
      </c>
      <c r="O143" s="211">
        <v>4.4630774343240642E-2</v>
      </c>
      <c r="P143" s="211">
        <v>1.9995434426715326E-2</v>
      </c>
      <c r="Q143" s="137"/>
    </row>
    <row r="144" spans="2:17" x14ac:dyDescent="0.2">
      <c r="B144" s="503" t="s">
        <v>150</v>
      </c>
      <c r="C144" s="504"/>
      <c r="D144" s="140">
        <v>0.75900000000000001</v>
      </c>
      <c r="E144" s="140">
        <v>0.77380000000000004</v>
      </c>
      <c r="F144" s="140">
        <v>0.77380000000000004</v>
      </c>
      <c r="G144" s="140">
        <v>0</v>
      </c>
      <c r="H144" s="82"/>
      <c r="I144" s="82"/>
      <c r="J144" s="137"/>
      <c r="K144" s="141"/>
      <c r="L144" s="198" t="s">
        <v>237</v>
      </c>
      <c r="M144" s="211">
        <v>0</v>
      </c>
      <c r="N144" s="211">
        <v>6.1066654501923376E-2</v>
      </c>
      <c r="O144" s="211">
        <v>5.7897639505788738E-2</v>
      </c>
      <c r="P144" s="211">
        <v>6.8990325587775916E-2</v>
      </c>
      <c r="Q144" s="137"/>
    </row>
    <row r="145" spans="2:17" x14ac:dyDescent="0.2">
      <c r="B145" s="135"/>
      <c r="C145" s="136"/>
      <c r="D145" s="136"/>
      <c r="E145" s="82"/>
      <c r="F145" s="82"/>
      <c r="G145" s="82"/>
      <c r="H145" s="82"/>
      <c r="I145" s="82"/>
      <c r="J145" s="137"/>
      <c r="K145" s="141"/>
      <c r="L145" s="82"/>
      <c r="M145" s="82"/>
      <c r="N145" s="82"/>
      <c r="O145" s="82"/>
      <c r="P145" s="82"/>
      <c r="Q145" s="137"/>
    </row>
    <row r="146" spans="2:17" ht="13.5" thickBot="1" x14ac:dyDescent="0.25">
      <c r="B146" s="209" t="s">
        <v>238</v>
      </c>
      <c r="C146" s="82"/>
      <c r="D146" s="82"/>
      <c r="E146" s="82"/>
      <c r="F146" s="82"/>
      <c r="G146" s="82"/>
      <c r="H146" s="82"/>
      <c r="I146" s="82"/>
      <c r="J146" s="137"/>
      <c r="K146" s="212"/>
      <c r="L146" s="163"/>
      <c r="M146" s="163"/>
      <c r="N146" s="163"/>
      <c r="O146" s="163"/>
      <c r="P146" s="163"/>
      <c r="Q146" s="164"/>
    </row>
    <row r="147" spans="2:17" ht="13.5" thickTop="1" x14ac:dyDescent="0.2">
      <c r="B147" s="503" t="s">
        <v>234</v>
      </c>
      <c r="C147" s="527"/>
      <c r="D147" s="140">
        <v>1</v>
      </c>
      <c r="E147" s="140">
        <v>2</v>
      </c>
      <c r="F147" s="140">
        <v>3</v>
      </c>
      <c r="G147" s="140">
        <v>4</v>
      </c>
      <c r="H147" s="82"/>
      <c r="I147" s="82"/>
      <c r="J147" s="137"/>
    </row>
    <row r="148" spans="2:17" x14ac:dyDescent="0.2">
      <c r="B148" s="523" t="s">
        <v>148</v>
      </c>
      <c r="C148" s="524"/>
      <c r="D148" s="140">
        <f>16.45</f>
        <v>16.45</v>
      </c>
      <c r="E148" s="140">
        <v>74.100999999999999</v>
      </c>
      <c r="F148" s="140">
        <v>15.256970145754455</v>
      </c>
      <c r="G148" s="140">
        <v>0</v>
      </c>
      <c r="H148" s="82"/>
      <c r="I148" s="82"/>
      <c r="J148" s="137"/>
    </row>
    <row r="149" spans="2:17" x14ac:dyDescent="0.2">
      <c r="B149" s="503" t="s">
        <v>150</v>
      </c>
      <c r="C149" s="518"/>
      <c r="D149" s="140">
        <v>1.2491000000000001</v>
      </c>
      <c r="E149" s="140">
        <v>1.002</v>
      </c>
      <c r="F149" s="140">
        <v>1.2491000000000001</v>
      </c>
      <c r="G149" s="140">
        <v>0</v>
      </c>
      <c r="H149" s="82"/>
      <c r="I149" s="82"/>
      <c r="J149" s="137"/>
    </row>
    <row r="150" spans="2:17" x14ac:dyDescent="0.2">
      <c r="B150" s="151"/>
      <c r="C150" s="213"/>
      <c r="D150" s="199"/>
      <c r="E150" s="199"/>
      <c r="F150" s="199"/>
      <c r="G150" s="199"/>
      <c r="H150" s="82"/>
      <c r="I150" s="82"/>
      <c r="J150" s="137"/>
    </row>
    <row r="151" spans="2:17" x14ac:dyDescent="0.2">
      <c r="B151" s="151" t="s">
        <v>239</v>
      </c>
      <c r="C151" s="213"/>
      <c r="D151" s="199"/>
      <c r="E151" s="199"/>
      <c r="F151" s="199"/>
      <c r="G151" s="199"/>
      <c r="H151" s="82"/>
      <c r="I151" s="82"/>
      <c r="J151" s="137"/>
    </row>
    <row r="152" spans="2:17" x14ac:dyDescent="0.2">
      <c r="B152" s="151" t="s">
        <v>240</v>
      </c>
      <c r="C152" s="213"/>
      <c r="D152" s="199"/>
      <c r="E152" s="199"/>
      <c r="F152" s="199"/>
      <c r="G152" s="199"/>
      <c r="H152" s="82"/>
      <c r="I152" s="82"/>
      <c r="J152" s="137"/>
    </row>
    <row r="153" spans="2:17" x14ac:dyDescent="0.2">
      <c r="B153" s="151"/>
      <c r="C153" s="213"/>
      <c r="D153" s="199"/>
      <c r="E153" s="199"/>
      <c r="F153" s="199"/>
      <c r="G153" s="199"/>
      <c r="H153" s="82"/>
      <c r="I153" s="82"/>
      <c r="J153" s="137"/>
    </row>
    <row r="154" spans="2:17" x14ac:dyDescent="0.2">
      <c r="B154" s="490" t="s">
        <v>241</v>
      </c>
      <c r="C154" s="517"/>
      <c r="D154" s="214">
        <f>(I6)/((D6/2)*(PI()/30))</f>
        <v>20.371832715762604</v>
      </c>
      <c r="E154" s="199"/>
      <c r="F154" s="199"/>
      <c r="G154" s="199"/>
      <c r="H154" s="82"/>
      <c r="I154" s="82"/>
      <c r="J154" s="137"/>
    </row>
    <row r="155" spans="2:17" x14ac:dyDescent="0.2">
      <c r="B155" s="490" t="s">
        <v>242</v>
      </c>
      <c r="C155" s="517"/>
      <c r="D155" s="215">
        <f>C6/(D154*(PI()/30))</f>
        <v>703.125</v>
      </c>
      <c r="E155" s="82"/>
      <c r="F155" s="82"/>
      <c r="G155" s="82"/>
      <c r="H155" s="82"/>
      <c r="I155" s="82"/>
      <c r="J155" s="137"/>
    </row>
    <row r="156" spans="2:17" x14ac:dyDescent="0.2">
      <c r="B156" s="525" t="s">
        <v>243</v>
      </c>
      <c r="C156" s="526"/>
      <c r="D156" s="216">
        <f>HLOOKUP(H6,D142:G144,2)*D155^HLOOKUP(H6,D142:G144,3)</f>
        <v>10275.601357435782</v>
      </c>
      <c r="E156" s="82" t="s">
        <v>168</v>
      </c>
      <c r="F156" s="82"/>
      <c r="G156" s="82"/>
      <c r="H156" s="82"/>
      <c r="I156" s="82"/>
      <c r="J156" s="137"/>
    </row>
    <row r="157" spans="2:17" x14ac:dyDescent="0.2">
      <c r="B157" s="519" t="s">
        <v>244</v>
      </c>
      <c r="C157" s="520"/>
      <c r="D157" s="171">
        <f>HLOOKUP(H6,D147:G149,2)*C6^HLOOKUP(H6,D147:G149,3)</f>
        <v>152553.26042208247</v>
      </c>
      <c r="E157" s="82"/>
      <c r="F157" s="82"/>
      <c r="G157" s="82"/>
      <c r="H157" s="82"/>
      <c r="I157" s="82"/>
      <c r="J157" s="137"/>
    </row>
    <row r="158" spans="2:17" x14ac:dyDescent="0.2">
      <c r="B158" s="519" t="s">
        <v>198</v>
      </c>
      <c r="C158" s="520"/>
      <c r="D158" s="172">
        <f>'PPI Calculation'!D70</f>
        <v>1.3504842615012107</v>
      </c>
      <c r="E158" s="82"/>
      <c r="F158" s="82"/>
      <c r="G158" s="82"/>
      <c r="H158" s="82"/>
      <c r="I158" s="82"/>
      <c r="J158" s="137"/>
    </row>
    <row r="159" spans="2:17" x14ac:dyDescent="0.2">
      <c r="B159" s="519" t="s">
        <v>245</v>
      </c>
      <c r="C159" s="520"/>
      <c r="D159" s="171">
        <f>D157*D158</f>
        <v>206020.77724071793</v>
      </c>
      <c r="E159" s="82"/>
      <c r="F159" s="82"/>
      <c r="G159" s="82"/>
      <c r="H159" s="82"/>
      <c r="I159" s="82"/>
      <c r="J159" s="137"/>
    </row>
    <row r="160" spans="2:17" ht="13.5" thickBot="1" x14ac:dyDescent="0.25">
      <c r="B160" s="160"/>
      <c r="C160" s="161"/>
      <c r="D160" s="161"/>
      <c r="E160" s="163"/>
      <c r="F160" s="163"/>
      <c r="G160" s="163"/>
      <c r="H160" s="163"/>
      <c r="I160" s="163"/>
      <c r="J160" s="164"/>
    </row>
    <row r="161" spans="2:10" ht="13.5" thickTop="1" x14ac:dyDescent="0.2">
      <c r="B161" s="131" t="s">
        <v>246</v>
      </c>
      <c r="C161" s="165"/>
      <c r="D161" s="165"/>
      <c r="E161" s="166"/>
      <c r="F161" s="166"/>
      <c r="G161" s="166"/>
      <c r="H161" s="166"/>
      <c r="I161" s="166"/>
      <c r="J161" s="167"/>
    </row>
    <row r="162" spans="2:10" x14ac:dyDescent="0.2">
      <c r="B162" s="138"/>
      <c r="C162" s="136"/>
      <c r="D162" s="136"/>
      <c r="E162" s="82"/>
      <c r="F162" s="82"/>
      <c r="G162" s="82"/>
      <c r="H162" s="82"/>
      <c r="I162" s="82"/>
      <c r="J162" s="137"/>
    </row>
    <row r="163" spans="2:10" x14ac:dyDescent="0.2">
      <c r="B163" s="521" t="s">
        <v>247</v>
      </c>
      <c r="C163" s="522"/>
      <c r="D163" s="140">
        <v>1.9894000000000001</v>
      </c>
      <c r="E163" s="82"/>
      <c r="F163" s="82"/>
      <c r="G163" s="82"/>
      <c r="H163" s="82"/>
      <c r="I163" s="82"/>
      <c r="J163" s="137"/>
    </row>
    <row r="164" spans="2:10" x14ac:dyDescent="0.2">
      <c r="B164" s="521" t="s">
        <v>248</v>
      </c>
      <c r="C164" s="522"/>
      <c r="D164" s="140">
        <v>-0.11409999999999999</v>
      </c>
      <c r="E164" s="82"/>
      <c r="F164" s="82"/>
      <c r="G164" s="82"/>
      <c r="H164" s="82"/>
      <c r="I164" s="82"/>
      <c r="J164" s="137"/>
    </row>
    <row r="165" spans="2:10" x14ac:dyDescent="0.2">
      <c r="B165" s="138"/>
      <c r="C165" s="136"/>
      <c r="D165" s="136"/>
      <c r="E165" s="82"/>
      <c r="F165" s="82"/>
      <c r="G165" s="82"/>
      <c r="H165" s="82"/>
      <c r="I165" s="82"/>
      <c r="J165" s="137"/>
    </row>
    <row r="166" spans="2:10" x14ac:dyDescent="0.2">
      <c r="B166" s="138" t="s">
        <v>249</v>
      </c>
      <c r="C166" s="136"/>
      <c r="D166" s="136"/>
      <c r="E166" s="82"/>
      <c r="F166" s="82"/>
      <c r="G166" s="82"/>
      <c r="H166" s="82"/>
      <c r="I166" s="82"/>
      <c r="J166" s="137"/>
    </row>
    <row r="167" spans="2:10" x14ac:dyDescent="0.2">
      <c r="B167" s="138"/>
      <c r="C167" s="136"/>
      <c r="D167" s="136"/>
      <c r="E167" s="82"/>
      <c r="F167" s="82"/>
      <c r="G167" s="82"/>
      <c r="H167" s="82"/>
      <c r="I167" s="82"/>
      <c r="J167" s="137"/>
    </row>
    <row r="168" spans="2:10" x14ac:dyDescent="0.2">
      <c r="B168" s="138" t="s">
        <v>250</v>
      </c>
      <c r="C168" s="136"/>
      <c r="D168" s="136"/>
      <c r="E168" s="82"/>
      <c r="F168" s="82"/>
      <c r="G168" s="82"/>
      <c r="H168" s="82"/>
      <c r="I168" s="82"/>
      <c r="J168" s="137"/>
    </row>
    <row r="169" spans="2:10" x14ac:dyDescent="0.2">
      <c r="B169" s="138"/>
      <c r="C169" s="136"/>
      <c r="D169" s="136"/>
      <c r="E169" s="82"/>
      <c r="F169" s="82"/>
      <c r="G169" s="82"/>
      <c r="H169" s="82"/>
      <c r="I169" s="82"/>
      <c r="J169" s="137"/>
    </row>
    <row r="170" spans="2:10" x14ac:dyDescent="0.2">
      <c r="B170" s="490" t="s">
        <v>251</v>
      </c>
      <c r="C170" s="491"/>
      <c r="D170" s="171">
        <f>D163*C6+D164</f>
        <v>2983.9859000000001</v>
      </c>
      <c r="E170" s="82"/>
      <c r="F170" s="82"/>
      <c r="G170" s="82"/>
      <c r="H170" s="82"/>
      <c r="I170" s="82"/>
      <c r="J170" s="137"/>
    </row>
    <row r="171" spans="2:10" x14ac:dyDescent="0.2">
      <c r="B171" s="45" t="s">
        <v>198</v>
      </c>
      <c r="C171" s="188"/>
      <c r="D171" s="172">
        <f>'PPI Calculation'!D76</f>
        <v>1.028116213683224</v>
      </c>
      <c r="E171" s="82"/>
      <c r="F171" s="82"/>
      <c r="G171" s="82"/>
      <c r="H171" s="82"/>
      <c r="I171" s="82"/>
      <c r="J171" s="137"/>
    </row>
    <row r="172" spans="2:10" x14ac:dyDescent="0.2">
      <c r="B172" s="490" t="s">
        <v>252</v>
      </c>
      <c r="C172" s="491"/>
      <c r="D172" s="171">
        <f>D170*D171</f>
        <v>3067.8842851921277</v>
      </c>
      <c r="E172" s="82"/>
      <c r="F172" s="82"/>
      <c r="G172" s="82"/>
      <c r="H172" s="82"/>
      <c r="I172" s="82"/>
      <c r="J172" s="137"/>
    </row>
    <row r="173" spans="2:10" x14ac:dyDescent="0.2">
      <c r="B173" s="490" t="s">
        <v>253</v>
      </c>
      <c r="C173" s="491"/>
      <c r="D173" s="46">
        <f>D170/10</f>
        <v>298.39859000000001</v>
      </c>
      <c r="E173" s="82" t="s">
        <v>168</v>
      </c>
      <c r="F173" s="82"/>
      <c r="G173" s="82"/>
      <c r="H173" s="82"/>
      <c r="I173" s="82"/>
      <c r="J173" s="137"/>
    </row>
    <row r="174" spans="2:10" ht="13.5" thickBot="1" x14ac:dyDescent="0.25">
      <c r="B174" s="160"/>
      <c r="C174" s="161"/>
      <c r="D174" s="161"/>
      <c r="E174" s="163"/>
      <c r="F174" s="163"/>
      <c r="G174" s="163"/>
      <c r="H174" s="163"/>
      <c r="I174" s="163"/>
      <c r="J174" s="164"/>
    </row>
    <row r="175" spans="2:10" ht="13.5" thickTop="1" x14ac:dyDescent="0.2">
      <c r="B175" s="131" t="s">
        <v>254</v>
      </c>
      <c r="C175" s="165"/>
      <c r="D175" s="165"/>
      <c r="E175" s="166"/>
      <c r="F175" s="166"/>
      <c r="G175" s="166"/>
      <c r="H175" s="166"/>
      <c r="I175" s="166"/>
      <c r="J175" s="167"/>
    </row>
    <row r="176" spans="2:10" x14ac:dyDescent="0.2">
      <c r="B176" s="138"/>
      <c r="C176" s="136"/>
      <c r="D176" s="136"/>
      <c r="E176" s="82"/>
      <c r="F176" s="82"/>
      <c r="G176" s="82"/>
      <c r="H176" s="82"/>
      <c r="I176" s="82"/>
      <c r="J176" s="137"/>
    </row>
    <row r="177" spans="2:10" x14ac:dyDescent="0.2">
      <c r="B177" s="209" t="s">
        <v>255</v>
      </c>
      <c r="C177" s="82"/>
      <c r="D177" s="82"/>
      <c r="E177" s="82"/>
      <c r="F177" s="82"/>
      <c r="G177" s="82"/>
      <c r="H177" s="82"/>
      <c r="I177" s="82"/>
      <c r="J177" s="137"/>
    </row>
    <row r="178" spans="2:10" x14ac:dyDescent="0.2">
      <c r="B178" s="503" t="s">
        <v>234</v>
      </c>
      <c r="C178" s="518"/>
      <c r="D178" s="140">
        <v>1</v>
      </c>
      <c r="E178" s="140">
        <v>2</v>
      </c>
      <c r="F178" s="140">
        <v>3</v>
      </c>
      <c r="G178" s="140">
        <v>4</v>
      </c>
      <c r="H178" s="82"/>
      <c r="I178" s="82"/>
      <c r="J178" s="137"/>
    </row>
    <row r="179" spans="2:10" x14ac:dyDescent="0.2">
      <c r="B179" s="503" t="s">
        <v>148</v>
      </c>
      <c r="C179" s="518"/>
      <c r="D179" s="217">
        <v>6.4737</v>
      </c>
      <c r="E179" s="217">
        <v>10.509719405470749</v>
      </c>
      <c r="F179" s="217">
        <v>5.3429022884795074</v>
      </c>
      <c r="G179" s="217">
        <v>37.683999999999997</v>
      </c>
      <c r="H179" s="82"/>
      <c r="I179" s="82"/>
      <c r="J179" s="137"/>
    </row>
    <row r="180" spans="2:10" x14ac:dyDescent="0.2">
      <c r="B180" s="503" t="s">
        <v>150</v>
      </c>
      <c r="C180" s="518"/>
      <c r="D180" s="140">
        <v>0.92230000000000001</v>
      </c>
      <c r="E180" s="140">
        <v>0.92230000000000001</v>
      </c>
      <c r="F180" s="140">
        <v>0.92230000000000001</v>
      </c>
      <c r="G180" s="140">
        <v>1</v>
      </c>
      <c r="H180" s="82"/>
      <c r="I180" s="82"/>
      <c r="J180" s="137"/>
    </row>
    <row r="181" spans="2:10" x14ac:dyDescent="0.2">
      <c r="B181" s="138"/>
      <c r="C181" s="136"/>
      <c r="D181" s="136"/>
      <c r="E181" s="82"/>
      <c r="F181" s="82"/>
      <c r="G181" s="82"/>
      <c r="H181" s="82"/>
      <c r="I181" s="82"/>
      <c r="J181" s="137"/>
    </row>
    <row r="182" spans="2:10" x14ac:dyDescent="0.2">
      <c r="B182" s="209" t="s">
        <v>256</v>
      </c>
      <c r="C182" s="136"/>
      <c r="D182" s="136"/>
      <c r="E182" s="82"/>
      <c r="F182" s="82"/>
      <c r="G182" s="82"/>
      <c r="H182" s="82"/>
      <c r="I182" s="82"/>
      <c r="J182" s="137"/>
    </row>
    <row r="183" spans="2:10" x14ac:dyDescent="0.2">
      <c r="B183" s="492" t="s">
        <v>234</v>
      </c>
      <c r="C183" s="510"/>
      <c r="D183" s="140">
        <v>1</v>
      </c>
      <c r="E183" s="140">
        <v>2</v>
      </c>
      <c r="F183" s="140">
        <v>3</v>
      </c>
      <c r="G183" s="140">
        <v>4</v>
      </c>
      <c r="H183" s="82"/>
      <c r="I183" s="82"/>
      <c r="J183" s="137"/>
    </row>
    <row r="184" spans="2:10" x14ac:dyDescent="0.2">
      <c r="B184" s="492" t="s">
        <v>257</v>
      </c>
      <c r="C184" s="510"/>
      <c r="D184" s="140">
        <f>65</f>
        <v>65</v>
      </c>
      <c r="E184" s="217">
        <v>54.725333333333332</v>
      </c>
      <c r="F184" s="217">
        <v>48.029629629629632</v>
      </c>
      <c r="G184" s="217">
        <v>219.33333333333334</v>
      </c>
      <c r="H184" s="82"/>
      <c r="I184" s="82"/>
      <c r="J184" s="137"/>
    </row>
    <row r="185" spans="2:10" x14ac:dyDescent="0.2">
      <c r="B185" s="138"/>
      <c r="C185" s="136"/>
      <c r="D185" s="136"/>
      <c r="E185" s="82"/>
      <c r="F185" s="82"/>
      <c r="G185" s="82"/>
      <c r="H185" s="82"/>
      <c r="I185" s="82"/>
      <c r="J185" s="137"/>
    </row>
    <row r="186" spans="2:10" x14ac:dyDescent="0.2">
      <c r="B186" s="138" t="s">
        <v>258</v>
      </c>
      <c r="C186" s="136"/>
      <c r="D186" s="136"/>
      <c r="E186" s="82"/>
      <c r="F186" s="82"/>
      <c r="G186" s="82"/>
      <c r="H186" s="82"/>
      <c r="I186" s="82"/>
      <c r="J186" s="137"/>
    </row>
    <row r="187" spans="2:10" x14ac:dyDescent="0.2">
      <c r="B187" s="138"/>
      <c r="C187" s="136"/>
      <c r="D187" s="136"/>
      <c r="E187" s="82"/>
      <c r="F187" s="82"/>
      <c r="G187" s="82"/>
      <c r="H187" s="82"/>
      <c r="I187" s="82"/>
      <c r="J187" s="137"/>
    </row>
    <row r="188" spans="2:10" x14ac:dyDescent="0.2">
      <c r="B188" s="138" t="s">
        <v>259</v>
      </c>
      <c r="C188" s="136"/>
      <c r="D188" s="136"/>
      <c r="E188" s="82"/>
      <c r="F188" s="82"/>
      <c r="G188" s="82"/>
      <c r="H188" s="82"/>
      <c r="I188" s="82"/>
      <c r="J188" s="137"/>
    </row>
    <row r="189" spans="2:10" x14ac:dyDescent="0.2">
      <c r="B189" s="138"/>
      <c r="C189" s="136"/>
      <c r="D189" s="136"/>
      <c r="E189" s="82"/>
      <c r="F189" s="82"/>
      <c r="G189" s="82"/>
      <c r="H189" s="82"/>
      <c r="I189" s="82"/>
      <c r="J189" s="137"/>
    </row>
    <row r="190" spans="2:10" x14ac:dyDescent="0.2">
      <c r="B190" s="138" t="s">
        <v>260</v>
      </c>
      <c r="C190" s="136"/>
      <c r="D190" s="136"/>
      <c r="E190" s="82"/>
      <c r="F190" s="82"/>
      <c r="G190" s="82"/>
      <c r="H190" s="82"/>
      <c r="I190" s="82"/>
      <c r="J190" s="137"/>
    </row>
    <row r="191" spans="2:10" x14ac:dyDescent="0.2">
      <c r="B191" s="138"/>
      <c r="C191" s="136"/>
      <c r="D191" s="136"/>
      <c r="E191" s="82"/>
      <c r="F191" s="82"/>
      <c r="G191" s="82"/>
      <c r="H191" s="82"/>
      <c r="I191" s="82"/>
      <c r="J191" s="137"/>
    </row>
    <row r="192" spans="2:10" x14ac:dyDescent="0.2">
      <c r="B192" s="490" t="s">
        <v>241</v>
      </c>
      <c r="C192" s="516"/>
      <c r="D192" s="214">
        <f>(I6)/((D6/2)*(PI()/30))</f>
        <v>20.371832715762604</v>
      </c>
      <c r="E192" s="82"/>
      <c r="F192" s="82"/>
      <c r="G192" s="82"/>
      <c r="H192" s="82"/>
      <c r="I192" s="82"/>
      <c r="J192" s="137"/>
    </row>
    <row r="193" spans="2:10" x14ac:dyDescent="0.2">
      <c r="B193" s="490" t="s">
        <v>242</v>
      </c>
      <c r="C193" s="516"/>
      <c r="D193" s="215">
        <f>C6/(D192*(PI()/30))</f>
        <v>703.125</v>
      </c>
      <c r="E193" s="82"/>
      <c r="F193" s="82"/>
      <c r="G193" s="82"/>
      <c r="H193" s="82"/>
      <c r="I193" s="82"/>
      <c r="J193" s="137"/>
    </row>
    <row r="194" spans="2:10" x14ac:dyDescent="0.2">
      <c r="B194" s="490" t="s">
        <v>261</v>
      </c>
      <c r="C194" s="516"/>
      <c r="D194" s="46">
        <f>IF(H6=4,(HLOOKUP(H6,D178:G180,2)*D193^HLOOKUP(H6,D178:G180,3)),(HLOOKUP(H6,D178:G180,2)*C6^HLOOKUP(H6,D178:G180,3)))</f>
        <v>5501.2519810856256</v>
      </c>
      <c r="E194" s="82" t="s">
        <v>168</v>
      </c>
      <c r="F194" s="82"/>
      <c r="G194" s="82"/>
      <c r="H194" s="82"/>
      <c r="I194" s="82"/>
      <c r="J194" s="137"/>
    </row>
    <row r="195" spans="2:10" x14ac:dyDescent="0.2">
      <c r="B195" s="490" t="s">
        <v>262</v>
      </c>
      <c r="C195" s="516"/>
      <c r="D195" s="171">
        <f>(HLOOKUP(H6,D183:G184,2)*C6)</f>
        <v>97500</v>
      </c>
      <c r="E195" s="82"/>
      <c r="F195" s="82"/>
      <c r="G195" s="82"/>
      <c r="H195" s="82"/>
      <c r="I195" s="82"/>
      <c r="J195" s="137"/>
    </row>
    <row r="196" spans="2:10" x14ac:dyDescent="0.2">
      <c r="B196" s="45" t="s">
        <v>170</v>
      </c>
      <c r="C196" s="188"/>
      <c r="D196" s="172">
        <f>'PPI Calculation'!D82</f>
        <v>1.285203716940672</v>
      </c>
      <c r="E196" s="82"/>
      <c r="F196" s="82"/>
      <c r="G196" s="82"/>
      <c r="H196" s="82"/>
      <c r="I196" s="82"/>
      <c r="J196" s="137"/>
    </row>
    <row r="197" spans="2:10" x14ac:dyDescent="0.2">
      <c r="B197" s="45" t="s">
        <v>263</v>
      </c>
      <c r="C197" s="188"/>
      <c r="D197" s="171">
        <f>D195*D196</f>
        <v>125307.36240171552</v>
      </c>
      <c r="E197" s="82"/>
      <c r="F197" s="82"/>
      <c r="G197" s="82"/>
      <c r="H197" s="82"/>
      <c r="I197" s="82"/>
      <c r="J197" s="137"/>
    </row>
    <row r="198" spans="2:10" ht="13.5" thickBot="1" x14ac:dyDescent="0.25">
      <c r="B198" s="160"/>
      <c r="C198" s="161"/>
      <c r="D198" s="161"/>
      <c r="E198" s="163"/>
      <c r="F198" s="163"/>
      <c r="G198" s="163"/>
      <c r="H198" s="163"/>
      <c r="I198" s="163"/>
      <c r="J198" s="164"/>
    </row>
    <row r="199" spans="2:10" ht="13.5" thickTop="1" x14ac:dyDescent="0.2">
      <c r="B199" s="131" t="s">
        <v>264</v>
      </c>
      <c r="C199" s="165"/>
      <c r="D199" s="165"/>
      <c r="E199" s="166"/>
      <c r="F199" s="166"/>
      <c r="G199" s="166"/>
      <c r="H199" s="166"/>
      <c r="I199" s="166"/>
      <c r="J199" s="167"/>
    </row>
    <row r="200" spans="2:10" x14ac:dyDescent="0.2">
      <c r="B200" s="138"/>
      <c r="C200" s="136"/>
      <c r="D200" s="136"/>
      <c r="E200" s="82"/>
      <c r="F200" s="82"/>
      <c r="G200" s="82"/>
      <c r="H200" s="82"/>
      <c r="I200" s="82"/>
      <c r="J200" s="137"/>
    </row>
    <row r="201" spans="2:10" x14ac:dyDescent="0.2">
      <c r="B201" s="492" t="s">
        <v>265</v>
      </c>
      <c r="C201" s="517"/>
      <c r="D201" s="218">
        <v>79.319999999999993</v>
      </c>
      <c r="E201" s="82"/>
      <c r="F201" s="82"/>
      <c r="G201" s="82"/>
      <c r="H201" s="82"/>
      <c r="I201" s="82"/>
      <c r="J201" s="137"/>
    </row>
    <row r="202" spans="2:10" x14ac:dyDescent="0.2">
      <c r="B202" s="138"/>
      <c r="C202" s="136"/>
      <c r="D202" s="136"/>
      <c r="E202" s="82"/>
      <c r="F202" s="82"/>
      <c r="G202" s="82"/>
      <c r="H202" s="82"/>
      <c r="I202" s="82"/>
      <c r="J202" s="137"/>
    </row>
    <row r="203" spans="2:10" x14ac:dyDescent="0.2">
      <c r="B203" s="138" t="s">
        <v>266</v>
      </c>
      <c r="C203" s="136"/>
      <c r="D203" s="136"/>
      <c r="E203" s="82"/>
      <c r="F203" s="82"/>
      <c r="G203" s="82"/>
      <c r="H203" s="82"/>
      <c r="I203" s="82"/>
      <c r="J203" s="137"/>
    </row>
    <row r="204" spans="2:10" x14ac:dyDescent="0.2">
      <c r="B204" s="138"/>
      <c r="C204" s="136"/>
      <c r="D204" s="136"/>
      <c r="E204" s="82"/>
      <c r="F204" s="82"/>
      <c r="G204" s="82"/>
      <c r="H204" s="82"/>
      <c r="I204" s="82"/>
      <c r="J204" s="137"/>
    </row>
    <row r="205" spans="2:10" x14ac:dyDescent="0.2">
      <c r="B205" s="490" t="s">
        <v>267</v>
      </c>
      <c r="C205" s="491"/>
      <c r="D205" s="171">
        <f>C6*D201</f>
        <v>118979.99999999999</v>
      </c>
      <c r="E205" s="82"/>
      <c r="F205" s="82"/>
      <c r="G205" s="82"/>
      <c r="H205" s="82"/>
      <c r="I205" s="82"/>
      <c r="J205" s="137"/>
    </row>
    <row r="206" spans="2:10" x14ac:dyDescent="0.2">
      <c r="B206" s="490" t="s">
        <v>198</v>
      </c>
      <c r="C206" s="491"/>
      <c r="D206" s="172">
        <f>'PPI Calculation'!D88</f>
        <v>1.2740841248303936</v>
      </c>
      <c r="E206" s="82"/>
      <c r="F206" s="82"/>
      <c r="G206" s="82"/>
      <c r="H206" s="82"/>
      <c r="I206" s="82"/>
      <c r="J206" s="137"/>
    </row>
    <row r="207" spans="2:10" x14ac:dyDescent="0.2">
      <c r="B207" s="490" t="s">
        <v>268</v>
      </c>
      <c r="C207" s="491"/>
      <c r="D207" s="171">
        <f>D205*D206</f>
        <v>151590.52917232021</v>
      </c>
      <c r="E207" s="82"/>
      <c r="F207" s="82"/>
      <c r="G207" s="82"/>
      <c r="H207" s="82"/>
      <c r="I207" s="82"/>
      <c r="J207" s="137"/>
    </row>
    <row r="208" spans="2:10" ht="13.5" thickBot="1" x14ac:dyDescent="0.25">
      <c r="B208" s="160"/>
      <c r="C208" s="161"/>
      <c r="D208" s="161"/>
      <c r="E208" s="163"/>
      <c r="F208" s="163"/>
      <c r="G208" s="163"/>
      <c r="H208" s="163"/>
      <c r="I208" s="163"/>
      <c r="J208" s="164"/>
    </row>
    <row r="209" spans="2:10" ht="13.5" thickTop="1" x14ac:dyDescent="0.2">
      <c r="B209" s="131" t="s">
        <v>269</v>
      </c>
      <c r="C209" s="165"/>
      <c r="D209" s="165"/>
      <c r="E209" s="166"/>
      <c r="F209" s="166"/>
      <c r="G209" s="166"/>
      <c r="H209" s="166"/>
      <c r="I209" s="166"/>
      <c r="J209" s="167"/>
    </row>
    <row r="210" spans="2:10" x14ac:dyDescent="0.2">
      <c r="B210" s="138"/>
      <c r="C210" s="136"/>
      <c r="D210" s="136"/>
      <c r="E210" s="82"/>
      <c r="F210" s="82"/>
      <c r="G210" s="82"/>
      <c r="H210" s="82"/>
      <c r="I210" s="82"/>
      <c r="J210" s="137"/>
    </row>
    <row r="211" spans="2:10" x14ac:dyDescent="0.2">
      <c r="B211" s="492" t="s">
        <v>270</v>
      </c>
      <c r="C211" s="493"/>
      <c r="D211" s="140">
        <v>8.9999999999999998E-4</v>
      </c>
      <c r="E211" s="82"/>
      <c r="F211" s="82"/>
      <c r="G211" s="82"/>
      <c r="H211" s="82"/>
      <c r="I211" s="82"/>
      <c r="J211" s="137"/>
    </row>
    <row r="212" spans="2:10" x14ac:dyDescent="0.2">
      <c r="B212" s="492" t="s">
        <v>271</v>
      </c>
      <c r="C212" s="493"/>
      <c r="D212" s="140">
        <v>3.3140000000000001</v>
      </c>
      <c r="E212" s="82"/>
      <c r="F212" s="82"/>
      <c r="G212" s="82"/>
      <c r="H212" s="82"/>
      <c r="I212" s="82"/>
      <c r="J212" s="137"/>
    </row>
    <row r="213" spans="2:10" x14ac:dyDescent="0.2">
      <c r="B213" s="138"/>
      <c r="C213" s="136"/>
      <c r="D213" s="136"/>
      <c r="E213" s="82"/>
      <c r="F213" s="82"/>
      <c r="G213" s="82"/>
      <c r="H213" s="82"/>
      <c r="I213" s="82"/>
      <c r="J213" s="137"/>
    </row>
    <row r="214" spans="2:10" x14ac:dyDescent="0.2">
      <c r="B214" s="492" t="s">
        <v>272</v>
      </c>
      <c r="C214" s="493"/>
      <c r="D214" s="140">
        <v>3.39E-2</v>
      </c>
      <c r="E214" s="82"/>
      <c r="F214" s="82"/>
      <c r="G214" s="82"/>
      <c r="H214" s="82"/>
      <c r="I214" s="82"/>
      <c r="J214" s="137"/>
    </row>
    <row r="215" spans="2:10" x14ac:dyDescent="0.2">
      <c r="B215" s="492" t="s">
        <v>273</v>
      </c>
      <c r="C215" s="493"/>
      <c r="D215" s="140">
        <v>2.9636999999999998</v>
      </c>
      <c r="E215" s="82"/>
      <c r="F215" s="82"/>
      <c r="G215" s="82"/>
      <c r="H215" s="82"/>
      <c r="I215" s="82"/>
      <c r="J215" s="137"/>
    </row>
    <row r="216" spans="2:10" x14ac:dyDescent="0.2">
      <c r="B216" s="138"/>
      <c r="C216" s="136"/>
      <c r="D216" s="136"/>
      <c r="E216" s="82"/>
      <c r="F216" s="82"/>
      <c r="G216" s="82"/>
      <c r="H216" s="82"/>
      <c r="I216" s="82"/>
      <c r="J216" s="137"/>
    </row>
    <row r="217" spans="2:10" x14ac:dyDescent="0.2">
      <c r="B217" s="138" t="s">
        <v>274</v>
      </c>
      <c r="C217" s="136"/>
      <c r="D217" s="136"/>
      <c r="E217" s="82"/>
      <c r="F217" s="82"/>
      <c r="G217" s="82"/>
      <c r="H217" s="82"/>
      <c r="I217" s="82"/>
      <c r="J217" s="137"/>
    </row>
    <row r="218" spans="2:10" x14ac:dyDescent="0.2">
      <c r="B218" s="138"/>
      <c r="C218" s="136"/>
      <c r="D218" s="136"/>
      <c r="E218" s="82"/>
      <c r="F218" s="82"/>
      <c r="G218" s="82"/>
      <c r="H218" s="82"/>
      <c r="I218" s="82"/>
      <c r="J218" s="137"/>
    </row>
    <row r="219" spans="2:10" x14ac:dyDescent="0.2">
      <c r="B219" s="138" t="s">
        <v>275</v>
      </c>
      <c r="C219" s="136"/>
      <c r="D219" s="136"/>
      <c r="E219" s="82"/>
      <c r="F219" s="82"/>
      <c r="G219" s="82"/>
      <c r="H219" s="82"/>
      <c r="I219" s="82"/>
      <c r="J219" s="137"/>
    </row>
    <row r="220" spans="2:10" x14ac:dyDescent="0.2">
      <c r="B220" s="138"/>
      <c r="C220" s="136"/>
      <c r="D220" s="136"/>
      <c r="E220" s="82"/>
      <c r="F220" s="82"/>
      <c r="G220" s="82"/>
      <c r="H220" s="82"/>
      <c r="I220" s="82"/>
      <c r="J220" s="137"/>
    </row>
    <row r="221" spans="2:10" x14ac:dyDescent="0.2">
      <c r="B221" s="490" t="s">
        <v>276</v>
      </c>
      <c r="C221" s="491"/>
      <c r="D221" s="51">
        <f xml:space="preserve"> 1.6*(D211*D6^D212)</f>
        <v>2356.7608707438299</v>
      </c>
      <c r="E221" s="82" t="s">
        <v>168</v>
      </c>
      <c r="F221" s="82"/>
      <c r="G221" s="82"/>
      <c r="H221" s="82"/>
      <c r="I221" s="82"/>
      <c r="J221" s="137"/>
    </row>
    <row r="222" spans="2:10" x14ac:dyDescent="0.2">
      <c r="B222" s="490" t="s">
        <v>277</v>
      </c>
      <c r="C222" s="491"/>
      <c r="D222" s="171">
        <f>2*(D214*D6^D215)</f>
        <v>24453.935376664558</v>
      </c>
      <c r="E222" s="82"/>
      <c r="F222" s="82"/>
      <c r="G222" s="82"/>
      <c r="H222" s="82"/>
      <c r="I222" s="82"/>
      <c r="J222" s="137"/>
    </row>
    <row r="223" spans="2:10" x14ac:dyDescent="0.2">
      <c r="B223" s="490" t="s">
        <v>198</v>
      </c>
      <c r="C223" s="491"/>
      <c r="D223" s="172">
        <f>'PPI Calculation'!D97</f>
        <v>1.3605983173411209</v>
      </c>
      <c r="E223" s="82"/>
      <c r="F223" s="82"/>
      <c r="G223" s="82"/>
      <c r="H223" s="82"/>
      <c r="I223" s="82"/>
      <c r="J223" s="137"/>
    </row>
    <row r="224" spans="2:10" x14ac:dyDescent="0.2">
      <c r="B224" s="490" t="s">
        <v>278</v>
      </c>
      <c r="C224" s="491"/>
      <c r="D224" s="171">
        <f>D222*D223</f>
        <v>33271.983325858309</v>
      </c>
      <c r="E224" s="82"/>
      <c r="F224" s="82"/>
      <c r="G224" s="82"/>
      <c r="H224" s="82"/>
      <c r="I224" s="82"/>
      <c r="J224" s="137"/>
    </row>
    <row r="225" spans="2:10" ht="13.5" thickBot="1" x14ac:dyDescent="0.25">
      <c r="B225" s="160"/>
      <c r="C225" s="161"/>
      <c r="D225" s="161"/>
      <c r="E225" s="163"/>
      <c r="F225" s="163"/>
      <c r="G225" s="163"/>
      <c r="H225" s="163"/>
      <c r="I225" s="163"/>
      <c r="J225" s="164"/>
    </row>
    <row r="226" spans="2:10" ht="13.5" thickTop="1" x14ac:dyDescent="0.2">
      <c r="B226" s="131" t="s">
        <v>279</v>
      </c>
      <c r="C226" s="165"/>
      <c r="D226" s="165"/>
      <c r="E226" s="166"/>
      <c r="F226" s="166"/>
      <c r="G226" s="166"/>
      <c r="H226" s="166"/>
      <c r="I226" s="166"/>
      <c r="J226" s="167"/>
    </row>
    <row r="227" spans="2:10" x14ac:dyDescent="0.2">
      <c r="B227" s="138"/>
      <c r="C227" s="136"/>
      <c r="D227" s="136"/>
      <c r="E227" s="82"/>
      <c r="F227" s="82"/>
      <c r="G227" s="82"/>
      <c r="H227" s="82"/>
      <c r="I227" s="82"/>
      <c r="J227" s="137"/>
    </row>
    <row r="228" spans="2:10" x14ac:dyDescent="0.2">
      <c r="B228" s="514" t="s">
        <v>280</v>
      </c>
      <c r="C228" s="515"/>
      <c r="D228" s="515"/>
      <c r="E228" s="82"/>
      <c r="F228" s="82"/>
      <c r="G228" s="82"/>
      <c r="H228" s="82"/>
      <c r="I228" s="82"/>
      <c r="J228" s="137"/>
    </row>
    <row r="229" spans="2:10" x14ac:dyDescent="0.2">
      <c r="B229" s="512" t="s">
        <v>281</v>
      </c>
      <c r="C229" s="513"/>
      <c r="D229" s="219">
        <f>'AEP Input Output sheet'!B18</f>
        <v>11.202350195105213</v>
      </c>
      <c r="E229" s="82"/>
      <c r="F229" s="82"/>
      <c r="G229" s="82"/>
      <c r="H229" s="82"/>
      <c r="I229" s="82"/>
      <c r="J229" s="137"/>
    </row>
    <row r="230" spans="2:10" x14ac:dyDescent="0.2">
      <c r="B230" s="512" t="s">
        <v>282</v>
      </c>
      <c r="C230" s="513"/>
      <c r="D230" s="220">
        <f>D235*0.00368*D270</f>
        <v>7400.2499999999991</v>
      </c>
      <c r="E230" s="139" t="s">
        <v>283</v>
      </c>
      <c r="F230" s="82"/>
      <c r="G230" s="82"/>
      <c r="H230" s="82"/>
      <c r="I230" s="82"/>
      <c r="J230" s="137"/>
    </row>
    <row r="231" spans="2:10" x14ac:dyDescent="0.2">
      <c r="B231" s="512" t="s">
        <v>284</v>
      </c>
      <c r="C231" s="513"/>
      <c r="D231" s="220">
        <f>0.00158*D235*D239*D236</f>
        <v>2794.7414881436521</v>
      </c>
      <c r="E231" s="139" t="s">
        <v>285</v>
      </c>
      <c r="F231" s="82"/>
      <c r="G231" s="82"/>
      <c r="H231" s="82"/>
      <c r="I231" s="82"/>
      <c r="J231" s="137"/>
    </row>
    <row r="232" spans="2:10" x14ac:dyDescent="0.2">
      <c r="B232" s="512" t="s">
        <v>286</v>
      </c>
      <c r="C232" s="513"/>
      <c r="D232" s="220">
        <f>0.015*D235*D269*D236</f>
        <v>5050.5805435777229</v>
      </c>
      <c r="E232" s="139" t="s">
        <v>287</v>
      </c>
      <c r="F232" s="82"/>
      <c r="G232" s="82"/>
      <c r="H232" s="82"/>
      <c r="I232" s="82"/>
      <c r="J232" s="137"/>
    </row>
    <row r="233" spans="2:10" x14ac:dyDescent="0.2">
      <c r="B233" s="512" t="s">
        <v>288</v>
      </c>
      <c r="C233" s="513"/>
      <c r="D233" s="220">
        <f>100*D235*D237</f>
        <v>5480.7248981627981</v>
      </c>
      <c r="E233" s="153" t="s">
        <v>289</v>
      </c>
      <c r="F233" s="82"/>
      <c r="G233" s="82"/>
      <c r="H233" s="82"/>
      <c r="I233" s="82"/>
      <c r="J233" s="137"/>
    </row>
    <row r="234" spans="2:10" x14ac:dyDescent="0.2">
      <c r="B234" s="512" t="s">
        <v>290</v>
      </c>
      <c r="C234" s="513"/>
      <c r="D234" s="220">
        <f>SUM(D230:D233)</f>
        <v>20726.296929884171</v>
      </c>
      <c r="E234" s="153" t="s">
        <v>291</v>
      </c>
      <c r="F234" s="82"/>
      <c r="G234" s="82"/>
      <c r="H234" s="82"/>
      <c r="I234" s="82"/>
      <c r="J234" s="137"/>
    </row>
    <row r="235" spans="2:10" x14ac:dyDescent="0.2">
      <c r="B235" s="512" t="s">
        <v>292</v>
      </c>
      <c r="C235" s="513"/>
      <c r="D235" s="219">
        <v>2.86</v>
      </c>
      <c r="E235" s="82"/>
      <c r="F235" s="82"/>
      <c r="G235" s="82"/>
      <c r="H235" s="82"/>
      <c r="I235" s="82"/>
      <c r="J235" s="137"/>
    </row>
    <row r="236" spans="2:10" x14ac:dyDescent="0.2">
      <c r="B236" s="512" t="s">
        <v>293</v>
      </c>
      <c r="C236" s="513"/>
      <c r="D236" s="221">
        <f>(12.29*D6+2648)/1000</f>
        <v>3.56975</v>
      </c>
      <c r="E236" s="82"/>
      <c r="F236" s="82"/>
      <c r="G236" s="82"/>
      <c r="H236" s="82"/>
      <c r="I236" s="82"/>
      <c r="J236" s="137"/>
    </row>
    <row r="237" spans="2:10" ht="17.25" x14ac:dyDescent="0.25">
      <c r="B237" s="512" t="s">
        <v>294</v>
      </c>
      <c r="C237" s="513"/>
      <c r="D237" s="221">
        <f>D238^2/2</f>
        <v>19.163373769799993</v>
      </c>
      <c r="E237" s="153" t="s">
        <v>295</v>
      </c>
      <c r="F237" s="82"/>
      <c r="G237" s="82"/>
      <c r="H237" s="82"/>
      <c r="I237" s="82"/>
      <c r="J237" s="137"/>
    </row>
    <row r="238" spans="2:10" x14ac:dyDescent="0.2">
      <c r="B238" s="512" t="s">
        <v>296</v>
      </c>
      <c r="C238" s="513"/>
      <c r="D238" s="221">
        <f>1.5874*0.052*D6</f>
        <v>6.1908599999999989</v>
      </c>
      <c r="E238" s="153" t="s">
        <v>297</v>
      </c>
      <c r="F238" s="82"/>
      <c r="G238" s="82"/>
      <c r="H238" s="82"/>
      <c r="I238" s="82"/>
      <c r="J238" s="137"/>
    </row>
    <row r="239" spans="2:10" x14ac:dyDescent="0.2">
      <c r="B239" s="512" t="s">
        <v>298</v>
      </c>
      <c r="C239" s="513"/>
      <c r="D239" s="221">
        <f>1.25*D240*PI()*D6^2*(D229^2/8)</f>
        <v>173252.98256211725</v>
      </c>
      <c r="E239" s="82"/>
      <c r="F239" s="82"/>
      <c r="G239" s="82"/>
      <c r="H239" s="82"/>
      <c r="I239" s="82"/>
      <c r="J239" s="137"/>
    </row>
    <row r="240" spans="2:10" ht="14.25" x14ac:dyDescent="0.25">
      <c r="B240" s="512" t="s">
        <v>299</v>
      </c>
      <c r="C240" s="513"/>
      <c r="D240" s="221">
        <v>0.5</v>
      </c>
      <c r="E240" s="82"/>
      <c r="F240" s="82"/>
      <c r="G240" s="82"/>
      <c r="H240" s="82"/>
      <c r="I240" s="82"/>
      <c r="J240" s="137"/>
    </row>
    <row r="241" spans="2:10" x14ac:dyDescent="0.2">
      <c r="B241" s="138"/>
      <c r="C241" s="136"/>
      <c r="D241" s="136"/>
      <c r="E241" s="82"/>
      <c r="F241" s="82"/>
      <c r="G241" s="82"/>
      <c r="H241" s="82"/>
      <c r="I241" s="82"/>
      <c r="J241" s="137"/>
    </row>
    <row r="242" spans="2:10" x14ac:dyDescent="0.2">
      <c r="B242" s="138"/>
      <c r="C242" s="136"/>
      <c r="D242" s="136"/>
      <c r="E242" s="82"/>
      <c r="F242" s="82"/>
      <c r="G242" s="82"/>
      <c r="H242" s="82"/>
      <c r="I242" s="82"/>
      <c r="J242" s="137"/>
    </row>
    <row r="243" spans="2:10" x14ac:dyDescent="0.2">
      <c r="B243" s="138" t="s">
        <v>300</v>
      </c>
      <c r="C243" s="136"/>
      <c r="D243" s="136"/>
      <c r="E243" s="82"/>
      <c r="F243" s="82"/>
      <c r="G243" s="82"/>
      <c r="H243" s="82"/>
      <c r="I243" s="82"/>
      <c r="J243" s="137"/>
    </row>
    <row r="244" spans="2:10" x14ac:dyDescent="0.2">
      <c r="B244" s="138"/>
      <c r="C244" s="136"/>
      <c r="D244" s="136"/>
      <c r="E244" s="82"/>
      <c r="F244" s="82"/>
      <c r="G244" s="82"/>
      <c r="H244" s="82"/>
      <c r="I244" s="82"/>
      <c r="J244" s="137"/>
    </row>
    <row r="245" spans="2:10" x14ac:dyDescent="0.2">
      <c r="B245" s="138"/>
      <c r="C245" s="136"/>
      <c r="D245" s="136"/>
      <c r="E245" s="82"/>
      <c r="F245" s="82"/>
      <c r="G245" s="82"/>
      <c r="H245" s="82"/>
      <c r="I245" s="82"/>
      <c r="J245" s="137"/>
    </row>
    <row r="246" spans="2:10" x14ac:dyDescent="0.2">
      <c r="B246" s="209" t="s">
        <v>301</v>
      </c>
      <c r="C246" s="136"/>
      <c r="D246" s="136"/>
      <c r="E246" s="82"/>
      <c r="F246" s="82"/>
      <c r="G246" s="82"/>
      <c r="H246" s="82"/>
      <c r="I246" s="82"/>
      <c r="J246" s="137"/>
    </row>
    <row r="247" spans="2:10" x14ac:dyDescent="0.2">
      <c r="B247" s="492" t="s">
        <v>234</v>
      </c>
      <c r="C247" s="510"/>
      <c r="D247" s="140">
        <v>1</v>
      </c>
      <c r="E247" s="140">
        <v>2</v>
      </c>
      <c r="F247" s="140">
        <v>3</v>
      </c>
      <c r="G247" s="140">
        <v>4</v>
      </c>
      <c r="H247" s="82"/>
      <c r="I247" s="82"/>
      <c r="J247" s="137"/>
    </row>
    <row r="248" spans="2:10" x14ac:dyDescent="0.2">
      <c r="B248" s="492" t="s">
        <v>142</v>
      </c>
      <c r="C248" s="510"/>
      <c r="D248" s="174">
        <f>D234</f>
        <v>20726.296929884171</v>
      </c>
      <c r="E248" s="222">
        <v>1.2948999999999999</v>
      </c>
      <c r="F248" s="222">
        <v>1.7208041621170276</v>
      </c>
      <c r="G248" s="174">
        <f>D248*0.55</f>
        <v>11399.463311436295</v>
      </c>
      <c r="H248" s="82"/>
      <c r="I248" s="82"/>
      <c r="J248" s="137"/>
    </row>
    <row r="249" spans="2:10" x14ac:dyDescent="0.2">
      <c r="B249" s="492" t="s">
        <v>143</v>
      </c>
      <c r="C249" s="510"/>
      <c r="D249" s="140">
        <v>0</v>
      </c>
      <c r="E249" s="140">
        <v>1.9524999999999999</v>
      </c>
      <c r="F249" s="140">
        <v>1.9524999999999999</v>
      </c>
      <c r="G249" s="140">
        <v>0</v>
      </c>
      <c r="H249" s="82"/>
      <c r="I249" s="82"/>
      <c r="J249" s="137"/>
    </row>
    <row r="250" spans="2:10" x14ac:dyDescent="0.2">
      <c r="B250" s="138"/>
      <c r="C250" s="136"/>
      <c r="D250" s="136"/>
      <c r="E250" s="82"/>
      <c r="F250" s="82"/>
      <c r="G250" s="82"/>
      <c r="H250" s="82"/>
      <c r="I250" s="82"/>
      <c r="J250" s="137"/>
    </row>
    <row r="251" spans="2:10" x14ac:dyDescent="0.2">
      <c r="B251" s="138" t="s">
        <v>302</v>
      </c>
      <c r="C251" s="136"/>
      <c r="D251" s="136"/>
      <c r="E251" s="82"/>
      <c r="F251" s="82"/>
      <c r="G251" s="82"/>
      <c r="H251" s="82"/>
      <c r="I251" s="82"/>
      <c r="J251" s="137"/>
    </row>
    <row r="252" spans="2:10" x14ac:dyDescent="0.2">
      <c r="B252" s="492" t="s">
        <v>234</v>
      </c>
      <c r="C252" s="511"/>
      <c r="D252" s="140">
        <v>1</v>
      </c>
      <c r="E252" s="140">
        <v>2</v>
      </c>
      <c r="F252" s="140">
        <v>3</v>
      </c>
      <c r="G252" s="140">
        <v>4</v>
      </c>
      <c r="H252" s="82"/>
      <c r="I252" s="82"/>
      <c r="J252" s="137"/>
    </row>
    <row r="253" spans="2:10" x14ac:dyDescent="0.2">
      <c r="B253" s="492" t="s">
        <v>303</v>
      </c>
      <c r="C253" s="511"/>
      <c r="D253" s="222">
        <v>9.4885000000000002</v>
      </c>
      <c r="E253" s="222">
        <v>303.95999999999998</v>
      </c>
      <c r="F253" s="222">
        <v>17.922999999999998</v>
      </c>
      <c r="G253" s="222">
        <v>627.28</v>
      </c>
      <c r="H253" s="82"/>
      <c r="I253" s="82"/>
      <c r="J253" s="137"/>
    </row>
    <row r="254" spans="2:10" x14ac:dyDescent="0.2">
      <c r="B254" s="492" t="s">
        <v>304</v>
      </c>
      <c r="C254" s="511"/>
      <c r="D254" s="140">
        <v>1.9524999999999999</v>
      </c>
      <c r="E254" s="140">
        <v>1.0669</v>
      </c>
      <c r="F254" s="140">
        <v>1.6716</v>
      </c>
      <c r="G254" s="140">
        <v>0.85</v>
      </c>
      <c r="H254" s="82"/>
      <c r="I254" s="82"/>
      <c r="J254" s="137"/>
    </row>
    <row r="255" spans="2:10" x14ac:dyDescent="0.2">
      <c r="B255" s="138"/>
      <c r="C255" s="136"/>
      <c r="D255" s="136"/>
      <c r="E255" s="82"/>
      <c r="F255" s="82"/>
      <c r="G255" s="82"/>
      <c r="H255" s="82"/>
      <c r="I255" s="82"/>
      <c r="J255" s="137"/>
    </row>
    <row r="256" spans="2:10" x14ac:dyDescent="0.2">
      <c r="B256" s="138" t="s">
        <v>305</v>
      </c>
      <c r="C256" s="136"/>
      <c r="D256" s="136"/>
      <c r="E256" s="82"/>
      <c r="F256" s="82"/>
      <c r="G256" s="82"/>
      <c r="H256" s="82"/>
      <c r="I256" s="82"/>
      <c r="J256" s="137"/>
    </row>
    <row r="257" spans="2:10" x14ac:dyDescent="0.2">
      <c r="B257" s="138"/>
      <c r="C257" s="136"/>
      <c r="D257" s="136"/>
      <c r="E257" s="82"/>
      <c r="F257" s="82"/>
      <c r="G257" s="82"/>
      <c r="H257" s="82"/>
      <c r="I257" s="82"/>
      <c r="J257" s="137"/>
    </row>
    <row r="258" spans="2:10" x14ac:dyDescent="0.2">
      <c r="B258" s="138" t="s">
        <v>306</v>
      </c>
      <c r="C258" s="136"/>
      <c r="D258" s="136"/>
      <c r="E258" s="82"/>
      <c r="F258" s="82"/>
      <c r="G258" s="82"/>
      <c r="H258" s="82"/>
      <c r="I258" s="82"/>
      <c r="J258" s="137"/>
    </row>
    <row r="259" spans="2:10" x14ac:dyDescent="0.2">
      <c r="B259" s="138"/>
      <c r="C259" s="136"/>
      <c r="D259" s="136"/>
      <c r="E259" s="82"/>
      <c r="F259" s="82"/>
      <c r="G259" s="82"/>
      <c r="H259" s="82"/>
      <c r="I259" s="82"/>
      <c r="J259" s="137"/>
    </row>
    <row r="260" spans="2:10" x14ac:dyDescent="0.2">
      <c r="B260" s="138" t="s">
        <v>307</v>
      </c>
      <c r="C260" s="136"/>
      <c r="D260" s="136"/>
      <c r="E260" s="82"/>
      <c r="F260" s="82"/>
      <c r="G260" s="82"/>
      <c r="H260" s="82"/>
      <c r="I260" s="82"/>
      <c r="J260" s="137"/>
    </row>
    <row r="261" spans="2:10" x14ac:dyDescent="0.2">
      <c r="B261" s="138"/>
      <c r="C261" s="136"/>
      <c r="D261" s="136"/>
      <c r="E261" s="82"/>
      <c r="F261" s="82"/>
      <c r="G261" s="82"/>
      <c r="H261" s="82"/>
      <c r="I261" s="82"/>
      <c r="J261" s="137"/>
    </row>
    <row r="262" spans="2:10" x14ac:dyDescent="0.2">
      <c r="B262" s="138" t="s">
        <v>308</v>
      </c>
      <c r="C262" s="136"/>
      <c r="D262" s="136"/>
      <c r="E262" s="82"/>
      <c r="F262" s="82"/>
      <c r="G262" s="82"/>
      <c r="H262" s="82"/>
      <c r="I262" s="82"/>
      <c r="J262" s="137"/>
    </row>
    <row r="263" spans="2:10" x14ac:dyDescent="0.2">
      <c r="B263" s="138"/>
      <c r="C263" s="136"/>
      <c r="D263" s="136"/>
      <c r="E263" s="82"/>
      <c r="F263" s="82"/>
      <c r="G263" s="82"/>
      <c r="H263" s="82"/>
      <c r="I263" s="82"/>
      <c r="J263" s="137"/>
    </row>
    <row r="264" spans="2:10" x14ac:dyDescent="0.2">
      <c r="B264" s="138" t="s">
        <v>309</v>
      </c>
      <c r="C264" s="136"/>
      <c r="D264" s="136"/>
      <c r="E264" s="82"/>
      <c r="F264" s="82"/>
      <c r="G264" s="82"/>
      <c r="H264" s="82"/>
      <c r="I264" s="82"/>
      <c r="J264" s="137"/>
    </row>
    <row r="265" spans="2:10" x14ac:dyDescent="0.2">
      <c r="B265" s="138"/>
      <c r="C265" s="136"/>
      <c r="D265" s="136"/>
      <c r="E265" s="82"/>
      <c r="F265" s="82"/>
      <c r="G265" s="82"/>
      <c r="H265" s="82"/>
      <c r="I265" s="82"/>
      <c r="J265" s="137"/>
    </row>
    <row r="266" spans="2:10" x14ac:dyDescent="0.2">
      <c r="B266" s="138" t="s">
        <v>310</v>
      </c>
      <c r="C266" s="136"/>
      <c r="D266" s="136"/>
      <c r="E266" s="82"/>
      <c r="F266" s="82"/>
      <c r="G266" s="82"/>
      <c r="H266" s="82"/>
      <c r="I266" s="82"/>
      <c r="J266" s="137"/>
    </row>
    <row r="267" spans="2:10" x14ac:dyDescent="0.2">
      <c r="B267" s="138"/>
      <c r="C267" s="136"/>
      <c r="D267" s="136"/>
      <c r="E267" s="82"/>
      <c r="F267" s="82"/>
      <c r="G267" s="82"/>
      <c r="H267" s="82"/>
      <c r="I267" s="82"/>
      <c r="J267" s="137"/>
    </row>
    <row r="268" spans="2:10" x14ac:dyDescent="0.2">
      <c r="B268" s="506" t="s">
        <v>311</v>
      </c>
      <c r="C268" s="507"/>
      <c r="D268" s="200">
        <f>(I6)/((D6/2)*(PI()/30))</f>
        <v>20.371832715762604</v>
      </c>
      <c r="E268" s="82"/>
      <c r="F268" s="82"/>
      <c r="G268" s="82"/>
      <c r="H268" s="82"/>
      <c r="I268" s="82"/>
      <c r="J268" s="137"/>
    </row>
    <row r="269" spans="2:10" x14ac:dyDescent="0.2">
      <c r="B269" s="506" t="s">
        <v>312</v>
      </c>
      <c r="C269" s="507"/>
      <c r="D269" s="202">
        <f>'Cost &amp; Mass Functions'!D28*3+'Cost &amp; Mass Functions'!D43+'Cost &amp; Mass Functions'!D61+'Cost &amp; Mass Functions'!D85</f>
        <v>32979.662497358906</v>
      </c>
      <c r="E269" s="82"/>
      <c r="F269" s="82"/>
      <c r="G269" s="82"/>
      <c r="H269" s="82"/>
      <c r="I269" s="82"/>
      <c r="J269" s="137"/>
    </row>
    <row r="270" spans="2:10" x14ac:dyDescent="0.2">
      <c r="B270" s="506" t="s">
        <v>313</v>
      </c>
      <c r="C270" s="507"/>
      <c r="D270" s="202">
        <f>C6/(D268*(PI()/30))*1000</f>
        <v>703125</v>
      </c>
      <c r="E270" s="82"/>
      <c r="F270" s="82"/>
      <c r="G270" s="82"/>
      <c r="H270" s="82"/>
      <c r="I270" s="82"/>
      <c r="J270" s="137"/>
    </row>
    <row r="271" spans="2:10" x14ac:dyDescent="0.2">
      <c r="B271" s="508" t="s">
        <v>314</v>
      </c>
      <c r="C271" s="509"/>
      <c r="D271" s="223">
        <f>HLOOKUP(H6,D247:G249,2)*D6^(HLOOKUP(H6,D247:G249,3))</f>
        <v>20726.296929884171</v>
      </c>
      <c r="E271" s="82" t="s">
        <v>315</v>
      </c>
      <c r="F271" s="82"/>
      <c r="G271" s="82"/>
      <c r="H271" s="82"/>
      <c r="I271" s="82"/>
      <c r="J271" s="137"/>
    </row>
    <row r="272" spans="2:10" x14ac:dyDescent="0.2">
      <c r="B272" s="490" t="s">
        <v>316</v>
      </c>
      <c r="C272" s="491"/>
      <c r="D272" s="51">
        <f>0.125 *D271</f>
        <v>2590.7871162355214</v>
      </c>
      <c r="E272" s="82" t="s">
        <v>315</v>
      </c>
      <c r="F272" s="82"/>
      <c r="G272" s="82"/>
      <c r="H272" s="82"/>
      <c r="I272" s="82"/>
      <c r="J272" s="137"/>
    </row>
    <row r="273" spans="2:10" x14ac:dyDescent="0.2">
      <c r="B273" s="490" t="s">
        <v>317</v>
      </c>
      <c r="C273" s="491"/>
      <c r="D273" s="223">
        <f>IF(J6=1,3000,)</f>
        <v>3000</v>
      </c>
      <c r="E273" s="82" t="s">
        <v>315</v>
      </c>
      <c r="F273" s="82"/>
      <c r="G273" s="82"/>
      <c r="H273" s="82"/>
      <c r="I273" s="82"/>
      <c r="J273" s="137"/>
    </row>
    <row r="274" spans="2:10" x14ac:dyDescent="0.2">
      <c r="B274" s="490" t="s">
        <v>318</v>
      </c>
      <c r="C274" s="491"/>
      <c r="D274" s="46">
        <f>SUM(D271:D273)</f>
        <v>26317.084046119693</v>
      </c>
      <c r="E274" s="82" t="s">
        <v>315</v>
      </c>
      <c r="F274" s="82"/>
      <c r="G274" s="82"/>
      <c r="H274" s="82"/>
      <c r="I274" s="82"/>
      <c r="J274" s="137"/>
    </row>
    <row r="275" spans="2:10" x14ac:dyDescent="0.2">
      <c r="B275" s="490" t="s">
        <v>319</v>
      </c>
      <c r="C275" s="491"/>
      <c r="D275" s="224">
        <f>HLOOKUP(H6,D252:G254,2)*D6^(HLOOKUP(H6,D252:G254,3))</f>
        <v>43476.510411604104</v>
      </c>
      <c r="E275" s="82"/>
      <c r="F275" s="82"/>
      <c r="G275" s="82"/>
      <c r="H275" s="82"/>
      <c r="I275" s="82"/>
      <c r="J275" s="137"/>
    </row>
    <row r="276" spans="2:10" x14ac:dyDescent="0.2">
      <c r="B276" s="505" t="s">
        <v>320</v>
      </c>
      <c r="C276" s="491"/>
      <c r="D276" s="171">
        <f>D272*8.7</f>
        <v>22539.847911249035</v>
      </c>
      <c r="E276" s="82"/>
      <c r="F276" s="82"/>
      <c r="G276" s="82"/>
      <c r="H276" s="82"/>
      <c r="I276" s="82"/>
      <c r="J276" s="137"/>
    </row>
    <row r="277" spans="2:10" x14ac:dyDescent="0.2">
      <c r="B277" s="490" t="s">
        <v>321</v>
      </c>
      <c r="C277" s="491"/>
      <c r="D277" s="224">
        <f>IF(J6=1,12000,)</f>
        <v>12000</v>
      </c>
      <c r="E277" s="82"/>
      <c r="F277" s="82"/>
      <c r="G277" s="82"/>
      <c r="H277" s="82"/>
      <c r="I277" s="82"/>
      <c r="J277" s="137"/>
    </row>
    <row r="278" spans="2:10" x14ac:dyDescent="0.2">
      <c r="B278" s="490" t="s">
        <v>322</v>
      </c>
      <c r="C278" s="491"/>
      <c r="D278" s="171">
        <f>0.7*D275</f>
        <v>30433.557288122869</v>
      </c>
      <c r="E278" s="82"/>
      <c r="F278" s="82"/>
      <c r="G278" s="82"/>
      <c r="H278" s="82"/>
      <c r="I278" s="82"/>
      <c r="J278" s="137"/>
    </row>
    <row r="279" spans="2:10" x14ac:dyDescent="0.2">
      <c r="B279" s="490" t="s">
        <v>323</v>
      </c>
      <c r="C279" s="491"/>
      <c r="D279" s="171">
        <f>SUM(D275:D278)</f>
        <v>108449.91561097601</v>
      </c>
      <c r="E279" s="82"/>
      <c r="F279" s="82"/>
      <c r="G279" s="82"/>
      <c r="H279" s="82"/>
      <c r="I279" s="82"/>
      <c r="J279" s="137"/>
    </row>
    <row r="280" spans="2:10" x14ac:dyDescent="0.2">
      <c r="B280" s="490" t="s">
        <v>170</v>
      </c>
      <c r="C280" s="491"/>
      <c r="D280" s="172">
        <f>'PPI Calculation'!D103</f>
        <v>1.2935455349248455</v>
      </c>
      <c r="E280" s="82"/>
      <c r="F280" s="82"/>
      <c r="G280" s="82"/>
      <c r="H280" s="82"/>
      <c r="I280" s="82"/>
      <c r="J280" s="137"/>
    </row>
    <row r="281" spans="2:10" x14ac:dyDescent="0.2">
      <c r="B281" s="490" t="s">
        <v>324</v>
      </c>
      <c r="C281" s="491"/>
      <c r="D281" s="171">
        <f>+D279*D280</f>
        <v>140284.9041015543</v>
      </c>
      <c r="E281" s="82"/>
      <c r="F281" s="82"/>
      <c r="G281" s="82"/>
      <c r="H281" s="82"/>
      <c r="I281" s="82"/>
      <c r="J281" s="137"/>
    </row>
    <row r="282" spans="2:10" ht="13.5" thickBot="1" x14ac:dyDescent="0.25">
      <c r="B282" s="160"/>
      <c r="C282" s="161"/>
      <c r="D282" s="161"/>
      <c r="E282" s="163"/>
      <c r="F282" s="163"/>
      <c r="G282" s="163"/>
      <c r="H282" s="163"/>
      <c r="I282" s="163"/>
      <c r="J282" s="164"/>
    </row>
    <row r="283" spans="2:10" ht="13.5" thickTop="1" x14ac:dyDescent="0.2">
      <c r="B283" s="131" t="s">
        <v>325</v>
      </c>
      <c r="C283" s="165"/>
      <c r="D283" s="165"/>
      <c r="E283" s="166"/>
      <c r="F283" s="166"/>
      <c r="G283" s="166"/>
      <c r="H283" s="166"/>
      <c r="I283" s="166"/>
      <c r="J283" s="167"/>
    </row>
    <row r="284" spans="2:10" x14ac:dyDescent="0.2">
      <c r="B284" s="138"/>
      <c r="C284" s="136"/>
      <c r="D284" s="136"/>
      <c r="E284" s="82"/>
      <c r="F284" s="82"/>
      <c r="G284" s="82"/>
      <c r="H284" s="82"/>
      <c r="I284" s="82"/>
      <c r="J284" s="137"/>
    </row>
    <row r="285" spans="2:10" x14ac:dyDescent="0.2">
      <c r="B285" s="492" t="s">
        <v>326</v>
      </c>
      <c r="C285" s="493"/>
      <c r="D285" s="218">
        <v>40</v>
      </c>
      <c r="E285" s="82" t="s">
        <v>327</v>
      </c>
      <c r="F285" s="82"/>
      <c r="G285" s="82"/>
      <c r="H285" s="82"/>
      <c r="I285" s="82"/>
      <c r="J285" s="137"/>
    </row>
    <row r="286" spans="2:10" x14ac:dyDescent="0.2">
      <c r="B286" s="138"/>
      <c r="C286" s="136"/>
      <c r="D286" s="136"/>
      <c r="E286" s="82"/>
      <c r="F286" s="82"/>
      <c r="G286" s="82"/>
      <c r="H286" s="82"/>
      <c r="I286" s="82"/>
      <c r="J286" s="137"/>
    </row>
    <row r="287" spans="2:10" x14ac:dyDescent="0.2">
      <c r="B287" s="138" t="s">
        <v>328</v>
      </c>
      <c r="C287" s="136"/>
      <c r="D287" s="136"/>
      <c r="E287" s="82"/>
      <c r="F287" s="82"/>
      <c r="G287" s="82"/>
      <c r="H287" s="82"/>
      <c r="I287" s="82"/>
      <c r="J287" s="137"/>
    </row>
    <row r="288" spans="2:10" x14ac:dyDescent="0.2">
      <c r="B288" s="138"/>
      <c r="C288" s="136"/>
      <c r="D288" s="136"/>
      <c r="E288" s="82"/>
      <c r="F288" s="82"/>
      <c r="G288" s="82"/>
      <c r="H288" s="82"/>
      <c r="I288" s="82"/>
      <c r="J288" s="137"/>
    </row>
    <row r="289" spans="2:10" x14ac:dyDescent="0.2">
      <c r="B289" s="490" t="s">
        <v>329</v>
      </c>
      <c r="C289" s="491"/>
      <c r="D289" s="171">
        <f>D285*C6</f>
        <v>60000</v>
      </c>
      <c r="E289" s="82"/>
      <c r="F289" s="82"/>
      <c r="G289" s="82"/>
      <c r="H289" s="82"/>
      <c r="I289" s="82"/>
      <c r="J289" s="137"/>
    </row>
    <row r="290" spans="2:10" x14ac:dyDescent="0.2">
      <c r="B290" s="490" t="s">
        <v>198</v>
      </c>
      <c r="C290" s="491"/>
      <c r="D290" s="172">
        <f>'PPI Calculation'!D116</f>
        <v>1.5256682639763997</v>
      </c>
      <c r="E290" s="82"/>
      <c r="F290" s="82"/>
      <c r="G290" s="82"/>
      <c r="H290" s="82"/>
      <c r="I290" s="82"/>
      <c r="J290" s="137"/>
    </row>
    <row r="291" spans="2:10" x14ac:dyDescent="0.2">
      <c r="B291" s="490" t="s">
        <v>324</v>
      </c>
      <c r="C291" s="491"/>
      <c r="D291" s="171">
        <f>D290*D289</f>
        <v>91540.095838583977</v>
      </c>
      <c r="E291" s="82"/>
      <c r="F291" s="82"/>
      <c r="G291" s="82"/>
      <c r="H291" s="82"/>
      <c r="I291" s="82"/>
      <c r="J291" s="137"/>
    </row>
    <row r="292" spans="2:10" ht="13.5" thickBot="1" x14ac:dyDescent="0.25">
      <c r="B292" s="160"/>
      <c r="C292" s="161"/>
      <c r="D292" s="161"/>
      <c r="E292" s="163"/>
      <c r="F292" s="163"/>
      <c r="G292" s="163"/>
      <c r="H292" s="163"/>
      <c r="I292" s="163"/>
      <c r="J292" s="164"/>
    </row>
    <row r="293" spans="2:10" ht="13.5" thickTop="1" x14ac:dyDescent="0.2">
      <c r="B293" s="131" t="s">
        <v>330</v>
      </c>
      <c r="C293" s="165"/>
      <c r="D293" s="165"/>
      <c r="E293" s="166"/>
      <c r="F293" s="166"/>
      <c r="G293" s="166"/>
      <c r="H293" s="166"/>
      <c r="I293" s="166"/>
      <c r="J293" s="167"/>
    </row>
    <row r="294" spans="2:10" x14ac:dyDescent="0.2">
      <c r="B294" s="138"/>
      <c r="C294" s="136"/>
      <c r="D294" s="136"/>
      <c r="E294" s="82"/>
      <c r="F294" s="82"/>
      <c r="G294" s="82"/>
      <c r="H294" s="82"/>
      <c r="I294" s="82"/>
      <c r="J294" s="137"/>
    </row>
    <row r="295" spans="2:10" x14ac:dyDescent="0.2">
      <c r="B295" s="492" t="s">
        <v>331</v>
      </c>
      <c r="C295" s="493"/>
      <c r="D295" s="225">
        <v>0.08</v>
      </c>
      <c r="E295" s="82" t="s">
        <v>332</v>
      </c>
      <c r="F295" s="82"/>
      <c r="G295" s="82"/>
      <c r="H295" s="82"/>
      <c r="I295" s="82"/>
      <c r="J295" s="137"/>
    </row>
    <row r="296" spans="2:10" x14ac:dyDescent="0.2">
      <c r="B296" s="138"/>
      <c r="C296" s="136"/>
      <c r="D296" s="136"/>
      <c r="E296" s="82"/>
      <c r="F296" s="82"/>
      <c r="G296" s="82"/>
      <c r="H296" s="82"/>
      <c r="I296" s="82"/>
      <c r="J296" s="137"/>
    </row>
    <row r="297" spans="2:10" x14ac:dyDescent="0.2">
      <c r="B297" s="492" t="s">
        <v>333</v>
      </c>
      <c r="C297" s="493"/>
      <c r="D297" s="218">
        <v>12</v>
      </c>
      <c r="E297" s="82" t="s">
        <v>327</v>
      </c>
      <c r="F297" s="82"/>
      <c r="G297" s="82"/>
      <c r="H297" s="82"/>
      <c r="I297" s="82"/>
      <c r="J297" s="137"/>
    </row>
    <row r="298" spans="2:10" x14ac:dyDescent="0.2">
      <c r="B298" s="138"/>
      <c r="C298" s="136"/>
      <c r="D298" s="136"/>
      <c r="E298" s="82"/>
      <c r="F298" s="82"/>
      <c r="G298" s="82"/>
      <c r="H298" s="82"/>
      <c r="I298" s="82"/>
      <c r="J298" s="137"/>
    </row>
    <row r="299" spans="2:10" x14ac:dyDescent="0.2">
      <c r="B299" s="138" t="s">
        <v>334</v>
      </c>
      <c r="C299" s="136"/>
      <c r="D299" s="136"/>
      <c r="E299" s="82"/>
      <c r="F299" s="82"/>
      <c r="G299" s="82"/>
      <c r="H299" s="82"/>
      <c r="I299" s="82"/>
      <c r="J299" s="137"/>
    </row>
    <row r="300" spans="2:10" x14ac:dyDescent="0.2">
      <c r="B300" s="138"/>
      <c r="C300" s="136"/>
      <c r="D300" s="136"/>
      <c r="E300" s="82"/>
      <c r="F300" s="82"/>
      <c r="G300" s="82"/>
      <c r="H300" s="82"/>
      <c r="I300" s="82"/>
      <c r="J300" s="137"/>
    </row>
    <row r="301" spans="2:10" x14ac:dyDescent="0.2">
      <c r="B301" s="138" t="s">
        <v>335</v>
      </c>
      <c r="C301" s="136"/>
      <c r="D301" s="136"/>
      <c r="E301" s="82"/>
      <c r="F301" s="82"/>
      <c r="G301" s="82"/>
      <c r="H301" s="82"/>
      <c r="I301" s="82"/>
      <c r="J301" s="137"/>
    </row>
    <row r="302" spans="2:10" x14ac:dyDescent="0.2">
      <c r="B302" s="138"/>
      <c r="C302" s="136"/>
      <c r="D302" s="136"/>
      <c r="E302" s="82"/>
      <c r="F302" s="82"/>
      <c r="G302" s="82"/>
      <c r="H302" s="82"/>
      <c r="I302" s="82"/>
      <c r="J302" s="137"/>
    </row>
    <row r="303" spans="2:10" x14ac:dyDescent="0.2">
      <c r="B303" s="490" t="s">
        <v>336</v>
      </c>
      <c r="C303" s="491"/>
      <c r="D303" s="46">
        <f>D295*C6</f>
        <v>120</v>
      </c>
      <c r="E303" s="82" t="s">
        <v>168</v>
      </c>
      <c r="F303" s="82"/>
      <c r="G303" s="82"/>
      <c r="H303" s="82"/>
      <c r="I303" s="82"/>
      <c r="J303" s="137"/>
    </row>
    <row r="304" spans="2:10" x14ac:dyDescent="0.2">
      <c r="B304" s="490" t="s">
        <v>337</v>
      </c>
      <c r="C304" s="491"/>
      <c r="D304" s="171">
        <f>D297*C6</f>
        <v>18000</v>
      </c>
      <c r="E304" s="82"/>
      <c r="F304" s="82"/>
      <c r="G304" s="82"/>
      <c r="H304" s="82"/>
      <c r="I304" s="82"/>
      <c r="J304" s="137"/>
    </row>
    <row r="305" spans="2:10" x14ac:dyDescent="0.2">
      <c r="B305" s="490" t="s">
        <v>198</v>
      </c>
      <c r="C305" s="491"/>
      <c r="D305" s="172">
        <f>'PPI Calculation'!D122</f>
        <v>1.3382352941176472</v>
      </c>
      <c r="E305" s="82"/>
      <c r="F305" s="82"/>
      <c r="G305" s="82"/>
      <c r="H305" s="82"/>
      <c r="I305" s="82"/>
      <c r="J305" s="137"/>
    </row>
    <row r="306" spans="2:10" x14ac:dyDescent="0.2">
      <c r="B306" s="490" t="s">
        <v>324</v>
      </c>
      <c r="C306" s="491"/>
      <c r="D306" s="171">
        <f>D305*D304</f>
        <v>24088.23529411765</v>
      </c>
      <c r="E306" s="82"/>
      <c r="F306" s="82"/>
      <c r="G306" s="82"/>
      <c r="H306" s="82"/>
      <c r="I306" s="82"/>
      <c r="J306" s="137"/>
    </row>
    <row r="307" spans="2:10" ht="13.5" thickBot="1" x14ac:dyDescent="0.25">
      <c r="B307" s="160"/>
      <c r="C307" s="161"/>
      <c r="D307" s="161"/>
      <c r="E307" s="163"/>
      <c r="F307" s="163"/>
      <c r="G307" s="163"/>
      <c r="H307" s="163"/>
      <c r="I307" s="163"/>
      <c r="J307" s="164"/>
    </row>
    <row r="308" spans="2:10" ht="13.5" thickTop="1" x14ac:dyDescent="0.2">
      <c r="B308" s="131" t="s">
        <v>338</v>
      </c>
      <c r="C308" s="165"/>
      <c r="D308" s="165"/>
      <c r="E308" s="166"/>
      <c r="F308" s="166"/>
      <c r="G308" s="166"/>
      <c r="H308" s="166"/>
      <c r="I308" s="166"/>
      <c r="J308" s="167"/>
    </row>
    <row r="309" spans="2:10" x14ac:dyDescent="0.2">
      <c r="B309" s="138"/>
      <c r="C309" s="136"/>
      <c r="D309" s="136"/>
      <c r="E309" s="82"/>
      <c r="F309" s="82"/>
      <c r="G309" s="82"/>
      <c r="H309" s="82"/>
      <c r="I309" s="82"/>
      <c r="J309" s="137"/>
    </row>
    <row r="310" spans="2:10" x14ac:dyDescent="0.2">
      <c r="B310" s="503" t="s">
        <v>339</v>
      </c>
      <c r="C310" s="504"/>
      <c r="D310" s="140">
        <v>11.537000000000001</v>
      </c>
      <c r="E310" s="82"/>
      <c r="F310" s="82"/>
      <c r="G310" s="82"/>
      <c r="H310" s="82"/>
      <c r="I310" s="82"/>
      <c r="J310" s="137"/>
    </row>
    <row r="311" spans="2:10" x14ac:dyDescent="0.2">
      <c r="B311" s="503" t="s">
        <v>340</v>
      </c>
      <c r="C311" s="504"/>
      <c r="D311" s="140">
        <v>3849.7</v>
      </c>
      <c r="E311" s="82"/>
      <c r="F311" s="82"/>
      <c r="G311" s="82"/>
      <c r="H311" s="82"/>
      <c r="I311" s="82"/>
      <c r="J311" s="137"/>
    </row>
    <row r="312" spans="2:10" x14ac:dyDescent="0.2">
      <c r="B312" s="175"/>
      <c r="C312" s="226"/>
      <c r="D312" s="136"/>
      <c r="E312" s="82"/>
      <c r="F312" s="82"/>
      <c r="G312" s="82"/>
      <c r="H312" s="82"/>
      <c r="I312" s="82"/>
      <c r="J312" s="137"/>
    </row>
    <row r="313" spans="2:10" x14ac:dyDescent="0.2">
      <c r="B313" s="503" t="s">
        <v>341</v>
      </c>
      <c r="C313" s="504"/>
      <c r="D313" s="227">
        <v>0.1111111111111111</v>
      </c>
      <c r="E313" s="82" t="s">
        <v>342</v>
      </c>
      <c r="F313" s="82"/>
      <c r="G313" s="82"/>
      <c r="H313" s="82"/>
      <c r="I313" s="82"/>
      <c r="J313" s="137"/>
    </row>
    <row r="314" spans="2:10" x14ac:dyDescent="0.2">
      <c r="B314" s="138"/>
      <c r="C314" s="136"/>
      <c r="D314" s="136"/>
      <c r="E314" s="82"/>
      <c r="F314" s="82"/>
      <c r="G314" s="82"/>
      <c r="H314" s="82"/>
      <c r="I314" s="82"/>
      <c r="J314" s="137"/>
    </row>
    <row r="315" spans="2:10" x14ac:dyDescent="0.2">
      <c r="B315" s="138" t="s">
        <v>343</v>
      </c>
      <c r="C315" s="136"/>
      <c r="D315" s="136"/>
      <c r="E315" s="82"/>
      <c r="F315" s="82"/>
      <c r="G315" s="82"/>
      <c r="H315" s="82"/>
      <c r="I315" s="82"/>
      <c r="J315" s="137"/>
    </row>
    <row r="316" spans="2:10" x14ac:dyDescent="0.2">
      <c r="B316" s="138"/>
      <c r="C316" s="136"/>
      <c r="D316" s="136"/>
      <c r="E316" s="82"/>
      <c r="F316" s="82"/>
      <c r="G316" s="82"/>
      <c r="H316" s="82"/>
      <c r="I316" s="82"/>
      <c r="J316" s="137"/>
    </row>
    <row r="317" spans="2:10" x14ac:dyDescent="0.2">
      <c r="B317" s="138" t="s">
        <v>344</v>
      </c>
      <c r="C317" s="136"/>
      <c r="D317" s="136"/>
      <c r="E317" s="82"/>
      <c r="F317" s="82"/>
      <c r="G317" s="82"/>
      <c r="H317" s="82"/>
      <c r="I317" s="82"/>
      <c r="J317" s="137"/>
    </row>
    <row r="318" spans="2:10" x14ac:dyDescent="0.2">
      <c r="B318" s="138"/>
      <c r="C318" s="136"/>
      <c r="D318" s="136"/>
      <c r="E318" s="82"/>
      <c r="F318" s="82"/>
      <c r="G318" s="82"/>
      <c r="H318" s="82"/>
      <c r="I318" s="82"/>
      <c r="J318" s="137"/>
    </row>
    <row r="319" spans="2:10" x14ac:dyDescent="0.2">
      <c r="B319" s="490" t="s">
        <v>345</v>
      </c>
      <c r="C319" s="491"/>
      <c r="D319" s="46">
        <f>D320*D313</f>
        <v>2350.5777777777776</v>
      </c>
      <c r="E319" s="82" t="s">
        <v>168</v>
      </c>
      <c r="F319" s="82"/>
      <c r="G319" s="82"/>
      <c r="H319" s="82"/>
      <c r="I319" s="82"/>
      <c r="J319" s="137"/>
    </row>
    <row r="320" spans="2:10" x14ac:dyDescent="0.2">
      <c r="B320" s="490" t="s">
        <v>346</v>
      </c>
      <c r="C320" s="491"/>
      <c r="D320" s="171">
        <f>D310*C6+D311</f>
        <v>21155.200000000001</v>
      </c>
      <c r="E320" s="82"/>
      <c r="F320" s="82"/>
      <c r="G320" s="82"/>
      <c r="H320" s="82"/>
      <c r="I320" s="82"/>
      <c r="J320" s="137"/>
    </row>
    <row r="321" spans="2:15" x14ac:dyDescent="0.2">
      <c r="B321" s="490" t="s">
        <v>198</v>
      </c>
      <c r="C321" s="491"/>
      <c r="D321" s="172">
        <f>'PPI Calculation'!D135</f>
        <v>1.0556050095306337</v>
      </c>
      <c r="E321" s="82"/>
      <c r="F321" s="82"/>
      <c r="G321" s="82"/>
      <c r="H321" s="82"/>
      <c r="I321" s="82"/>
      <c r="J321" s="137"/>
    </row>
    <row r="322" spans="2:15" x14ac:dyDescent="0.2">
      <c r="B322" s="490" t="s">
        <v>324</v>
      </c>
      <c r="C322" s="491"/>
      <c r="D322" s="171">
        <f>D321*D320</f>
        <v>22331.535097622465</v>
      </c>
      <c r="E322" s="82"/>
      <c r="F322" s="82"/>
      <c r="G322" s="359"/>
      <c r="H322" s="359"/>
      <c r="I322" s="359"/>
      <c r="J322" s="484"/>
      <c r="K322" s="375"/>
      <c r="L322" s="375"/>
      <c r="M322" s="375"/>
      <c r="N322" s="375"/>
      <c r="O322" s="375"/>
    </row>
    <row r="323" spans="2:15" ht="13.5" thickBot="1" x14ac:dyDescent="0.25">
      <c r="B323" s="160"/>
      <c r="C323" s="161"/>
      <c r="D323" s="161"/>
      <c r="E323" s="163"/>
      <c r="F323" s="163"/>
      <c r="G323" s="163"/>
      <c r="H323" s="163"/>
      <c r="I323" s="163"/>
      <c r="J323" s="164"/>
    </row>
    <row r="324" spans="2:15" ht="13.5" thickTop="1" x14ac:dyDescent="0.2">
      <c r="B324" s="131" t="s">
        <v>347</v>
      </c>
      <c r="C324" s="165"/>
      <c r="D324" s="165"/>
      <c r="E324" s="166"/>
      <c r="F324" s="166"/>
      <c r="G324" s="166"/>
      <c r="H324" s="166"/>
      <c r="I324" s="166"/>
      <c r="J324" s="167"/>
    </row>
    <row r="325" spans="2:15" x14ac:dyDescent="0.2">
      <c r="B325" s="138"/>
      <c r="C325" s="136"/>
      <c r="D325" s="136"/>
      <c r="E325" s="82"/>
      <c r="F325" s="82"/>
      <c r="G325" s="82"/>
      <c r="H325" s="82"/>
      <c r="I325" s="82"/>
      <c r="J325" s="137"/>
    </row>
    <row r="326" spans="2:15" x14ac:dyDescent="0.2">
      <c r="B326" s="497" t="s">
        <v>348</v>
      </c>
      <c r="C326" s="498"/>
      <c r="D326" s="501">
        <v>35000</v>
      </c>
      <c r="E326" s="82"/>
      <c r="F326" s="82"/>
      <c r="G326" s="82"/>
      <c r="H326" s="82"/>
      <c r="I326" s="82"/>
      <c r="J326" s="137"/>
    </row>
    <row r="327" spans="2:15" x14ac:dyDescent="0.2">
      <c r="B327" s="499"/>
      <c r="C327" s="500"/>
      <c r="D327" s="502"/>
      <c r="E327" s="82"/>
      <c r="F327" s="82"/>
      <c r="G327" s="82"/>
      <c r="H327" s="82"/>
      <c r="I327" s="82"/>
      <c r="J327" s="137"/>
    </row>
    <row r="328" spans="2:15" x14ac:dyDescent="0.2">
      <c r="B328" s="138"/>
      <c r="C328" s="136"/>
      <c r="D328" s="136"/>
      <c r="E328" s="82"/>
      <c r="F328" s="82"/>
      <c r="G328" s="82"/>
      <c r="H328" s="82"/>
      <c r="I328" s="82"/>
      <c r="J328" s="137"/>
    </row>
    <row r="329" spans="2:15" x14ac:dyDescent="0.2">
      <c r="B329" s="490" t="s">
        <v>349</v>
      </c>
      <c r="C329" s="491"/>
      <c r="D329" s="171">
        <f>D326</f>
        <v>35000</v>
      </c>
      <c r="E329" s="82"/>
      <c r="F329" s="82"/>
      <c r="G329" s="82"/>
      <c r="H329" s="82"/>
      <c r="I329" s="82"/>
      <c r="J329" s="137"/>
    </row>
    <row r="330" spans="2:15" x14ac:dyDescent="0.2">
      <c r="B330" s="490" t="s">
        <v>198</v>
      </c>
      <c r="C330" s="491"/>
      <c r="D330" s="172">
        <f>'PPI Calculation'!D141</f>
        <v>1.2234245703373647</v>
      </c>
      <c r="E330" s="82"/>
      <c r="F330" s="82"/>
      <c r="G330" s="82"/>
      <c r="H330" s="82"/>
      <c r="I330" s="82"/>
      <c r="J330" s="137"/>
    </row>
    <row r="331" spans="2:15" x14ac:dyDescent="0.2">
      <c r="B331" s="490" t="s">
        <v>324</v>
      </c>
      <c r="C331" s="491"/>
      <c r="D331" s="171">
        <f>D330*D329</f>
        <v>42819.859961807764</v>
      </c>
      <c r="E331" s="82"/>
      <c r="F331" s="82"/>
      <c r="G331" s="82"/>
      <c r="H331" s="82"/>
      <c r="I331" s="82"/>
      <c r="J331" s="137"/>
    </row>
    <row r="332" spans="2:15" ht="13.5" thickBot="1" x14ac:dyDescent="0.25">
      <c r="B332" s="160"/>
      <c r="C332" s="161"/>
      <c r="D332" s="161"/>
      <c r="E332" s="163"/>
      <c r="F332" s="163"/>
      <c r="G332" s="163"/>
      <c r="H332" s="163"/>
      <c r="I332" s="163"/>
      <c r="J332" s="164"/>
    </row>
    <row r="333" spans="2:15" ht="13.5" thickTop="1" x14ac:dyDescent="0.2">
      <c r="B333" s="131" t="s">
        <v>350</v>
      </c>
      <c r="C333" s="165"/>
      <c r="D333" s="165"/>
      <c r="E333" s="82"/>
      <c r="F333" s="82"/>
      <c r="G333" s="82"/>
      <c r="H333" s="82"/>
      <c r="I333" s="82"/>
      <c r="J333" s="137"/>
    </row>
    <row r="334" spans="2:15" x14ac:dyDescent="0.2">
      <c r="B334" s="138"/>
      <c r="C334" s="136"/>
      <c r="D334" s="136"/>
      <c r="E334" s="82"/>
      <c r="F334" s="82"/>
      <c r="G334" s="82"/>
      <c r="H334" s="82"/>
      <c r="I334" s="82"/>
      <c r="J334" s="137"/>
    </row>
    <row r="335" spans="2:15" x14ac:dyDescent="0.2">
      <c r="B335" s="497" t="s">
        <v>351</v>
      </c>
      <c r="C335" s="498"/>
      <c r="D335" s="501">
        <v>55900</v>
      </c>
      <c r="E335" s="82"/>
      <c r="F335" s="82"/>
      <c r="G335" s="82"/>
      <c r="H335" s="82"/>
      <c r="I335" s="82"/>
      <c r="J335" s="137"/>
    </row>
    <row r="336" spans="2:15" x14ac:dyDescent="0.2">
      <c r="B336" s="499"/>
      <c r="C336" s="500"/>
      <c r="D336" s="502"/>
      <c r="E336" s="82"/>
      <c r="F336" s="82"/>
      <c r="G336" s="82"/>
      <c r="H336" s="82"/>
      <c r="I336" s="82"/>
      <c r="J336" s="137"/>
    </row>
    <row r="337" spans="2:10" x14ac:dyDescent="0.2">
      <c r="B337" s="138"/>
      <c r="C337" s="136"/>
      <c r="D337" s="136"/>
      <c r="E337" s="82"/>
      <c r="F337" s="82"/>
      <c r="G337" s="82"/>
      <c r="H337" s="82"/>
      <c r="I337" s="82"/>
      <c r="J337" s="137"/>
    </row>
    <row r="338" spans="2:10" x14ac:dyDescent="0.2">
      <c r="B338" s="490" t="s">
        <v>349</v>
      </c>
      <c r="C338" s="491"/>
      <c r="D338" s="171">
        <f>D335</f>
        <v>55900</v>
      </c>
      <c r="E338" s="82"/>
      <c r="F338" s="82"/>
      <c r="G338" s="82"/>
      <c r="H338" s="82"/>
      <c r="I338" s="82"/>
      <c r="J338" s="137"/>
    </row>
    <row r="339" spans="2:10" x14ac:dyDescent="0.2">
      <c r="B339" s="490" t="s">
        <v>198</v>
      </c>
      <c r="C339" s="491"/>
      <c r="D339" s="172">
        <f>'PPI Calculation'!D141</f>
        <v>1.2234245703373647</v>
      </c>
      <c r="E339" s="82"/>
      <c r="F339" s="82"/>
      <c r="G339" s="82"/>
      <c r="H339" s="82"/>
      <c r="I339" s="82"/>
      <c r="J339" s="137"/>
    </row>
    <row r="340" spans="2:10" x14ac:dyDescent="0.2">
      <c r="B340" s="490" t="s">
        <v>324</v>
      </c>
      <c r="C340" s="491"/>
      <c r="D340" s="171">
        <f>D339*D338</f>
        <v>68389.433481858694</v>
      </c>
      <c r="E340" s="82"/>
      <c r="F340" s="82"/>
      <c r="G340" s="82"/>
      <c r="H340" s="82"/>
      <c r="I340" s="82"/>
      <c r="J340" s="137"/>
    </row>
    <row r="341" spans="2:10" ht="13.5" thickBot="1" x14ac:dyDescent="0.25">
      <c r="B341" s="160"/>
      <c r="C341" s="161"/>
      <c r="D341" s="161"/>
      <c r="E341" s="82"/>
      <c r="F341" s="82"/>
      <c r="G341" s="82"/>
      <c r="H341" s="82"/>
      <c r="I341" s="82"/>
      <c r="J341" s="137"/>
    </row>
    <row r="342" spans="2:10" ht="13.5" thickTop="1" x14ac:dyDescent="0.2">
      <c r="B342" s="131" t="s">
        <v>352</v>
      </c>
      <c r="C342" s="165"/>
      <c r="D342" s="165"/>
      <c r="E342" s="166"/>
      <c r="F342" s="166"/>
      <c r="G342" s="166"/>
      <c r="H342" s="166"/>
      <c r="I342" s="166"/>
      <c r="J342" s="167"/>
    </row>
    <row r="343" spans="2:10" x14ac:dyDescent="0.2">
      <c r="B343" s="138"/>
      <c r="C343" s="136"/>
      <c r="D343" s="136"/>
      <c r="E343" s="82"/>
      <c r="F343" s="82"/>
      <c r="G343" s="82"/>
      <c r="H343" s="82"/>
      <c r="I343" s="82"/>
      <c r="J343" s="137"/>
    </row>
    <row r="344" spans="2:10" x14ac:dyDescent="0.2">
      <c r="B344" s="228" t="s">
        <v>353</v>
      </c>
      <c r="C344" s="136"/>
      <c r="D344" s="136"/>
      <c r="E344" s="82"/>
      <c r="F344" s="82"/>
      <c r="G344" s="82"/>
      <c r="H344" s="82"/>
      <c r="I344" s="82"/>
      <c r="J344" s="137"/>
    </row>
    <row r="345" spans="2:10" x14ac:dyDescent="0.2">
      <c r="B345" s="492" t="s">
        <v>354</v>
      </c>
      <c r="C345" s="493"/>
      <c r="D345" s="140">
        <v>0.3972511475469247</v>
      </c>
      <c r="E345" s="82"/>
      <c r="F345" s="82"/>
      <c r="G345" s="82"/>
      <c r="H345" s="82"/>
      <c r="I345" s="82"/>
      <c r="J345" s="137"/>
    </row>
    <row r="346" spans="2:10" x14ac:dyDescent="0.2">
      <c r="B346" s="492" t="s">
        <v>355</v>
      </c>
      <c r="C346" s="493"/>
      <c r="D346" s="140">
        <v>-1414.3818814095575</v>
      </c>
      <c r="E346" s="82"/>
      <c r="F346" s="82"/>
      <c r="G346" s="82"/>
      <c r="H346" s="82"/>
      <c r="I346" s="82"/>
      <c r="J346" s="137"/>
    </row>
    <row r="347" spans="2:10" x14ac:dyDescent="0.2">
      <c r="B347" s="138"/>
      <c r="C347" s="136"/>
      <c r="D347" s="136"/>
      <c r="E347" s="82"/>
      <c r="F347" s="82"/>
      <c r="G347" s="82"/>
      <c r="H347" s="82"/>
      <c r="I347" s="82"/>
      <c r="J347" s="137"/>
    </row>
    <row r="348" spans="2:10" x14ac:dyDescent="0.2">
      <c r="B348" s="228" t="s">
        <v>356</v>
      </c>
      <c r="C348" s="136"/>
      <c r="D348" s="136"/>
      <c r="E348" s="82"/>
      <c r="F348" s="82"/>
      <c r="G348" s="82"/>
      <c r="H348" s="82"/>
      <c r="I348" s="82"/>
      <c r="J348" s="137"/>
    </row>
    <row r="349" spans="2:10" x14ac:dyDescent="0.2">
      <c r="B349" s="492" t="s">
        <v>354</v>
      </c>
      <c r="C349" s="493"/>
      <c r="D349" s="140">
        <v>0.26938016927873254</v>
      </c>
      <c r="E349" s="82"/>
      <c r="F349" s="82"/>
      <c r="G349" s="82"/>
      <c r="H349" s="82"/>
      <c r="I349" s="82"/>
      <c r="J349" s="137"/>
    </row>
    <row r="350" spans="2:10" x14ac:dyDescent="0.2">
      <c r="B350" s="492" t="s">
        <v>355</v>
      </c>
      <c r="C350" s="493"/>
      <c r="D350" s="140">
        <v>1779.3281826158054</v>
      </c>
      <c r="E350" s="82"/>
      <c r="F350" s="82"/>
      <c r="G350" s="82"/>
      <c r="H350" s="82"/>
      <c r="I350" s="82"/>
      <c r="J350" s="137"/>
    </row>
    <row r="351" spans="2:10" x14ac:dyDescent="0.2">
      <c r="B351" s="138"/>
      <c r="C351" s="136"/>
      <c r="D351" s="136"/>
      <c r="E351" s="82"/>
      <c r="F351" s="82"/>
      <c r="G351" s="82"/>
      <c r="H351" s="82"/>
      <c r="I351" s="82"/>
      <c r="J351" s="137"/>
    </row>
    <row r="352" spans="2:10" x14ac:dyDescent="0.2">
      <c r="B352" s="492" t="s">
        <v>357</v>
      </c>
      <c r="C352" s="493"/>
      <c r="D352" s="140">
        <v>1.5</v>
      </c>
      <c r="E352" s="82" t="s">
        <v>164</v>
      </c>
      <c r="F352" s="82"/>
      <c r="G352" s="82"/>
      <c r="H352" s="82"/>
      <c r="I352" s="82"/>
      <c r="J352" s="137"/>
    </row>
    <row r="353" spans="2:10" x14ac:dyDescent="0.2">
      <c r="B353" s="138"/>
      <c r="C353" s="136"/>
      <c r="D353" s="136"/>
      <c r="E353" s="82"/>
      <c r="F353" s="82"/>
      <c r="G353" s="82"/>
      <c r="H353" s="82"/>
      <c r="I353" s="82"/>
      <c r="J353" s="137"/>
    </row>
    <row r="354" spans="2:10" x14ac:dyDescent="0.2">
      <c r="B354" s="138" t="s">
        <v>358</v>
      </c>
      <c r="C354" s="136"/>
      <c r="D354" s="136"/>
      <c r="E354" s="82"/>
      <c r="F354" s="82"/>
      <c r="G354" s="82"/>
      <c r="H354" s="82"/>
      <c r="I354" s="82"/>
      <c r="J354" s="137"/>
    </row>
    <row r="355" spans="2:10" x14ac:dyDescent="0.2">
      <c r="B355" s="138"/>
      <c r="C355" s="136"/>
      <c r="D355" s="136"/>
      <c r="E355" s="82"/>
      <c r="F355" s="82"/>
      <c r="G355" s="82"/>
      <c r="H355" s="82"/>
      <c r="I355" s="82"/>
      <c r="J355" s="137"/>
    </row>
    <row r="356" spans="2:10" x14ac:dyDescent="0.2">
      <c r="B356" s="138" t="s">
        <v>359</v>
      </c>
      <c r="C356" s="136"/>
      <c r="D356" s="136"/>
      <c r="E356" s="82"/>
      <c r="F356" s="82"/>
      <c r="G356" s="82"/>
      <c r="H356" s="82"/>
      <c r="I356" s="82"/>
      <c r="J356" s="137"/>
    </row>
    <row r="357" spans="2:10" x14ac:dyDescent="0.2">
      <c r="B357" s="138"/>
      <c r="C357" s="136"/>
      <c r="D357" s="136"/>
      <c r="E357" s="82"/>
      <c r="F357" s="82"/>
      <c r="G357" s="82"/>
      <c r="H357" s="82"/>
      <c r="I357" s="82"/>
      <c r="J357" s="137"/>
    </row>
    <row r="358" spans="2:10" x14ac:dyDescent="0.2">
      <c r="B358" s="490" t="s">
        <v>360</v>
      </c>
      <c r="C358" s="491"/>
      <c r="D358" s="51">
        <f>IF(EXACT(G6,"Baseline"),D345*PI()*(D6/2)^2*E6 + D346,D349*PI()*(D6/2)^2*E6 + D350)</f>
        <v>138985.76287948794</v>
      </c>
      <c r="E358" s="82" t="s">
        <v>168</v>
      </c>
      <c r="F358" s="82"/>
      <c r="G358" s="82"/>
      <c r="H358" s="82"/>
      <c r="I358" s="82"/>
      <c r="J358" s="137"/>
    </row>
    <row r="359" spans="2:10" x14ac:dyDescent="0.2">
      <c r="B359" s="490" t="s">
        <v>361</v>
      </c>
      <c r="C359" s="491"/>
      <c r="D359" s="171">
        <f>D358*D352</f>
        <v>208478.64431923191</v>
      </c>
      <c r="E359" s="82"/>
      <c r="F359" s="82"/>
      <c r="G359" s="82"/>
      <c r="H359" s="82"/>
      <c r="I359" s="82"/>
      <c r="J359" s="137"/>
    </row>
    <row r="360" spans="2:10" x14ac:dyDescent="0.2">
      <c r="B360" s="490" t="s">
        <v>198</v>
      </c>
      <c r="C360" s="491"/>
      <c r="D360" s="172">
        <f>'PPI Calculation'!D159</f>
        <v>1.5620748299319727</v>
      </c>
      <c r="E360" s="82"/>
      <c r="F360" s="82"/>
      <c r="G360" s="82"/>
      <c r="H360" s="82"/>
      <c r="I360" s="82"/>
      <c r="J360" s="137"/>
    </row>
    <row r="361" spans="2:10" x14ac:dyDescent="0.2">
      <c r="B361" s="490" t="s">
        <v>324</v>
      </c>
      <c r="C361" s="491"/>
      <c r="D361" s="171">
        <f>D360*D359</f>
        <v>325659.24286941241</v>
      </c>
      <c r="E361" s="82"/>
      <c r="F361" s="82"/>
      <c r="G361" s="82"/>
      <c r="H361" s="82"/>
      <c r="I361" s="82"/>
      <c r="J361" s="137"/>
    </row>
    <row r="362" spans="2:10" ht="13.5" thickBot="1" x14ac:dyDescent="0.25">
      <c r="B362" s="160"/>
      <c r="C362" s="161"/>
      <c r="D362" s="161"/>
      <c r="E362" s="163"/>
      <c r="F362" s="163"/>
      <c r="G362" s="163"/>
      <c r="H362" s="163"/>
      <c r="I362" s="163"/>
      <c r="J362" s="164"/>
    </row>
    <row r="363" spans="2:10" ht="13.5" thickTop="1" x14ac:dyDescent="0.2">
      <c r="B363" s="27"/>
      <c r="C363" s="27"/>
      <c r="D363" s="27"/>
    </row>
    <row r="364" spans="2:10" ht="13.5" thickBot="1" x14ac:dyDescent="0.25">
      <c r="B364" s="229" t="s">
        <v>362</v>
      </c>
      <c r="C364" s="161"/>
      <c r="D364" s="163"/>
      <c r="E364" s="163"/>
      <c r="F364" s="163"/>
    </row>
    <row r="365" spans="2:10" ht="14.25" thickTop="1" thickBot="1" x14ac:dyDescent="0.25">
      <c r="B365" s="130"/>
      <c r="C365" s="27"/>
    </row>
    <row r="366" spans="2:10" ht="13.5" thickTop="1" x14ac:dyDescent="0.2">
      <c r="B366" s="131" t="s">
        <v>363</v>
      </c>
      <c r="C366" s="165"/>
      <c r="D366" s="166"/>
      <c r="E366" s="166"/>
      <c r="F366" s="166"/>
      <c r="G366" s="166"/>
      <c r="H366" s="166"/>
      <c r="I366" s="166"/>
      <c r="J366" s="167"/>
    </row>
    <row r="367" spans="2:10" x14ac:dyDescent="0.2">
      <c r="B367" s="186"/>
      <c r="C367" s="136"/>
      <c r="D367" s="82"/>
      <c r="E367" s="82"/>
      <c r="F367" s="82"/>
      <c r="G367" s="82"/>
      <c r="H367" s="82"/>
      <c r="I367" s="82"/>
      <c r="J367" s="137"/>
    </row>
    <row r="368" spans="2:10" x14ac:dyDescent="0.2">
      <c r="B368" s="492" t="s">
        <v>364</v>
      </c>
      <c r="C368" s="493"/>
      <c r="D368" s="140">
        <v>303.23</v>
      </c>
      <c r="E368" s="82"/>
      <c r="F368" s="82"/>
      <c r="G368" s="82"/>
      <c r="H368" s="82"/>
      <c r="I368" s="82"/>
      <c r="J368" s="137"/>
    </row>
    <row r="369" spans="2:10" x14ac:dyDescent="0.2">
      <c r="B369" s="492" t="s">
        <v>365</v>
      </c>
      <c r="C369" s="493"/>
      <c r="D369" s="140">
        <v>0.4037</v>
      </c>
      <c r="E369" s="82"/>
      <c r="F369" s="82"/>
      <c r="G369" s="82"/>
      <c r="H369" s="82"/>
      <c r="I369" s="82"/>
      <c r="J369" s="137"/>
    </row>
    <row r="370" spans="2:10" x14ac:dyDescent="0.2">
      <c r="B370" s="186"/>
      <c r="C370" s="136"/>
      <c r="D370" s="82"/>
      <c r="E370" s="82"/>
      <c r="F370" s="82"/>
      <c r="G370" s="82"/>
      <c r="H370" s="82"/>
      <c r="I370" s="82"/>
      <c r="J370" s="137"/>
    </row>
    <row r="371" spans="2:10" x14ac:dyDescent="0.2">
      <c r="B371" s="138" t="s">
        <v>366</v>
      </c>
      <c r="C371" s="136"/>
      <c r="D371" s="82"/>
      <c r="E371" s="82"/>
      <c r="F371" s="82"/>
      <c r="G371" s="82"/>
      <c r="H371" s="82"/>
      <c r="I371" s="82"/>
      <c r="J371" s="137"/>
    </row>
    <row r="372" spans="2:10" x14ac:dyDescent="0.2">
      <c r="B372" s="186"/>
      <c r="C372" s="136"/>
      <c r="D372" s="82"/>
      <c r="E372" s="82"/>
      <c r="F372" s="82"/>
      <c r="G372" s="82"/>
      <c r="H372" s="82"/>
      <c r="I372" s="82"/>
      <c r="J372" s="137"/>
    </row>
    <row r="373" spans="2:10" x14ac:dyDescent="0.2">
      <c r="B373" s="490" t="s">
        <v>367</v>
      </c>
      <c r="C373" s="491"/>
      <c r="D373" s="171">
        <f>D368*(((PI()*D6^2)/4)*(E6))^D369</f>
        <v>52677.098161441048</v>
      </c>
      <c r="E373" s="82"/>
      <c r="F373" s="82"/>
      <c r="G373" s="82"/>
      <c r="H373" s="82"/>
      <c r="I373" s="82"/>
      <c r="J373" s="137"/>
    </row>
    <row r="374" spans="2:10" x14ac:dyDescent="0.2">
      <c r="B374" s="490" t="s">
        <v>198</v>
      </c>
      <c r="C374" s="491"/>
      <c r="D374" s="172">
        <f>'PPI Calculation'!D262</f>
        <v>1.4236060825488774</v>
      </c>
      <c r="E374" s="82"/>
      <c r="F374" s="82"/>
      <c r="G374" s="82"/>
      <c r="H374" s="82"/>
      <c r="I374" s="82"/>
      <c r="J374" s="137"/>
    </row>
    <row r="375" spans="2:10" x14ac:dyDescent="0.2">
      <c r="B375" s="490" t="s">
        <v>324</v>
      </c>
      <c r="C375" s="491"/>
      <c r="D375" s="171">
        <f>D374*D373</f>
        <v>74991.437353651767</v>
      </c>
      <c r="E375" s="82"/>
      <c r="F375" s="82"/>
      <c r="G375" s="82"/>
      <c r="H375" s="82"/>
      <c r="I375" s="82"/>
      <c r="J375" s="137"/>
    </row>
    <row r="376" spans="2:10" x14ac:dyDescent="0.2">
      <c r="B376" s="186"/>
      <c r="C376" s="136"/>
      <c r="D376" s="82"/>
      <c r="E376" s="82"/>
      <c r="F376" s="82"/>
      <c r="G376" s="82"/>
      <c r="H376" s="82"/>
      <c r="I376" s="82"/>
      <c r="J376" s="137"/>
    </row>
    <row r="377" spans="2:10" ht="13.5" thickBot="1" x14ac:dyDescent="0.25">
      <c r="B377" s="230"/>
      <c r="C377" s="161"/>
      <c r="D377" s="163"/>
      <c r="E377" s="163"/>
      <c r="F377" s="163"/>
      <c r="G377" s="163"/>
      <c r="H377" s="163"/>
      <c r="I377" s="163"/>
      <c r="J377" s="164"/>
    </row>
    <row r="378" spans="2:10" ht="13.5" thickTop="1" x14ac:dyDescent="0.2">
      <c r="B378" s="131" t="s">
        <v>368</v>
      </c>
      <c r="C378" s="185"/>
      <c r="D378" s="166"/>
      <c r="E378" s="166"/>
      <c r="F378" s="166"/>
      <c r="G378" s="166"/>
      <c r="H378" s="166"/>
      <c r="I378" s="166"/>
      <c r="J378" s="167"/>
    </row>
    <row r="379" spans="2:10" x14ac:dyDescent="0.2">
      <c r="B379" s="135"/>
      <c r="C379" s="231"/>
      <c r="D379" s="82"/>
      <c r="E379" s="82"/>
      <c r="F379" s="82"/>
      <c r="G379" s="82"/>
      <c r="H379" s="82"/>
      <c r="I379" s="82"/>
      <c r="J379" s="137"/>
    </row>
    <row r="380" spans="2:10" x14ac:dyDescent="0.2">
      <c r="B380" s="492" t="s">
        <v>369</v>
      </c>
      <c r="C380" s="493"/>
      <c r="D380" s="140">
        <v>1.5809999999999999E-5</v>
      </c>
      <c r="E380" s="82"/>
      <c r="F380" s="82"/>
      <c r="G380" s="82"/>
      <c r="H380" s="82"/>
      <c r="I380" s="82"/>
      <c r="J380" s="137"/>
    </row>
    <row r="381" spans="2:10" x14ac:dyDescent="0.2">
      <c r="B381" s="492" t="s">
        <v>370</v>
      </c>
      <c r="C381" s="493"/>
      <c r="D381" s="140">
        <v>-3.7499999999999999E-2</v>
      </c>
      <c r="E381" s="82"/>
      <c r="F381" s="82"/>
      <c r="G381" s="82"/>
      <c r="H381" s="82"/>
      <c r="I381" s="82"/>
      <c r="J381" s="137"/>
    </row>
    <row r="382" spans="2:10" x14ac:dyDescent="0.2">
      <c r="B382" s="492" t="s">
        <v>371</v>
      </c>
      <c r="C382" s="493"/>
      <c r="D382" s="140">
        <v>54.7</v>
      </c>
      <c r="E382" s="82"/>
      <c r="F382" s="82"/>
      <c r="G382" s="82"/>
      <c r="H382" s="82"/>
      <c r="I382" s="82"/>
      <c r="J382" s="137"/>
    </row>
    <row r="383" spans="2:10" x14ac:dyDescent="0.2">
      <c r="B383" s="135"/>
      <c r="C383" s="231"/>
      <c r="D383" s="82"/>
      <c r="E383" s="82"/>
      <c r="F383" s="82"/>
      <c r="G383" s="82"/>
      <c r="H383" s="82"/>
      <c r="I383" s="82"/>
      <c r="J383" s="137"/>
    </row>
    <row r="384" spans="2:10" x14ac:dyDescent="0.2">
      <c r="B384" s="138" t="s">
        <v>372</v>
      </c>
      <c r="C384" s="231"/>
      <c r="D384" s="82"/>
      <c r="E384" s="82"/>
      <c r="F384" s="82"/>
      <c r="G384" s="82"/>
      <c r="H384" s="82"/>
      <c r="I384" s="82"/>
      <c r="J384" s="137"/>
    </row>
    <row r="385" spans="2:10" x14ac:dyDescent="0.2">
      <c r="B385" s="135"/>
      <c r="C385" s="231"/>
      <c r="D385" s="82"/>
      <c r="E385" s="82"/>
      <c r="F385" s="82"/>
      <c r="G385" s="82"/>
      <c r="H385" s="82"/>
      <c r="I385" s="82"/>
      <c r="J385" s="137"/>
    </row>
    <row r="386" spans="2:10" x14ac:dyDescent="0.2">
      <c r="B386" s="138" t="s">
        <v>373</v>
      </c>
      <c r="C386" s="231"/>
      <c r="D386" s="82"/>
      <c r="E386" s="82"/>
      <c r="F386" s="82"/>
      <c r="G386" s="82"/>
      <c r="H386" s="82"/>
      <c r="I386" s="82"/>
      <c r="J386" s="137"/>
    </row>
    <row r="387" spans="2:10" x14ac:dyDescent="0.2">
      <c r="B387" s="135"/>
      <c r="C387" s="231"/>
      <c r="D387" s="82"/>
      <c r="E387" s="82"/>
      <c r="F387" s="82"/>
      <c r="G387" s="82"/>
      <c r="H387" s="82"/>
      <c r="I387" s="82"/>
      <c r="J387" s="137"/>
    </row>
    <row r="388" spans="2:10" x14ac:dyDescent="0.2">
      <c r="B388" s="490" t="s">
        <v>367</v>
      </c>
      <c r="C388" s="491"/>
      <c r="D388" s="171">
        <f>(D380*C6^2+D381*C6+D382)*C6</f>
        <v>51033.75</v>
      </c>
      <c r="E388" s="82"/>
      <c r="F388" s="82"/>
      <c r="G388" s="82"/>
      <c r="H388" s="82"/>
      <c r="I388" s="82"/>
      <c r="J388" s="137"/>
    </row>
    <row r="389" spans="2:10" x14ac:dyDescent="0.2">
      <c r="B389" s="490" t="s">
        <v>198</v>
      </c>
      <c r="C389" s="491"/>
      <c r="D389" s="172">
        <f>'PPI Calculation'!D171</f>
        <v>1.1437670609645132</v>
      </c>
      <c r="E389" s="82"/>
      <c r="F389" s="82"/>
      <c r="G389" s="82"/>
      <c r="H389" s="82"/>
      <c r="I389" s="82"/>
      <c r="J389" s="137"/>
    </row>
    <row r="390" spans="2:10" x14ac:dyDescent="0.2">
      <c r="B390" s="490" t="s">
        <v>324</v>
      </c>
      <c r="C390" s="491"/>
      <c r="D390" s="171">
        <f>D389*D388</f>
        <v>58370.722247497724</v>
      </c>
      <c r="E390" s="82"/>
      <c r="F390" s="82"/>
      <c r="G390" s="82"/>
      <c r="H390" s="82"/>
      <c r="I390" s="82"/>
      <c r="J390" s="137"/>
    </row>
    <row r="391" spans="2:10" ht="13.5" thickBot="1" x14ac:dyDescent="0.25">
      <c r="B391" s="184"/>
      <c r="C391" s="232"/>
      <c r="D391" s="163"/>
      <c r="E391" s="163"/>
      <c r="F391" s="163"/>
      <c r="G391" s="163"/>
      <c r="H391" s="163"/>
      <c r="I391" s="163"/>
      <c r="J391" s="164"/>
    </row>
    <row r="392" spans="2:10" ht="13.5" thickTop="1" x14ac:dyDescent="0.2">
      <c r="B392" s="131" t="s">
        <v>374</v>
      </c>
      <c r="C392" s="185"/>
      <c r="D392" s="166"/>
      <c r="E392" s="166"/>
      <c r="F392" s="166"/>
      <c r="G392" s="166"/>
      <c r="H392" s="166"/>
      <c r="I392" s="166"/>
      <c r="J392" s="167"/>
    </row>
    <row r="393" spans="2:10" x14ac:dyDescent="0.2">
      <c r="B393" s="135"/>
      <c r="C393" s="231"/>
      <c r="D393" s="82"/>
      <c r="E393" s="82"/>
      <c r="F393" s="82"/>
      <c r="G393" s="82"/>
      <c r="H393" s="82"/>
      <c r="I393" s="82"/>
      <c r="J393" s="137"/>
    </row>
    <row r="394" spans="2:10" x14ac:dyDescent="0.2">
      <c r="B394" s="492" t="s">
        <v>375</v>
      </c>
      <c r="C394" s="493"/>
      <c r="D394" s="233">
        <v>2.17E-6</v>
      </c>
      <c r="E394" s="82"/>
      <c r="F394" s="82"/>
      <c r="G394" s="82"/>
      <c r="H394" s="82"/>
      <c r="I394" s="82"/>
      <c r="J394" s="137"/>
    </row>
    <row r="395" spans="2:10" x14ac:dyDescent="0.2">
      <c r="B395" s="492" t="s">
        <v>376</v>
      </c>
      <c r="C395" s="493"/>
      <c r="D395" s="140">
        <v>-1.4500000000000001E-2</v>
      </c>
      <c r="E395" s="82"/>
      <c r="F395" s="82"/>
      <c r="G395" s="82"/>
      <c r="H395" s="82"/>
      <c r="I395" s="82"/>
      <c r="J395" s="137"/>
    </row>
    <row r="396" spans="2:10" x14ac:dyDescent="0.2">
      <c r="B396" s="492" t="s">
        <v>377</v>
      </c>
      <c r="C396" s="493"/>
      <c r="D396" s="140">
        <v>69.540000000000006</v>
      </c>
      <c r="E396" s="82"/>
      <c r="F396" s="82"/>
      <c r="G396" s="82"/>
      <c r="H396" s="82"/>
      <c r="I396" s="82"/>
      <c r="J396" s="137"/>
    </row>
    <row r="397" spans="2:10" x14ac:dyDescent="0.2">
      <c r="B397" s="135"/>
      <c r="C397" s="231"/>
      <c r="D397" s="82"/>
      <c r="E397" s="82"/>
      <c r="F397" s="82"/>
      <c r="G397" s="82"/>
      <c r="H397" s="82"/>
      <c r="I397" s="82"/>
      <c r="J397" s="137"/>
    </row>
    <row r="398" spans="2:10" x14ac:dyDescent="0.2">
      <c r="B398" s="138" t="s">
        <v>378</v>
      </c>
      <c r="C398" s="231"/>
      <c r="D398" s="82"/>
      <c r="E398" s="82"/>
      <c r="F398" s="82"/>
      <c r="G398" s="82"/>
      <c r="H398" s="82"/>
      <c r="I398" s="82"/>
      <c r="J398" s="137"/>
    </row>
    <row r="399" spans="2:10" x14ac:dyDescent="0.2">
      <c r="B399" s="135"/>
      <c r="C399" s="231"/>
      <c r="D399" s="82"/>
      <c r="E399" s="82"/>
      <c r="F399" s="82"/>
      <c r="G399" s="82"/>
      <c r="H399" s="82"/>
      <c r="I399" s="82"/>
      <c r="J399" s="137"/>
    </row>
    <row r="400" spans="2:10" x14ac:dyDescent="0.2">
      <c r="B400" s="138" t="s">
        <v>379</v>
      </c>
      <c r="C400" s="231"/>
      <c r="D400" s="82"/>
      <c r="E400" s="82"/>
      <c r="F400" s="82"/>
      <c r="G400" s="82"/>
      <c r="H400" s="82"/>
      <c r="I400" s="82"/>
      <c r="J400" s="137"/>
    </row>
    <row r="401" spans="2:10" x14ac:dyDescent="0.2">
      <c r="B401" s="135"/>
      <c r="C401" s="231"/>
      <c r="D401" s="82"/>
      <c r="E401" s="82"/>
      <c r="F401" s="82"/>
      <c r="G401" s="82"/>
      <c r="H401" s="82"/>
      <c r="I401" s="82"/>
      <c r="J401" s="137"/>
    </row>
    <row r="402" spans="2:10" x14ac:dyDescent="0.2">
      <c r="B402" s="490" t="s">
        <v>380</v>
      </c>
      <c r="C402" s="491"/>
      <c r="D402" s="171">
        <f>(D394*C6^2+D395*C6+D396)*C6</f>
        <v>79008.750000000015</v>
      </c>
      <c r="E402" s="82"/>
      <c r="F402" s="82"/>
      <c r="G402" s="82"/>
      <c r="H402" s="82"/>
      <c r="I402" s="82"/>
      <c r="J402" s="137"/>
    </row>
    <row r="403" spans="2:10" x14ac:dyDescent="0.2">
      <c r="B403" s="490" t="s">
        <v>198</v>
      </c>
      <c r="C403" s="491"/>
      <c r="D403" s="172">
        <f>'PPI Calculation'!D268</f>
        <v>1.5275297619047621</v>
      </c>
      <c r="E403" s="82"/>
      <c r="F403" s="82"/>
      <c r="G403" s="82"/>
      <c r="H403" s="82"/>
      <c r="I403" s="82"/>
      <c r="J403" s="137"/>
    </row>
    <row r="404" spans="2:10" x14ac:dyDescent="0.2">
      <c r="B404" s="490" t="s">
        <v>324</v>
      </c>
      <c r="C404" s="491"/>
      <c r="D404" s="171">
        <f>D403*D402</f>
        <v>120688.2170758929</v>
      </c>
      <c r="E404" s="82"/>
      <c r="F404" s="82"/>
      <c r="G404" s="82"/>
      <c r="H404" s="82"/>
      <c r="I404" s="82"/>
      <c r="J404" s="137"/>
    </row>
    <row r="405" spans="2:10" ht="13.5" thickBot="1" x14ac:dyDescent="0.25">
      <c r="B405" s="184"/>
      <c r="C405" s="232"/>
      <c r="D405" s="163"/>
      <c r="E405" s="163"/>
      <c r="F405" s="163"/>
      <c r="G405" s="163"/>
      <c r="H405" s="163"/>
      <c r="I405" s="163"/>
      <c r="J405" s="164"/>
    </row>
    <row r="406" spans="2:10" ht="13.5" thickTop="1" x14ac:dyDescent="0.2">
      <c r="B406" s="135" t="s">
        <v>381</v>
      </c>
      <c r="C406" s="231"/>
      <c r="D406" s="82"/>
      <c r="E406" s="82"/>
      <c r="F406" s="82"/>
      <c r="G406" s="82"/>
      <c r="H406" s="82"/>
      <c r="I406" s="82"/>
      <c r="J406" s="137"/>
    </row>
    <row r="407" spans="2:10" x14ac:dyDescent="0.2">
      <c r="B407" s="135"/>
      <c r="C407" s="231"/>
      <c r="D407" s="82"/>
      <c r="E407" s="82"/>
      <c r="F407" s="82"/>
      <c r="G407" s="82"/>
      <c r="H407" s="82"/>
      <c r="I407" s="82"/>
      <c r="J407" s="137"/>
    </row>
    <row r="408" spans="2:10" x14ac:dyDescent="0.2">
      <c r="B408" s="492" t="s">
        <v>382</v>
      </c>
      <c r="C408" s="493"/>
      <c r="D408" s="140">
        <v>1.9650000000000001</v>
      </c>
      <c r="E408" s="82"/>
      <c r="F408" s="82"/>
      <c r="G408" s="82"/>
      <c r="H408" s="82"/>
      <c r="I408" s="82"/>
      <c r="J408" s="137"/>
    </row>
    <row r="409" spans="2:10" x14ac:dyDescent="0.2">
      <c r="B409" s="492" t="s">
        <v>383</v>
      </c>
      <c r="C409" s="493"/>
      <c r="D409" s="140">
        <v>1.1736</v>
      </c>
      <c r="E409" s="82"/>
      <c r="F409" s="82"/>
      <c r="G409" s="82"/>
      <c r="H409" s="82"/>
      <c r="I409" s="82"/>
      <c r="J409" s="137"/>
    </row>
    <row r="410" spans="2:10" x14ac:dyDescent="0.2">
      <c r="B410" s="135"/>
      <c r="C410" s="231"/>
      <c r="D410" s="82"/>
      <c r="E410" s="82"/>
      <c r="F410" s="82"/>
      <c r="G410" s="82"/>
      <c r="H410" s="82"/>
      <c r="I410" s="82"/>
      <c r="J410" s="137"/>
    </row>
    <row r="411" spans="2:10" x14ac:dyDescent="0.2">
      <c r="B411" s="138" t="s">
        <v>384</v>
      </c>
      <c r="C411" s="231"/>
      <c r="D411" s="82"/>
      <c r="E411" s="82"/>
      <c r="F411" s="82"/>
      <c r="G411" s="82"/>
      <c r="H411" s="82"/>
      <c r="I411" s="82"/>
      <c r="J411" s="137"/>
    </row>
    <row r="412" spans="2:10" x14ac:dyDescent="0.2">
      <c r="B412" s="135"/>
      <c r="C412" s="231"/>
      <c r="D412" s="82"/>
      <c r="E412" s="82"/>
      <c r="F412" s="82"/>
      <c r="G412" s="82"/>
      <c r="H412" s="82"/>
      <c r="I412" s="82"/>
      <c r="J412" s="137"/>
    </row>
    <row r="413" spans="2:10" x14ac:dyDescent="0.2">
      <c r="B413" s="490" t="s">
        <v>385</v>
      </c>
      <c r="C413" s="491"/>
      <c r="D413" s="171">
        <f>D408*(E6*D6)^D409</f>
        <v>53382.740111749248</v>
      </c>
      <c r="E413" s="82"/>
      <c r="F413" s="82"/>
      <c r="G413" s="82"/>
      <c r="H413" s="82"/>
      <c r="I413" s="82"/>
      <c r="J413" s="137"/>
    </row>
    <row r="414" spans="2:10" x14ac:dyDescent="0.2">
      <c r="B414" s="490" t="s">
        <v>198</v>
      </c>
      <c r="C414" s="491"/>
      <c r="D414" s="172">
        <f>'PPI Calculation'!D183</f>
        <v>1.4236060825488774</v>
      </c>
      <c r="E414" s="82"/>
      <c r="F414" s="82"/>
      <c r="G414" s="82"/>
      <c r="H414" s="82"/>
      <c r="I414" s="82"/>
      <c r="J414" s="137"/>
    </row>
    <row r="415" spans="2:10" x14ac:dyDescent="0.2">
      <c r="B415" s="490" t="s">
        <v>324</v>
      </c>
      <c r="C415" s="491"/>
      <c r="D415" s="171">
        <f>D414*D413</f>
        <v>75995.993526212173</v>
      </c>
      <c r="E415" s="82"/>
      <c r="F415" s="82"/>
      <c r="G415" s="82"/>
      <c r="H415" s="82"/>
      <c r="I415" s="82"/>
      <c r="J415" s="137"/>
    </row>
    <row r="416" spans="2:10" ht="13.5" thickBot="1" x14ac:dyDescent="0.25">
      <c r="B416" s="184"/>
      <c r="C416" s="232"/>
      <c r="D416" s="163"/>
      <c r="E416" s="163"/>
      <c r="F416" s="163"/>
      <c r="G416" s="163"/>
      <c r="H416" s="163"/>
      <c r="I416" s="163"/>
      <c r="J416" s="164"/>
    </row>
    <row r="417" spans="2:10" ht="13.5" thickTop="1" x14ac:dyDescent="0.2">
      <c r="B417" s="131" t="s">
        <v>386</v>
      </c>
      <c r="C417" s="185"/>
      <c r="D417" s="166"/>
      <c r="E417" s="166"/>
      <c r="F417" s="166"/>
      <c r="G417" s="166"/>
      <c r="H417" s="166"/>
      <c r="I417" s="166"/>
      <c r="J417" s="167"/>
    </row>
    <row r="418" spans="2:10" x14ac:dyDescent="0.2">
      <c r="B418" s="135"/>
      <c r="C418" s="231"/>
      <c r="D418" s="82"/>
      <c r="E418" s="82"/>
      <c r="F418" s="82"/>
      <c r="G418" s="82"/>
      <c r="H418" s="82"/>
      <c r="I418" s="82"/>
      <c r="J418" s="137"/>
    </row>
    <row r="419" spans="2:10" x14ac:dyDescent="0.2">
      <c r="B419" s="492" t="s">
        <v>387</v>
      </c>
      <c r="C419" s="493"/>
      <c r="D419" s="233">
        <v>3.49E-6</v>
      </c>
      <c r="E419" s="82"/>
      <c r="F419" s="82"/>
      <c r="G419" s="82"/>
      <c r="H419" s="82"/>
      <c r="I419" s="82"/>
      <c r="J419" s="137"/>
    </row>
    <row r="420" spans="2:10" x14ac:dyDescent="0.2">
      <c r="B420" s="492" t="s">
        <v>388</v>
      </c>
      <c r="C420" s="493"/>
      <c r="D420" s="140">
        <v>-2.2100000000000002E-2</v>
      </c>
      <c r="E420" s="82"/>
      <c r="F420" s="82"/>
      <c r="G420" s="82"/>
      <c r="H420" s="82"/>
      <c r="I420" s="82"/>
      <c r="J420" s="137"/>
    </row>
    <row r="421" spans="2:10" x14ac:dyDescent="0.2">
      <c r="B421" s="492" t="s">
        <v>389</v>
      </c>
      <c r="C421" s="493"/>
      <c r="D421" s="140">
        <v>109.7</v>
      </c>
      <c r="E421" s="82"/>
      <c r="F421" s="82"/>
      <c r="G421" s="82"/>
      <c r="H421" s="82"/>
      <c r="I421" s="82"/>
      <c r="J421" s="137"/>
    </row>
    <row r="422" spans="2:10" x14ac:dyDescent="0.2">
      <c r="B422" s="135"/>
      <c r="C422" s="231"/>
      <c r="D422" s="82"/>
      <c r="E422" s="82"/>
      <c r="F422" s="82"/>
      <c r="G422" s="82"/>
      <c r="H422" s="82"/>
      <c r="I422" s="82"/>
      <c r="J422" s="137"/>
    </row>
    <row r="423" spans="2:10" x14ac:dyDescent="0.2">
      <c r="B423" s="175" t="s">
        <v>390</v>
      </c>
      <c r="C423" s="231"/>
      <c r="D423" s="82"/>
      <c r="E423" s="82"/>
      <c r="F423" s="82"/>
      <c r="G423" s="82"/>
      <c r="H423" s="82"/>
      <c r="I423" s="82"/>
      <c r="J423" s="137"/>
    </row>
    <row r="424" spans="2:10" x14ac:dyDescent="0.2">
      <c r="B424" s="135"/>
      <c r="C424" s="231"/>
      <c r="D424" s="82"/>
      <c r="E424" s="82"/>
      <c r="F424" s="82"/>
      <c r="G424" s="82"/>
      <c r="H424" s="82"/>
      <c r="I424" s="82"/>
      <c r="J424" s="137"/>
    </row>
    <row r="425" spans="2:10" x14ac:dyDescent="0.2">
      <c r="B425" s="138" t="s">
        <v>391</v>
      </c>
      <c r="C425" s="231"/>
      <c r="D425" s="82"/>
      <c r="E425" s="82"/>
      <c r="F425" s="82"/>
      <c r="G425" s="82"/>
      <c r="H425" s="82"/>
      <c r="I425" s="82"/>
      <c r="J425" s="137"/>
    </row>
    <row r="426" spans="2:10" x14ac:dyDescent="0.2">
      <c r="B426" s="135"/>
      <c r="C426" s="231"/>
      <c r="D426" s="82"/>
      <c r="E426" s="82"/>
      <c r="F426" s="82"/>
      <c r="G426" s="82"/>
      <c r="H426" s="82"/>
      <c r="I426" s="82"/>
      <c r="J426" s="137"/>
    </row>
    <row r="427" spans="2:10" x14ac:dyDescent="0.2">
      <c r="B427" s="490" t="s">
        <v>392</v>
      </c>
      <c r="C427" s="491"/>
      <c r="D427" s="171">
        <f>(D419*C6^2+D420*C6+D421)*C6</f>
        <v>126603.75</v>
      </c>
      <c r="E427" s="82"/>
      <c r="F427" s="82"/>
      <c r="G427" s="82"/>
      <c r="H427" s="82"/>
      <c r="I427" s="82"/>
      <c r="J427" s="137"/>
    </row>
    <row r="428" spans="2:10" x14ac:dyDescent="0.2">
      <c r="B428" s="490" t="s">
        <v>198</v>
      </c>
      <c r="C428" s="491"/>
      <c r="D428" s="172">
        <f>'PPI Calculation'!D205</f>
        <v>1.6242679536011342</v>
      </c>
      <c r="E428" s="82"/>
      <c r="F428" s="82"/>
      <c r="G428" s="82"/>
      <c r="H428" s="82"/>
      <c r="I428" s="82"/>
      <c r="J428" s="137"/>
    </row>
    <row r="429" spans="2:10" x14ac:dyDescent="0.2">
      <c r="B429" s="490" t="s">
        <v>324</v>
      </c>
      <c r="C429" s="491"/>
      <c r="D429" s="171">
        <f>D428*D427</f>
        <v>205638.41393072958</v>
      </c>
      <c r="E429" s="82"/>
      <c r="F429" s="82"/>
      <c r="G429" s="82"/>
      <c r="H429" s="82"/>
      <c r="I429" s="82"/>
      <c r="J429" s="137"/>
    </row>
    <row r="430" spans="2:10" ht="13.5" thickBot="1" x14ac:dyDescent="0.25">
      <c r="B430" s="184"/>
      <c r="C430" s="232"/>
      <c r="D430" s="163"/>
      <c r="E430" s="163"/>
      <c r="F430" s="163"/>
      <c r="G430" s="163"/>
      <c r="H430" s="163"/>
      <c r="I430" s="163"/>
      <c r="J430" s="164"/>
    </row>
    <row r="431" spans="2:10" ht="13.5" thickTop="1" x14ac:dyDescent="0.2">
      <c r="B431" s="131" t="s">
        <v>393</v>
      </c>
      <c r="C431" s="185"/>
      <c r="D431" s="166"/>
      <c r="E431" s="166"/>
      <c r="F431" s="166"/>
      <c r="G431" s="166"/>
      <c r="H431" s="166"/>
      <c r="I431" s="166"/>
      <c r="J431" s="167"/>
    </row>
    <row r="432" spans="2:10" x14ac:dyDescent="0.2">
      <c r="B432" s="135"/>
      <c r="C432" s="231"/>
      <c r="D432" s="82"/>
      <c r="E432" s="82"/>
      <c r="F432" s="82"/>
      <c r="G432" s="82"/>
      <c r="H432" s="82"/>
      <c r="I432" s="82"/>
      <c r="J432" s="137"/>
    </row>
    <row r="433" spans="2:10" x14ac:dyDescent="0.2">
      <c r="B433" s="492" t="s">
        <v>394</v>
      </c>
      <c r="C433" s="493"/>
      <c r="D433" s="233">
        <v>9.9400000000000009E-4</v>
      </c>
      <c r="E433" s="82"/>
      <c r="F433" s="82"/>
      <c r="G433" s="82"/>
      <c r="H433" s="82"/>
      <c r="I433" s="82"/>
      <c r="J433" s="137"/>
    </row>
    <row r="434" spans="2:10" x14ac:dyDescent="0.2">
      <c r="B434" s="492" t="s">
        <v>395</v>
      </c>
      <c r="C434" s="493"/>
      <c r="D434" s="225">
        <v>20.309999999999999</v>
      </c>
      <c r="E434" s="82"/>
      <c r="F434" s="82"/>
      <c r="G434" s="82"/>
      <c r="H434" s="82"/>
      <c r="I434" s="82"/>
      <c r="J434" s="137"/>
    </row>
    <row r="435" spans="2:10" x14ac:dyDescent="0.2">
      <c r="B435" s="135"/>
      <c r="C435" s="231"/>
      <c r="D435" s="82"/>
      <c r="E435" s="82"/>
      <c r="F435" s="82"/>
      <c r="G435" s="82"/>
      <c r="H435" s="82"/>
      <c r="I435" s="82"/>
      <c r="J435" s="137"/>
    </row>
    <row r="436" spans="2:10" x14ac:dyDescent="0.2">
      <c r="B436" s="138" t="s">
        <v>396</v>
      </c>
      <c r="C436" s="231"/>
      <c r="D436" s="82"/>
      <c r="E436" s="82"/>
      <c r="F436" s="82"/>
      <c r="G436" s="82"/>
      <c r="H436" s="82"/>
      <c r="I436" s="82"/>
      <c r="J436" s="137"/>
    </row>
    <row r="437" spans="2:10" x14ac:dyDescent="0.2">
      <c r="B437" s="135"/>
      <c r="C437" s="231"/>
      <c r="D437" s="82"/>
      <c r="E437" s="82"/>
      <c r="F437" s="82"/>
      <c r="G437" s="82"/>
      <c r="H437" s="82"/>
      <c r="I437" s="82"/>
      <c r="J437" s="137"/>
    </row>
    <row r="438" spans="2:10" x14ac:dyDescent="0.2">
      <c r="B438" s="490" t="s">
        <v>397</v>
      </c>
      <c r="C438" s="491"/>
      <c r="D438" s="171">
        <f>D433*C6^2+D434*C6</f>
        <v>32701.499999999996</v>
      </c>
      <c r="E438" s="82"/>
      <c r="F438" s="82"/>
      <c r="G438" s="82"/>
      <c r="H438" s="82"/>
      <c r="I438" s="82"/>
      <c r="J438" s="137"/>
    </row>
    <row r="439" spans="2:10" x14ac:dyDescent="0.2">
      <c r="B439" s="490" t="s">
        <v>198</v>
      </c>
      <c r="C439" s="491"/>
      <c r="D439" s="172">
        <f>'PPI Calculation'!D226</f>
        <v>1.0894071914480077</v>
      </c>
      <c r="E439" s="82"/>
      <c r="F439" s="82"/>
      <c r="G439" s="82"/>
      <c r="H439" s="82"/>
      <c r="I439" s="82"/>
      <c r="J439" s="137"/>
    </row>
    <row r="440" spans="2:10" x14ac:dyDescent="0.2">
      <c r="B440" s="490" t="s">
        <v>324</v>
      </c>
      <c r="C440" s="491"/>
      <c r="D440" s="171">
        <f>D439*D438</f>
        <v>35625.249271137021</v>
      </c>
      <c r="E440" s="82"/>
      <c r="F440" s="82"/>
      <c r="G440" s="82"/>
      <c r="H440" s="82"/>
      <c r="I440" s="82"/>
      <c r="J440" s="137"/>
    </row>
    <row r="441" spans="2:10" ht="13.5" thickBot="1" x14ac:dyDescent="0.25">
      <c r="B441" s="184"/>
      <c r="C441" s="232"/>
      <c r="D441" s="163"/>
      <c r="E441" s="163"/>
      <c r="F441" s="163"/>
      <c r="G441" s="163"/>
      <c r="H441" s="163"/>
      <c r="I441" s="163"/>
      <c r="J441" s="164"/>
    </row>
    <row r="442" spans="2:10" ht="13.5" thickTop="1" x14ac:dyDescent="0.2">
      <c r="B442" s="131" t="s">
        <v>398</v>
      </c>
      <c r="C442" s="185"/>
      <c r="D442" s="166"/>
      <c r="E442" s="166"/>
      <c r="F442" s="166"/>
      <c r="G442" s="166"/>
      <c r="H442" s="166"/>
      <c r="I442" s="166"/>
      <c r="J442" s="167"/>
    </row>
    <row r="443" spans="2:10" x14ac:dyDescent="0.2">
      <c r="B443" s="135"/>
      <c r="C443" s="231"/>
      <c r="D443" s="82"/>
      <c r="E443" s="82"/>
      <c r="F443" s="82"/>
      <c r="G443" s="82"/>
      <c r="H443" s="82"/>
      <c r="I443" s="82"/>
      <c r="J443" s="137"/>
    </row>
    <row r="444" spans="2:10" x14ac:dyDescent="0.2">
      <c r="B444" s="492" t="s">
        <v>399</v>
      </c>
      <c r="C444" s="493"/>
      <c r="D444" s="217">
        <v>10.7</v>
      </c>
      <c r="E444" s="82" t="s">
        <v>400</v>
      </c>
      <c r="F444" s="82"/>
      <c r="G444" s="82"/>
      <c r="H444" s="82"/>
      <c r="I444" s="82"/>
      <c r="J444" s="137"/>
    </row>
    <row r="445" spans="2:10" x14ac:dyDescent="0.2">
      <c r="B445" s="135"/>
      <c r="C445" s="231"/>
      <c r="D445" s="82"/>
      <c r="E445" s="82"/>
      <c r="F445" s="82"/>
      <c r="G445" s="82"/>
      <c r="H445" s="82"/>
      <c r="I445" s="82"/>
      <c r="J445" s="137"/>
    </row>
    <row r="446" spans="2:10" x14ac:dyDescent="0.2">
      <c r="B446" s="138" t="s">
        <v>401</v>
      </c>
      <c r="C446" s="231"/>
      <c r="D446" s="82"/>
      <c r="E446" s="82"/>
      <c r="F446" s="82"/>
      <c r="G446" s="82"/>
      <c r="H446" s="82"/>
      <c r="I446" s="82"/>
      <c r="J446" s="137"/>
    </row>
    <row r="447" spans="2:10" x14ac:dyDescent="0.2">
      <c r="B447" s="135"/>
      <c r="C447" s="231"/>
      <c r="D447" s="82"/>
      <c r="E447" s="82"/>
      <c r="F447" s="82"/>
      <c r="G447" s="82"/>
      <c r="H447" s="82"/>
      <c r="I447" s="82"/>
      <c r="J447" s="137"/>
    </row>
    <row r="448" spans="2:10" x14ac:dyDescent="0.2">
      <c r="B448" s="490" t="s">
        <v>402</v>
      </c>
      <c r="C448" s="491"/>
      <c r="D448" s="171">
        <f>C6*D444</f>
        <v>16049.999999999998</v>
      </c>
      <c r="E448" s="82"/>
      <c r="F448" s="82"/>
      <c r="G448" s="82"/>
      <c r="H448" s="82"/>
      <c r="I448" s="82"/>
      <c r="J448" s="137"/>
    </row>
    <row r="449" spans="2:10" x14ac:dyDescent="0.2">
      <c r="B449" s="490" t="s">
        <v>198</v>
      </c>
      <c r="C449" s="491"/>
      <c r="D449" s="172">
        <f>'PPI Calculation'!D236</f>
        <v>1.0894071914480077</v>
      </c>
      <c r="E449" s="82"/>
      <c r="F449" s="82"/>
      <c r="G449" s="82"/>
      <c r="H449" s="82"/>
      <c r="I449" s="82"/>
      <c r="J449" s="137"/>
    </row>
    <row r="450" spans="2:10" x14ac:dyDescent="0.2">
      <c r="B450" s="490" t="s">
        <v>324</v>
      </c>
      <c r="C450" s="491"/>
      <c r="D450" s="171">
        <f>D449*D448</f>
        <v>17484.985422740523</v>
      </c>
      <c r="E450" s="82"/>
      <c r="F450" s="82"/>
      <c r="G450" s="82"/>
      <c r="H450" s="82"/>
      <c r="I450" s="82"/>
      <c r="J450" s="137"/>
    </row>
    <row r="451" spans="2:10" ht="13.5" thickBot="1" x14ac:dyDescent="0.25">
      <c r="B451" s="184"/>
      <c r="C451" s="232"/>
      <c r="D451" s="163"/>
      <c r="E451" s="163"/>
      <c r="F451" s="163"/>
      <c r="G451" s="163"/>
      <c r="H451" s="163"/>
      <c r="I451" s="163"/>
      <c r="J451" s="164"/>
    </row>
    <row r="452" spans="2:10" ht="13.5" thickTop="1" x14ac:dyDescent="0.2">
      <c r="B452" s="131" t="s">
        <v>403</v>
      </c>
      <c r="C452" s="185"/>
      <c r="D452" s="166"/>
      <c r="E452" s="166"/>
      <c r="F452" s="166"/>
      <c r="G452" s="166"/>
      <c r="H452" s="166"/>
      <c r="I452" s="166"/>
      <c r="J452" s="167"/>
    </row>
    <row r="453" spans="2:10" x14ac:dyDescent="0.2">
      <c r="B453" s="135"/>
      <c r="C453" s="231"/>
      <c r="D453" s="82"/>
      <c r="E453" s="82"/>
      <c r="F453" s="82"/>
      <c r="G453" s="82"/>
      <c r="H453" s="82"/>
      <c r="I453" s="82"/>
      <c r="J453" s="137"/>
    </row>
    <row r="454" spans="2:10" x14ac:dyDescent="0.2">
      <c r="B454" s="492" t="s">
        <v>404</v>
      </c>
      <c r="C454" s="493"/>
      <c r="D454" s="234">
        <v>7.0000000000000001E-3</v>
      </c>
      <c r="E454" s="82" t="s">
        <v>405</v>
      </c>
      <c r="F454" s="82"/>
      <c r="G454" s="82"/>
      <c r="H454" s="82"/>
      <c r="I454" s="82"/>
      <c r="J454" s="137"/>
    </row>
    <row r="455" spans="2:10" x14ac:dyDescent="0.2">
      <c r="B455" s="135"/>
      <c r="C455" s="231"/>
      <c r="D455" s="82"/>
      <c r="E455" s="82"/>
      <c r="F455" s="82"/>
      <c r="G455" s="82"/>
      <c r="H455" s="82"/>
      <c r="I455" s="82"/>
      <c r="J455" s="137"/>
    </row>
    <row r="456" spans="2:10" x14ac:dyDescent="0.2">
      <c r="B456" s="138" t="s">
        <v>406</v>
      </c>
      <c r="C456" s="231"/>
      <c r="D456" s="82"/>
      <c r="E456" s="82"/>
      <c r="F456" s="82"/>
      <c r="G456" s="82"/>
      <c r="H456" s="82"/>
      <c r="I456" s="82"/>
      <c r="J456" s="137"/>
    </row>
    <row r="457" spans="2:10" x14ac:dyDescent="0.2">
      <c r="B457" s="135"/>
      <c r="C457" s="231"/>
      <c r="D457" s="82"/>
      <c r="E457" s="82"/>
      <c r="F457" s="82"/>
      <c r="G457" s="82"/>
      <c r="H457" s="82"/>
      <c r="I457" s="82"/>
      <c r="J457" s="137"/>
    </row>
    <row r="458" spans="2:10" x14ac:dyDescent="0.2">
      <c r="B458" s="490" t="s">
        <v>407</v>
      </c>
      <c r="C458" s="491"/>
      <c r="D458" s="171">
        <f>D454*'Cost Summary'!B65*1000</f>
        <v>32713.539100070426</v>
      </c>
      <c r="E458" s="82"/>
      <c r="F458" s="82"/>
      <c r="G458" s="82"/>
      <c r="H458" s="82"/>
      <c r="I458" s="82"/>
      <c r="J458" s="137"/>
    </row>
    <row r="459" spans="2:10" x14ac:dyDescent="0.2">
      <c r="B459" s="490" t="s">
        <v>198</v>
      </c>
      <c r="C459" s="491"/>
      <c r="D459" s="172">
        <f>'PPI Calculation'!D246</f>
        <v>1.0894071914480077</v>
      </c>
      <c r="E459" s="82"/>
      <c r="F459" s="82"/>
      <c r="G459" s="82"/>
      <c r="H459" s="82"/>
      <c r="I459" s="82"/>
      <c r="J459" s="137"/>
    </row>
    <row r="460" spans="2:10" x14ac:dyDescent="0.2">
      <c r="B460" s="490" t="s">
        <v>324</v>
      </c>
      <c r="C460" s="491"/>
      <c r="D460" s="171">
        <f>D459*D458</f>
        <v>35638.364753332309</v>
      </c>
      <c r="E460" s="82"/>
      <c r="F460" s="82"/>
      <c r="G460" s="82"/>
      <c r="H460" s="82"/>
      <c r="I460" s="82"/>
      <c r="J460" s="137"/>
    </row>
    <row r="461" spans="2:10" ht="13.5" thickBot="1" x14ac:dyDescent="0.25">
      <c r="B461" s="184"/>
      <c r="C461" s="232"/>
      <c r="D461" s="163"/>
      <c r="E461" s="163"/>
      <c r="F461" s="163"/>
      <c r="G461" s="163"/>
      <c r="H461" s="163"/>
      <c r="I461" s="163"/>
      <c r="J461" s="164"/>
    </row>
    <row r="462" spans="2:10" ht="13.5" thickTop="1" x14ac:dyDescent="0.2">
      <c r="B462" s="131" t="s">
        <v>408</v>
      </c>
      <c r="C462" s="185"/>
      <c r="D462" s="166"/>
      <c r="E462" s="166"/>
      <c r="F462" s="166"/>
      <c r="G462" s="166"/>
      <c r="H462" s="166"/>
      <c r="I462" s="166"/>
      <c r="J462" s="167"/>
    </row>
    <row r="463" spans="2:10" x14ac:dyDescent="0.2">
      <c r="B463" s="135"/>
      <c r="C463" s="231"/>
      <c r="D463" s="82"/>
      <c r="E463" s="82"/>
      <c r="F463" s="82"/>
      <c r="G463" s="82"/>
      <c r="H463" s="82"/>
      <c r="I463" s="82"/>
      <c r="J463" s="137"/>
    </row>
    <row r="464" spans="2:10" x14ac:dyDescent="0.2">
      <c r="B464" s="492" t="s">
        <v>409</v>
      </c>
      <c r="C464" s="493"/>
      <c r="D464" s="235">
        <v>1.08E-3</v>
      </c>
      <c r="E464" s="82" t="s">
        <v>405</v>
      </c>
      <c r="F464" s="82"/>
      <c r="G464" s="82"/>
      <c r="H464" s="82"/>
      <c r="I464" s="82"/>
      <c r="J464" s="137"/>
    </row>
    <row r="465" spans="2:10" x14ac:dyDescent="0.2">
      <c r="B465" s="135"/>
      <c r="C465" s="231"/>
      <c r="D465" s="82"/>
      <c r="E465" s="82"/>
      <c r="F465" s="82"/>
      <c r="G465" s="82"/>
      <c r="H465" s="82"/>
      <c r="I465" s="82"/>
      <c r="J465" s="137"/>
    </row>
    <row r="466" spans="2:10" x14ac:dyDescent="0.2">
      <c r="B466" s="138" t="s">
        <v>410</v>
      </c>
      <c r="C466" s="231"/>
      <c r="D466" s="82"/>
      <c r="E466" s="82"/>
      <c r="F466" s="82"/>
      <c r="G466" s="82"/>
      <c r="H466" s="82"/>
      <c r="I466" s="82"/>
      <c r="J466" s="137"/>
    </row>
    <row r="467" spans="2:10" x14ac:dyDescent="0.2">
      <c r="B467" s="135"/>
      <c r="C467" s="231"/>
      <c r="D467" s="82"/>
      <c r="E467" s="82"/>
      <c r="F467" s="82"/>
      <c r="G467" s="82"/>
      <c r="H467" s="82"/>
      <c r="I467" s="82"/>
      <c r="J467" s="137"/>
    </row>
    <row r="468" spans="2:10" x14ac:dyDescent="0.2">
      <c r="B468" s="490" t="s">
        <v>411</v>
      </c>
      <c r="C468" s="491"/>
      <c r="D468" s="171">
        <f>D464*'Cost Summary'!B65*1000</f>
        <v>5047.2317468680085</v>
      </c>
      <c r="E468" s="82"/>
      <c r="F468" s="82"/>
      <c r="G468" s="82"/>
      <c r="H468" s="82"/>
      <c r="I468" s="82"/>
      <c r="J468" s="137"/>
    </row>
    <row r="469" spans="2:10" x14ac:dyDescent="0.2">
      <c r="B469" s="490" t="s">
        <v>198</v>
      </c>
      <c r="C469" s="491"/>
      <c r="D469" s="172">
        <f>'PPI Calculation'!D256</f>
        <v>1.0894071914480077</v>
      </c>
      <c r="E469" s="82"/>
      <c r="F469" s="82"/>
      <c r="G469" s="82"/>
      <c r="H469" s="82"/>
      <c r="I469" s="82"/>
      <c r="J469" s="137"/>
    </row>
    <row r="470" spans="2:10" x14ac:dyDescent="0.2">
      <c r="B470" s="490" t="s">
        <v>324</v>
      </c>
      <c r="C470" s="491"/>
      <c r="D470" s="171">
        <f>D469*D468</f>
        <v>5498.4905619426991</v>
      </c>
      <c r="E470" s="82"/>
      <c r="F470" s="82"/>
      <c r="G470" s="82"/>
      <c r="H470" s="82"/>
      <c r="I470" s="82"/>
      <c r="J470" s="137"/>
    </row>
    <row r="471" spans="2:10" ht="13.5" thickBot="1" x14ac:dyDescent="0.25">
      <c r="B471" s="230"/>
      <c r="C471" s="161"/>
      <c r="D471" s="163"/>
      <c r="E471" s="163"/>
      <c r="F471" s="163"/>
      <c r="G471" s="163"/>
      <c r="H471" s="163"/>
      <c r="I471" s="163"/>
      <c r="J471" s="164"/>
    </row>
    <row r="472" spans="2:10" ht="13.5" thickTop="1" x14ac:dyDescent="0.2">
      <c r="B472" s="236"/>
      <c r="C472" s="136"/>
      <c r="D472" s="82"/>
      <c r="E472" s="82"/>
      <c r="F472" s="82"/>
      <c r="G472" s="82"/>
      <c r="H472" s="82"/>
      <c r="I472" s="82"/>
      <c r="J472" s="82"/>
    </row>
    <row r="473" spans="2:10" ht="13.5" thickBot="1" x14ac:dyDescent="0.25">
      <c r="B473" s="229" t="s">
        <v>412</v>
      </c>
      <c r="C473" s="161"/>
      <c r="D473" s="163"/>
      <c r="E473" s="163"/>
      <c r="F473" s="163"/>
    </row>
    <row r="474" spans="2:10" ht="14.25" thickTop="1" thickBot="1" x14ac:dyDescent="0.25">
      <c r="B474" s="236"/>
      <c r="C474" s="136"/>
      <c r="D474" s="82"/>
      <c r="E474" s="82"/>
      <c r="F474" s="82"/>
    </row>
    <row r="475" spans="2:10" ht="13.5" thickTop="1" x14ac:dyDescent="0.2">
      <c r="B475" s="131" t="s">
        <v>413</v>
      </c>
      <c r="C475" s="165"/>
      <c r="D475" s="166"/>
      <c r="E475" s="166"/>
      <c r="F475" s="166"/>
      <c r="G475" s="166"/>
      <c r="H475" s="166"/>
      <c r="I475" s="166"/>
      <c r="J475" s="167"/>
    </row>
    <row r="476" spans="2:10" x14ac:dyDescent="0.2">
      <c r="B476" s="186"/>
      <c r="C476" s="136"/>
      <c r="D476" s="82"/>
      <c r="E476" s="82"/>
      <c r="F476" s="82"/>
      <c r="G476" s="82"/>
      <c r="H476" s="82"/>
      <c r="I476" s="82"/>
      <c r="J476" s="137"/>
    </row>
    <row r="477" spans="2:10" x14ac:dyDescent="0.2">
      <c r="B477" s="492" t="s">
        <v>414</v>
      </c>
      <c r="C477" s="493"/>
      <c r="D477" s="173">
        <v>0.1</v>
      </c>
      <c r="E477" s="82"/>
      <c r="F477" s="82"/>
      <c r="G477" s="82"/>
      <c r="H477" s="82"/>
      <c r="I477" s="82"/>
      <c r="J477" s="137"/>
    </row>
    <row r="478" spans="2:10" x14ac:dyDescent="0.2">
      <c r="B478" s="186"/>
      <c r="C478" s="136"/>
      <c r="D478" s="82"/>
      <c r="E478" s="82"/>
      <c r="F478" s="82"/>
      <c r="G478" s="82"/>
      <c r="H478" s="82"/>
      <c r="I478" s="82"/>
      <c r="J478" s="137"/>
    </row>
    <row r="479" spans="2:10" x14ac:dyDescent="0.2">
      <c r="B479" s="138" t="s">
        <v>415</v>
      </c>
      <c r="C479" s="136"/>
      <c r="D479" s="82"/>
      <c r="E479" s="82"/>
      <c r="F479" s="82"/>
      <c r="G479" s="82"/>
      <c r="H479" s="82"/>
      <c r="I479" s="82"/>
      <c r="J479" s="137"/>
    </row>
    <row r="480" spans="2:10" x14ac:dyDescent="0.2">
      <c r="B480" s="186"/>
      <c r="C480" s="136"/>
      <c r="D480" s="82"/>
      <c r="E480" s="82"/>
      <c r="F480" s="82"/>
      <c r="G480" s="82"/>
      <c r="H480" s="82"/>
      <c r="I480" s="82"/>
      <c r="J480" s="137"/>
    </row>
    <row r="481" spans="2:10" x14ac:dyDescent="0.2">
      <c r="B481" s="490" t="s">
        <v>324</v>
      </c>
      <c r="C481" s="491"/>
      <c r="D481" s="171">
        <f>D477*('Cost Summary'!B15+'Cost Summary'!B20+'Cost Summary'!B32+'Cost Summary'!B33)*1000</f>
        <v>155122.82326473389</v>
      </c>
      <c r="E481" s="82"/>
      <c r="F481" s="82"/>
      <c r="G481" s="82"/>
      <c r="H481" s="82"/>
      <c r="I481" s="82"/>
      <c r="J481" s="137"/>
    </row>
    <row r="482" spans="2:10" ht="13.5" thickBot="1" x14ac:dyDescent="0.25">
      <c r="B482" s="230"/>
      <c r="C482" s="161"/>
      <c r="D482" s="163"/>
      <c r="E482" s="163"/>
      <c r="F482" s="163"/>
      <c r="G482" s="163"/>
      <c r="H482" s="163"/>
      <c r="I482" s="163"/>
      <c r="J482" s="164"/>
    </row>
    <row r="483" spans="2:10" ht="13.5" thickTop="1" x14ac:dyDescent="0.2">
      <c r="B483" s="131" t="s">
        <v>416</v>
      </c>
      <c r="C483" s="165"/>
      <c r="D483" s="166"/>
      <c r="E483" s="166"/>
      <c r="F483" s="166"/>
      <c r="G483" s="166"/>
      <c r="H483" s="166"/>
      <c r="I483" s="166"/>
      <c r="J483" s="167"/>
    </row>
    <row r="484" spans="2:10" x14ac:dyDescent="0.2">
      <c r="B484" s="186"/>
      <c r="C484" s="136"/>
      <c r="D484" s="82"/>
      <c r="E484" s="82"/>
      <c r="F484" s="82"/>
      <c r="G484" s="82"/>
      <c r="H484" s="82"/>
      <c r="I484" s="82"/>
      <c r="J484" s="137"/>
    </row>
    <row r="485" spans="2:10" x14ac:dyDescent="0.2">
      <c r="B485" s="492" t="s">
        <v>417</v>
      </c>
      <c r="C485" s="493"/>
      <c r="D485" s="205">
        <v>20</v>
      </c>
      <c r="E485" s="82" t="s">
        <v>400</v>
      </c>
      <c r="F485" s="82"/>
      <c r="G485" s="82"/>
      <c r="H485" s="82"/>
      <c r="I485" s="82"/>
      <c r="J485" s="137"/>
    </row>
    <row r="486" spans="2:10" x14ac:dyDescent="0.2">
      <c r="B486" s="186"/>
      <c r="C486" s="136"/>
      <c r="D486" s="82"/>
      <c r="E486" s="82"/>
      <c r="F486" s="82"/>
      <c r="G486" s="82"/>
      <c r="H486" s="82"/>
      <c r="I486" s="82"/>
      <c r="J486" s="137"/>
    </row>
    <row r="487" spans="2:10" x14ac:dyDescent="0.2">
      <c r="B487" s="138" t="s">
        <v>418</v>
      </c>
      <c r="C487" s="136"/>
      <c r="D487" s="82"/>
      <c r="E487" s="82"/>
      <c r="F487" s="82"/>
      <c r="G487" s="82"/>
      <c r="H487" s="82"/>
      <c r="I487" s="82"/>
      <c r="J487" s="137"/>
    </row>
    <row r="488" spans="2:10" x14ac:dyDescent="0.2">
      <c r="B488" s="186"/>
      <c r="C488" s="136"/>
      <c r="D488" s="82"/>
      <c r="E488" s="82"/>
      <c r="F488" s="82"/>
      <c r="G488" s="82"/>
      <c r="H488" s="82"/>
      <c r="I488" s="82"/>
      <c r="J488" s="137"/>
    </row>
    <row r="489" spans="2:10" x14ac:dyDescent="0.2">
      <c r="B489" s="490" t="s">
        <v>419</v>
      </c>
      <c r="C489" s="491"/>
      <c r="D489" s="171">
        <f>D485*C6</f>
        <v>30000</v>
      </c>
      <c r="E489" s="82"/>
      <c r="F489" s="82"/>
      <c r="G489" s="82"/>
      <c r="H489" s="82"/>
      <c r="I489" s="82"/>
      <c r="J489" s="137"/>
    </row>
    <row r="490" spans="2:10" x14ac:dyDescent="0.2">
      <c r="B490" s="490" t="s">
        <v>198</v>
      </c>
      <c r="C490" s="491"/>
      <c r="D490" s="172">
        <f>'PPI Calculation'!D177</f>
        <v>1.4012829650748393</v>
      </c>
      <c r="E490" s="82" t="s">
        <v>420</v>
      </c>
      <c r="F490" s="82"/>
      <c r="G490" s="82"/>
      <c r="H490" s="82"/>
      <c r="I490" s="82"/>
      <c r="J490" s="137"/>
    </row>
    <row r="491" spans="2:10" x14ac:dyDescent="0.2">
      <c r="B491" s="490" t="s">
        <v>324</v>
      </c>
      <c r="C491" s="491"/>
      <c r="D491" s="171">
        <f>D490*D489</f>
        <v>42038.488952245178</v>
      </c>
      <c r="E491" s="82"/>
      <c r="F491" s="82"/>
      <c r="G491" s="82"/>
      <c r="H491" s="82"/>
      <c r="I491" s="82"/>
      <c r="J491" s="137"/>
    </row>
    <row r="492" spans="2:10" ht="13.5" thickBot="1" x14ac:dyDescent="0.25">
      <c r="B492" s="230"/>
      <c r="C492" s="161"/>
      <c r="D492" s="163"/>
      <c r="E492" s="163"/>
      <c r="F492" s="163"/>
      <c r="G492" s="163"/>
      <c r="H492" s="163"/>
      <c r="I492" s="163"/>
      <c r="J492" s="164"/>
    </row>
    <row r="493" spans="2:10" ht="13.5" thickTop="1" x14ac:dyDescent="0.2">
      <c r="B493" s="131" t="s">
        <v>421</v>
      </c>
      <c r="C493" s="165"/>
      <c r="D493" s="166"/>
      <c r="E493" s="166"/>
      <c r="F493" s="166"/>
      <c r="G493" s="166"/>
      <c r="H493" s="166"/>
      <c r="I493" s="166"/>
      <c r="J493" s="167"/>
    </row>
    <row r="494" spans="2:10" x14ac:dyDescent="0.2">
      <c r="B494" s="186"/>
      <c r="C494" s="136"/>
      <c r="D494" s="82"/>
      <c r="E494" s="82"/>
      <c r="F494" s="82"/>
      <c r="G494" s="82"/>
      <c r="H494" s="82"/>
      <c r="I494" s="82"/>
      <c r="J494" s="137"/>
    </row>
    <row r="495" spans="2:10" x14ac:dyDescent="0.2">
      <c r="B495" s="492" t="s">
        <v>422</v>
      </c>
      <c r="C495" s="493"/>
      <c r="D495" s="205">
        <v>37</v>
      </c>
      <c r="E495" s="82" t="s">
        <v>400</v>
      </c>
      <c r="F495" s="82"/>
      <c r="G495" s="82"/>
      <c r="H495" s="82"/>
      <c r="I495" s="82"/>
      <c r="J495" s="137"/>
    </row>
    <row r="496" spans="2:10" x14ac:dyDescent="0.2">
      <c r="B496" s="186"/>
      <c r="C496" s="136"/>
      <c r="D496" s="82"/>
      <c r="E496" s="82"/>
      <c r="F496" s="82"/>
      <c r="G496" s="82"/>
      <c r="H496" s="82"/>
      <c r="I496" s="82"/>
      <c r="J496" s="137"/>
    </row>
    <row r="497" spans="2:10" x14ac:dyDescent="0.2">
      <c r="B497" s="138" t="s">
        <v>423</v>
      </c>
      <c r="C497" s="136"/>
      <c r="D497" s="82"/>
      <c r="E497" s="82"/>
      <c r="F497" s="82"/>
      <c r="G497" s="82"/>
      <c r="H497" s="82"/>
      <c r="I497" s="82"/>
      <c r="J497" s="137"/>
    </row>
    <row r="498" spans="2:10" x14ac:dyDescent="0.2">
      <c r="B498" s="186"/>
      <c r="C498" s="136"/>
      <c r="D498" s="82"/>
      <c r="E498" s="82"/>
      <c r="F498" s="82"/>
      <c r="G498" s="82"/>
      <c r="H498" s="82"/>
      <c r="I498" s="82"/>
      <c r="J498" s="137"/>
    </row>
    <row r="499" spans="2:10" x14ac:dyDescent="0.2">
      <c r="B499" s="490" t="s">
        <v>424</v>
      </c>
      <c r="C499" s="491"/>
      <c r="D499" s="171">
        <f>D495*C6</f>
        <v>55500</v>
      </c>
      <c r="E499" s="82"/>
      <c r="F499" s="82"/>
      <c r="G499" s="82"/>
      <c r="H499" s="82"/>
      <c r="I499" s="82"/>
      <c r="J499" s="137"/>
    </row>
    <row r="500" spans="2:10" x14ac:dyDescent="0.2">
      <c r="B500" s="490" t="s">
        <v>198</v>
      </c>
      <c r="C500" s="491"/>
      <c r="D500" s="172">
        <f>'PPI Calculation'!D231</f>
        <v>1.0635673624288424</v>
      </c>
      <c r="E500" s="82" t="s">
        <v>420</v>
      </c>
      <c r="F500" s="82"/>
      <c r="G500" s="82"/>
      <c r="H500" s="82"/>
      <c r="I500" s="82"/>
      <c r="J500" s="137"/>
    </row>
    <row r="501" spans="2:10" x14ac:dyDescent="0.2">
      <c r="B501" s="490" t="s">
        <v>324</v>
      </c>
      <c r="C501" s="491"/>
      <c r="D501" s="171">
        <f>D500*D499</f>
        <v>59027.988614800757</v>
      </c>
      <c r="E501" s="82"/>
      <c r="F501" s="82"/>
      <c r="G501" s="82"/>
      <c r="H501" s="82"/>
      <c r="I501" s="82"/>
      <c r="J501" s="137"/>
    </row>
    <row r="502" spans="2:10" ht="13.5" thickBot="1" x14ac:dyDescent="0.25">
      <c r="B502" s="230"/>
      <c r="C502" s="161"/>
      <c r="D502" s="163"/>
      <c r="E502" s="163"/>
      <c r="F502" s="163"/>
      <c r="G502" s="163"/>
      <c r="H502" s="163"/>
      <c r="I502" s="163"/>
      <c r="J502" s="164"/>
    </row>
    <row r="503" spans="2:10" ht="13.5" thickTop="1" x14ac:dyDescent="0.2">
      <c r="B503" s="131" t="s">
        <v>425</v>
      </c>
      <c r="C503" s="165"/>
      <c r="D503" s="166"/>
      <c r="E503" s="166"/>
      <c r="F503" s="166"/>
      <c r="G503" s="166"/>
      <c r="H503" s="166"/>
      <c r="I503" s="166"/>
      <c r="J503" s="167"/>
    </row>
    <row r="504" spans="2:10" x14ac:dyDescent="0.2">
      <c r="B504" s="135"/>
      <c r="C504" s="136"/>
      <c r="D504" s="82"/>
      <c r="E504" s="82"/>
      <c r="F504" s="82"/>
      <c r="G504" s="82"/>
      <c r="H504" s="82"/>
      <c r="I504" s="82"/>
      <c r="J504" s="137"/>
    </row>
    <row r="505" spans="2:10" x14ac:dyDescent="0.2">
      <c r="B505" s="492" t="s">
        <v>426</v>
      </c>
      <c r="C505" s="493"/>
      <c r="D505" s="218">
        <v>60000</v>
      </c>
      <c r="E505" s="82" t="s">
        <v>427</v>
      </c>
      <c r="F505" s="82"/>
      <c r="G505" s="82"/>
      <c r="H505" s="82"/>
      <c r="I505" s="82"/>
      <c r="J505" s="137"/>
    </row>
    <row r="506" spans="2:10" x14ac:dyDescent="0.2">
      <c r="B506" s="135"/>
      <c r="C506" s="136"/>
      <c r="D506" s="82"/>
      <c r="E506" s="82"/>
      <c r="F506" s="82"/>
      <c r="G506" s="82"/>
      <c r="H506" s="82"/>
      <c r="I506" s="82"/>
      <c r="J506" s="137"/>
    </row>
    <row r="507" spans="2:10" x14ac:dyDescent="0.2">
      <c r="B507" s="490" t="s">
        <v>428</v>
      </c>
      <c r="C507" s="491"/>
      <c r="D507" s="171">
        <f>D505</f>
        <v>60000</v>
      </c>
      <c r="E507" s="82"/>
      <c r="F507" s="82"/>
      <c r="G507" s="82"/>
      <c r="H507" s="82"/>
      <c r="I507" s="82"/>
      <c r="J507" s="137"/>
    </row>
    <row r="508" spans="2:10" x14ac:dyDescent="0.2">
      <c r="B508" s="490" t="s">
        <v>198</v>
      </c>
      <c r="C508" s="491"/>
      <c r="D508" s="172">
        <f>'PPI Calculation'!D273</f>
        <v>1.0635673624288424</v>
      </c>
      <c r="E508" s="82" t="s">
        <v>420</v>
      </c>
      <c r="F508" s="82"/>
      <c r="G508" s="82"/>
      <c r="H508" s="82"/>
      <c r="I508" s="82"/>
      <c r="J508" s="137"/>
    </row>
    <row r="509" spans="2:10" x14ac:dyDescent="0.2">
      <c r="B509" s="490" t="s">
        <v>324</v>
      </c>
      <c r="C509" s="491"/>
      <c r="D509" s="171">
        <f>D508*D507</f>
        <v>63814.041745730545</v>
      </c>
      <c r="E509" s="82"/>
      <c r="F509" s="82"/>
      <c r="G509" s="82"/>
      <c r="H509" s="82"/>
      <c r="I509" s="82"/>
      <c r="J509" s="137"/>
    </row>
    <row r="510" spans="2:10" ht="13.5" thickBot="1" x14ac:dyDescent="0.25">
      <c r="B510" s="184"/>
      <c r="C510" s="161"/>
      <c r="D510" s="163"/>
      <c r="E510" s="163"/>
      <c r="F510" s="163"/>
      <c r="G510" s="163"/>
      <c r="H510" s="163"/>
      <c r="I510" s="163"/>
      <c r="J510" s="164"/>
    </row>
    <row r="511" spans="2:10" ht="13.5" thickTop="1" x14ac:dyDescent="0.2">
      <c r="B511" s="131" t="s">
        <v>429</v>
      </c>
      <c r="C511" s="165"/>
      <c r="D511" s="166"/>
      <c r="E511" s="166"/>
      <c r="F511" s="166"/>
      <c r="G511" s="166"/>
      <c r="H511" s="166"/>
      <c r="I511" s="166"/>
      <c r="J511" s="167"/>
    </row>
    <row r="512" spans="2:10" x14ac:dyDescent="0.2">
      <c r="B512" s="186"/>
      <c r="C512" s="136"/>
      <c r="D512" s="82"/>
      <c r="E512" s="82"/>
      <c r="F512" s="82"/>
      <c r="G512" s="82"/>
      <c r="H512" s="82"/>
      <c r="I512" s="82"/>
      <c r="J512" s="137"/>
    </row>
    <row r="513" spans="2:10" x14ac:dyDescent="0.2">
      <c r="B513" s="492" t="s">
        <v>430</v>
      </c>
      <c r="C513" s="493"/>
      <c r="D513" s="218">
        <v>55</v>
      </c>
      <c r="E513" s="82" t="s">
        <v>431</v>
      </c>
      <c r="F513" s="82"/>
      <c r="G513" s="82"/>
      <c r="H513" s="82"/>
      <c r="I513" s="82"/>
      <c r="J513" s="137"/>
    </row>
    <row r="514" spans="2:10" x14ac:dyDescent="0.2">
      <c r="B514" s="186"/>
      <c r="C514" s="136"/>
      <c r="D514" s="82"/>
      <c r="E514" s="82"/>
      <c r="F514" s="82"/>
      <c r="G514" s="82"/>
      <c r="H514" s="82"/>
      <c r="I514" s="82"/>
      <c r="J514" s="137"/>
    </row>
    <row r="515" spans="2:10" x14ac:dyDescent="0.2">
      <c r="B515" s="138" t="s">
        <v>432</v>
      </c>
      <c r="C515" s="136"/>
      <c r="D515" s="82"/>
      <c r="E515" s="82"/>
      <c r="F515" s="82"/>
      <c r="G515" s="82"/>
      <c r="H515" s="82"/>
      <c r="I515" s="82"/>
      <c r="J515" s="137"/>
    </row>
    <row r="516" spans="2:10" x14ac:dyDescent="0.2">
      <c r="B516" s="186"/>
      <c r="C516" s="136"/>
      <c r="D516" s="82"/>
      <c r="E516" s="82"/>
      <c r="F516" s="82"/>
      <c r="G516" s="82"/>
      <c r="H516" s="82"/>
      <c r="I516" s="82"/>
      <c r="J516" s="137"/>
    </row>
    <row r="517" spans="2:10" x14ac:dyDescent="0.2">
      <c r="B517" s="490" t="s">
        <v>433</v>
      </c>
      <c r="C517" s="491"/>
      <c r="D517" s="171">
        <f>D513*C6</f>
        <v>82500</v>
      </c>
      <c r="E517" s="82"/>
      <c r="F517" s="82"/>
      <c r="G517" s="82"/>
      <c r="H517" s="82"/>
      <c r="I517" s="82"/>
      <c r="J517" s="137"/>
    </row>
    <row r="518" spans="2:10" x14ac:dyDescent="0.2">
      <c r="B518" s="490" t="s">
        <v>198</v>
      </c>
      <c r="C518" s="491"/>
      <c r="D518" s="172">
        <f>'PPI Calculation'!D177</f>
        <v>1.4012829650748393</v>
      </c>
      <c r="E518" s="82" t="s">
        <v>420</v>
      </c>
      <c r="F518" s="82"/>
      <c r="G518" s="82"/>
      <c r="H518" s="82"/>
      <c r="I518" s="82"/>
      <c r="J518" s="137"/>
    </row>
    <row r="519" spans="2:10" x14ac:dyDescent="0.2">
      <c r="B519" s="490" t="s">
        <v>324</v>
      </c>
      <c r="C519" s="491"/>
      <c r="D519" s="171">
        <f>D518*D517</f>
        <v>115605.84461867424</v>
      </c>
      <c r="E519" s="82"/>
      <c r="F519" s="82"/>
      <c r="G519" s="82"/>
      <c r="H519" s="82"/>
      <c r="I519" s="82"/>
      <c r="J519" s="137"/>
    </row>
    <row r="520" spans="2:10" ht="13.5" thickBot="1" x14ac:dyDescent="0.25">
      <c r="B520" s="230"/>
      <c r="C520" s="161"/>
      <c r="D520" s="163"/>
      <c r="E520" s="163"/>
      <c r="F520" s="163"/>
      <c r="G520" s="163"/>
      <c r="H520" s="163"/>
      <c r="I520" s="163"/>
      <c r="J520" s="164"/>
    </row>
    <row r="521" spans="2:10" ht="13.5" thickTop="1" x14ac:dyDescent="0.2">
      <c r="B521" s="131" t="s">
        <v>434</v>
      </c>
      <c r="C521" s="165"/>
      <c r="D521" s="166"/>
      <c r="E521" s="166"/>
      <c r="F521" s="166"/>
      <c r="G521" s="166"/>
      <c r="H521" s="166"/>
      <c r="I521" s="166"/>
      <c r="J521" s="167"/>
    </row>
    <row r="522" spans="2:10" x14ac:dyDescent="0.2">
      <c r="B522" s="186"/>
      <c r="C522" s="136"/>
      <c r="D522" s="82"/>
      <c r="E522" s="82"/>
      <c r="F522" s="82"/>
      <c r="G522" s="82"/>
      <c r="H522" s="82"/>
      <c r="I522" s="82"/>
      <c r="J522" s="137"/>
    </row>
    <row r="523" spans="2:10" x14ac:dyDescent="0.2">
      <c r="B523" s="492" t="s">
        <v>435</v>
      </c>
      <c r="C523" s="493"/>
      <c r="D523" s="173">
        <v>0.03</v>
      </c>
      <c r="E523" s="82"/>
      <c r="F523" s="82"/>
      <c r="G523" s="82"/>
      <c r="H523" s="82"/>
      <c r="I523" s="82"/>
      <c r="J523" s="137"/>
    </row>
    <row r="524" spans="2:10" x14ac:dyDescent="0.2">
      <c r="B524" s="186"/>
      <c r="C524" s="136"/>
      <c r="D524" s="82"/>
      <c r="E524" s="82"/>
      <c r="F524" s="82"/>
      <c r="G524" s="82"/>
      <c r="H524" s="82"/>
      <c r="I524" s="82"/>
      <c r="J524" s="137"/>
    </row>
    <row r="525" spans="2:10" x14ac:dyDescent="0.2">
      <c r="B525" s="138" t="s">
        <v>436</v>
      </c>
      <c r="C525" s="136"/>
      <c r="D525" s="82"/>
      <c r="E525" s="82"/>
      <c r="F525" s="82"/>
      <c r="G525" s="82"/>
      <c r="H525" s="82"/>
      <c r="I525" s="82"/>
      <c r="J525" s="137"/>
    </row>
    <row r="526" spans="2:10" x14ac:dyDescent="0.2">
      <c r="B526" s="186"/>
      <c r="C526" s="136"/>
      <c r="D526" s="82"/>
      <c r="E526" s="82"/>
      <c r="F526" s="82"/>
      <c r="G526" s="82"/>
      <c r="H526" s="82"/>
      <c r="I526" s="82"/>
      <c r="J526" s="137"/>
    </row>
    <row r="527" spans="2:10" x14ac:dyDescent="0.2">
      <c r="B527" s="490" t="s">
        <v>437</v>
      </c>
      <c r="C527" s="494"/>
      <c r="D527" s="46">
        <f>D523*('Cost Summary'!B35+SUM('Cost Summary'!B37:B46))*1000</f>
        <v>63676.147981573798</v>
      </c>
      <c r="E527" s="82"/>
      <c r="F527" s="82"/>
      <c r="G527" s="82"/>
      <c r="H527" s="82"/>
      <c r="I527" s="82"/>
      <c r="J527" s="137"/>
    </row>
    <row r="528" spans="2:10" ht="13.5" thickBot="1" x14ac:dyDescent="0.25">
      <c r="B528" s="230"/>
      <c r="C528" s="161"/>
      <c r="D528" s="163"/>
      <c r="E528" s="163"/>
      <c r="F528" s="163"/>
      <c r="G528" s="163"/>
      <c r="H528" s="163"/>
      <c r="I528" s="163"/>
      <c r="J528" s="164"/>
    </row>
    <row r="529" spans="2:10" ht="13.5" thickTop="1" x14ac:dyDescent="0.2">
      <c r="B529" s="131" t="s">
        <v>438</v>
      </c>
      <c r="C529" s="165"/>
      <c r="D529" s="166"/>
      <c r="E529" s="166"/>
      <c r="F529" s="166"/>
      <c r="G529" s="166"/>
      <c r="H529" s="166"/>
      <c r="I529" s="166"/>
      <c r="J529" s="167"/>
    </row>
    <row r="530" spans="2:10" x14ac:dyDescent="0.2">
      <c r="B530" s="138"/>
      <c r="C530" s="136"/>
      <c r="D530" s="82"/>
      <c r="E530" s="82"/>
      <c r="F530" s="82"/>
      <c r="G530" s="82"/>
      <c r="H530" s="82"/>
      <c r="I530" s="82"/>
      <c r="J530" s="137"/>
    </row>
    <row r="531" spans="2:10" ht="26.25" customHeight="1" x14ac:dyDescent="0.2">
      <c r="B531" s="495" t="s">
        <v>439</v>
      </c>
      <c r="C531" s="496"/>
      <c r="D531" s="173">
        <v>0.15</v>
      </c>
      <c r="E531" s="82"/>
      <c r="F531" s="82"/>
      <c r="G531" s="82"/>
      <c r="H531" s="82"/>
      <c r="I531" s="82"/>
      <c r="J531" s="137"/>
    </row>
    <row r="532" spans="2:10" x14ac:dyDescent="0.2">
      <c r="B532" s="138"/>
      <c r="C532" s="136"/>
      <c r="D532" s="82"/>
      <c r="E532" s="82"/>
      <c r="F532" s="82"/>
      <c r="G532" s="82"/>
      <c r="H532" s="82"/>
      <c r="I532" s="82"/>
      <c r="J532" s="137"/>
    </row>
    <row r="533" spans="2:10" x14ac:dyDescent="0.2">
      <c r="B533" s="138" t="s">
        <v>440</v>
      </c>
      <c r="C533" s="136"/>
      <c r="D533" s="82"/>
      <c r="E533" s="82"/>
      <c r="F533" s="82"/>
      <c r="G533" s="82"/>
      <c r="H533" s="82"/>
      <c r="I533" s="82"/>
      <c r="J533" s="137"/>
    </row>
    <row r="534" spans="2:10" x14ac:dyDescent="0.2">
      <c r="B534" s="138"/>
      <c r="C534" s="136"/>
      <c r="D534" s="82"/>
      <c r="E534" s="82"/>
      <c r="F534" s="82"/>
      <c r="G534" s="82"/>
      <c r="H534" s="82"/>
      <c r="I534" s="82"/>
      <c r="J534" s="137"/>
    </row>
    <row r="535" spans="2:10" x14ac:dyDescent="0.2">
      <c r="B535" s="45" t="s">
        <v>441</v>
      </c>
      <c r="C535" s="188"/>
      <c r="D535" s="171">
        <f>D531*('Cost Summary'!B15+'Cost Summary'!B20+'Cost Summary'!B32+'Cost Summary'!B33)*1000</f>
        <v>232684.2348971008</v>
      </c>
      <c r="E535" s="82"/>
      <c r="F535" s="82"/>
      <c r="G535" s="82"/>
      <c r="H535" s="82"/>
      <c r="I535" s="82"/>
      <c r="J535" s="137"/>
    </row>
    <row r="536" spans="2:10" ht="13.5" thickBot="1" x14ac:dyDescent="0.25">
      <c r="B536" s="160"/>
      <c r="C536" s="161"/>
      <c r="D536" s="163"/>
      <c r="E536" s="163"/>
      <c r="F536" s="163"/>
      <c r="G536" s="163"/>
      <c r="H536" s="163"/>
      <c r="I536" s="163"/>
      <c r="J536" s="164"/>
    </row>
    <row r="537" spans="2:10" ht="13.5" thickTop="1" x14ac:dyDescent="0.2">
      <c r="B537" s="131" t="s">
        <v>442</v>
      </c>
      <c r="C537" s="165"/>
      <c r="D537" s="166"/>
      <c r="E537" s="166"/>
      <c r="F537" s="166"/>
      <c r="G537" s="166"/>
      <c r="H537" s="166"/>
      <c r="I537" s="166"/>
      <c r="J537" s="167"/>
    </row>
    <row r="538" spans="2:10" x14ac:dyDescent="0.2">
      <c r="B538" s="135"/>
      <c r="C538" s="231"/>
      <c r="D538" s="82"/>
      <c r="E538" s="82"/>
      <c r="F538" s="82"/>
      <c r="G538" s="82"/>
      <c r="H538" s="82"/>
      <c r="I538" s="82"/>
      <c r="J538" s="137"/>
    </row>
    <row r="539" spans="2:10" x14ac:dyDescent="0.2">
      <c r="B539" s="492" t="s">
        <v>399</v>
      </c>
      <c r="C539" s="493"/>
      <c r="D539" s="218">
        <v>17</v>
      </c>
      <c r="E539" s="82" t="s">
        <v>443</v>
      </c>
      <c r="F539" s="82"/>
      <c r="G539" s="82"/>
      <c r="H539" s="82"/>
      <c r="I539" s="82"/>
      <c r="J539" s="137"/>
    </row>
    <row r="540" spans="2:10" x14ac:dyDescent="0.2">
      <c r="B540" s="135"/>
      <c r="C540" s="231"/>
      <c r="D540" s="82"/>
      <c r="E540" s="82"/>
      <c r="F540" s="82"/>
      <c r="G540" s="82"/>
      <c r="H540" s="82"/>
      <c r="I540" s="82"/>
      <c r="J540" s="137"/>
    </row>
    <row r="541" spans="2:10" x14ac:dyDescent="0.2">
      <c r="B541" s="138" t="s">
        <v>401</v>
      </c>
      <c r="C541" s="231"/>
      <c r="D541" s="82"/>
      <c r="E541" s="82"/>
      <c r="F541" s="82"/>
      <c r="G541" s="82"/>
      <c r="H541" s="82"/>
      <c r="I541" s="82"/>
      <c r="J541" s="137"/>
    </row>
    <row r="542" spans="2:10" x14ac:dyDescent="0.2">
      <c r="B542" s="135"/>
      <c r="C542" s="231"/>
      <c r="D542" s="82"/>
      <c r="E542" s="82"/>
      <c r="F542" s="82"/>
      <c r="G542" s="82"/>
      <c r="H542" s="82"/>
      <c r="I542" s="82"/>
      <c r="J542" s="137"/>
    </row>
    <row r="543" spans="2:10" x14ac:dyDescent="0.2">
      <c r="B543" s="490" t="s">
        <v>444</v>
      </c>
      <c r="C543" s="491"/>
      <c r="D543" s="171">
        <f>D539*C6</f>
        <v>25500</v>
      </c>
      <c r="E543" s="82"/>
      <c r="F543" s="82"/>
      <c r="G543" s="82"/>
      <c r="H543" s="82"/>
      <c r="I543" s="82"/>
      <c r="J543" s="137"/>
    </row>
    <row r="544" spans="2:10" x14ac:dyDescent="0.2">
      <c r="B544" s="490" t="s">
        <v>198</v>
      </c>
      <c r="C544" s="491"/>
      <c r="D544" s="172">
        <f>'PPI Calculation'!D241</f>
        <v>1.0635673624288424</v>
      </c>
      <c r="E544" s="82"/>
      <c r="F544" s="82"/>
      <c r="G544" s="82"/>
      <c r="H544" s="82"/>
      <c r="I544" s="82"/>
      <c r="J544" s="137"/>
    </row>
    <row r="545" spans="2:10" x14ac:dyDescent="0.2">
      <c r="B545" s="490" t="s">
        <v>324</v>
      </c>
      <c r="C545" s="491"/>
      <c r="D545" s="171">
        <f>D544*D543</f>
        <v>27120.967741935481</v>
      </c>
      <c r="E545" s="82"/>
      <c r="F545" s="82"/>
      <c r="G545" s="82"/>
      <c r="H545" s="82"/>
      <c r="I545" s="82"/>
      <c r="J545" s="137"/>
    </row>
    <row r="546" spans="2:10" ht="13.5" thickBot="1" x14ac:dyDescent="0.25">
      <c r="B546" s="184"/>
      <c r="C546" s="232"/>
      <c r="D546" s="163"/>
      <c r="E546" s="163"/>
      <c r="F546" s="163"/>
      <c r="G546" s="163"/>
      <c r="H546" s="163"/>
      <c r="I546" s="163"/>
      <c r="J546" s="164"/>
    </row>
    <row r="547" spans="2:10" ht="13.5" thickTop="1" x14ac:dyDescent="0.2">
      <c r="B547" s="131" t="s">
        <v>445</v>
      </c>
      <c r="C547" s="165"/>
      <c r="D547" s="166"/>
      <c r="E547" s="166"/>
      <c r="F547" s="166"/>
      <c r="G547" s="166"/>
      <c r="H547" s="166"/>
      <c r="I547" s="166"/>
      <c r="J547" s="167"/>
    </row>
    <row r="548" spans="2:10" x14ac:dyDescent="0.2">
      <c r="B548" s="135"/>
      <c r="C548" s="231"/>
      <c r="D548" s="82"/>
      <c r="E548" s="82"/>
      <c r="F548" s="82"/>
      <c r="G548" s="82"/>
      <c r="H548" s="82"/>
      <c r="I548" s="82"/>
      <c r="J548" s="137"/>
    </row>
    <row r="549" spans="2:10" x14ac:dyDescent="0.2">
      <c r="B549" s="492" t="s">
        <v>404</v>
      </c>
      <c r="C549" s="493"/>
      <c r="D549" s="234">
        <v>0.02</v>
      </c>
      <c r="E549" s="82" t="s">
        <v>405</v>
      </c>
      <c r="F549" s="82"/>
      <c r="G549" s="82"/>
      <c r="H549" s="82"/>
      <c r="I549" s="82"/>
      <c r="J549" s="137"/>
    </row>
    <row r="550" spans="2:10" x14ac:dyDescent="0.2">
      <c r="B550" s="135"/>
      <c r="C550" s="231"/>
      <c r="D550" s="82"/>
      <c r="E550" s="82"/>
      <c r="F550" s="82"/>
      <c r="G550" s="82"/>
      <c r="H550" s="82"/>
      <c r="I550" s="82"/>
      <c r="J550" s="137"/>
    </row>
    <row r="551" spans="2:10" x14ac:dyDescent="0.2">
      <c r="B551" s="138" t="s">
        <v>446</v>
      </c>
      <c r="C551" s="231"/>
      <c r="D551" s="82"/>
      <c r="E551" s="82"/>
      <c r="F551" s="82"/>
      <c r="G551" s="82"/>
      <c r="H551" s="82"/>
      <c r="I551" s="82"/>
      <c r="J551" s="137"/>
    </row>
    <row r="552" spans="2:10" x14ac:dyDescent="0.2">
      <c r="B552" s="135"/>
      <c r="C552" s="231"/>
      <c r="D552" s="82"/>
      <c r="E552" s="82"/>
      <c r="F552" s="82"/>
      <c r="G552" s="82"/>
      <c r="H552" s="82"/>
      <c r="I552" s="82"/>
      <c r="J552" s="137"/>
    </row>
    <row r="553" spans="2:10" x14ac:dyDescent="0.2">
      <c r="B553" s="490" t="s">
        <v>447</v>
      </c>
      <c r="C553" s="491"/>
      <c r="D553" s="171">
        <f>D549*'Cost Summary'!B65*1000</f>
        <v>93467.254571629775</v>
      </c>
      <c r="E553" s="82"/>
      <c r="F553" s="82"/>
      <c r="G553" s="82"/>
      <c r="H553" s="82"/>
      <c r="I553" s="82"/>
      <c r="J553" s="137"/>
    </row>
    <row r="554" spans="2:10" x14ac:dyDescent="0.2">
      <c r="B554" s="490" t="s">
        <v>198</v>
      </c>
      <c r="C554" s="491"/>
      <c r="D554" s="172">
        <f>'PPI Calculation'!D251</f>
        <v>1.0635673624288424</v>
      </c>
      <c r="E554" s="82"/>
      <c r="F554" s="82"/>
      <c r="G554" s="82"/>
      <c r="H554" s="82"/>
      <c r="I554" s="82"/>
      <c r="J554" s="137"/>
    </row>
    <row r="555" spans="2:10" x14ac:dyDescent="0.2">
      <c r="B555" s="490" t="s">
        <v>324</v>
      </c>
      <c r="C555" s="491"/>
      <c r="D555" s="171">
        <f>D554*D553</f>
        <v>99408.721418213448</v>
      </c>
      <c r="E555" s="82"/>
      <c r="F555" s="82"/>
      <c r="G555" s="82"/>
      <c r="H555" s="82"/>
      <c r="I555" s="82"/>
      <c r="J555" s="137"/>
    </row>
    <row r="556" spans="2:10" ht="13.5" thickBot="1" x14ac:dyDescent="0.25">
      <c r="B556" s="184"/>
      <c r="C556" s="232"/>
      <c r="D556" s="163"/>
      <c r="E556" s="163"/>
      <c r="F556" s="163"/>
      <c r="G556" s="163"/>
      <c r="H556" s="163"/>
      <c r="I556" s="163"/>
      <c r="J556" s="164"/>
    </row>
    <row r="557" spans="2:10" ht="13.5" thickTop="1" x14ac:dyDescent="0.2">
      <c r="B557" s="131" t="s">
        <v>448</v>
      </c>
      <c r="C557" s="165"/>
      <c r="D557" s="166"/>
      <c r="E557" s="166"/>
      <c r="F557" s="166"/>
      <c r="G557" s="166"/>
      <c r="H557" s="166"/>
      <c r="I557" s="166"/>
      <c r="J557" s="167"/>
    </row>
    <row r="558" spans="2:10" x14ac:dyDescent="0.2">
      <c r="B558" s="135"/>
      <c r="C558" s="231"/>
      <c r="D558" s="82"/>
      <c r="E558" s="82"/>
      <c r="F558" s="82"/>
      <c r="G558" s="82"/>
      <c r="H558" s="82"/>
      <c r="I558" s="82"/>
      <c r="J558" s="137"/>
    </row>
    <row r="559" spans="2:10" x14ac:dyDescent="0.2">
      <c r="B559" s="492" t="s">
        <v>449</v>
      </c>
      <c r="C559" s="493"/>
      <c r="D559" s="235">
        <v>1.08E-3</v>
      </c>
      <c r="E559" s="82" t="s">
        <v>405</v>
      </c>
      <c r="F559" s="82"/>
      <c r="G559" s="82"/>
      <c r="H559" s="82"/>
      <c r="I559" s="82"/>
      <c r="J559" s="137"/>
    </row>
    <row r="560" spans="2:10" x14ac:dyDescent="0.2">
      <c r="B560" s="135"/>
      <c r="C560" s="231"/>
      <c r="D560" s="82"/>
      <c r="E560" s="82"/>
      <c r="F560" s="82"/>
      <c r="G560" s="82"/>
      <c r="H560" s="82"/>
      <c r="I560" s="82"/>
      <c r="J560" s="137"/>
    </row>
    <row r="561" spans="2:10" x14ac:dyDescent="0.2">
      <c r="B561" s="138" t="s">
        <v>450</v>
      </c>
      <c r="C561" s="231"/>
      <c r="D561" s="82"/>
      <c r="E561" s="82"/>
      <c r="F561" s="82"/>
      <c r="G561" s="82"/>
      <c r="H561" s="82"/>
      <c r="I561" s="82"/>
      <c r="J561" s="137"/>
    </row>
    <row r="562" spans="2:10" x14ac:dyDescent="0.2">
      <c r="B562" s="135"/>
      <c r="C562" s="231"/>
      <c r="D562" s="82"/>
      <c r="E562" s="82"/>
      <c r="F562" s="82"/>
      <c r="G562" s="82"/>
      <c r="H562" s="82"/>
      <c r="I562" s="82"/>
      <c r="J562" s="137"/>
    </row>
    <row r="563" spans="2:10" x14ac:dyDescent="0.2">
      <c r="B563" s="490" t="s">
        <v>411</v>
      </c>
      <c r="C563" s="491"/>
      <c r="D563" s="171">
        <f>D559*'Cost Summary'!B65*1000</f>
        <v>5047.2317468680085</v>
      </c>
      <c r="E563" s="82"/>
      <c r="F563" s="82"/>
      <c r="G563" s="82"/>
      <c r="H563" s="82"/>
      <c r="I563" s="82"/>
      <c r="J563" s="137"/>
    </row>
    <row r="564" spans="2:10" x14ac:dyDescent="0.2">
      <c r="B564" s="490" t="s">
        <v>198</v>
      </c>
      <c r="C564" s="491"/>
      <c r="D564" s="172">
        <f>'PPI Calculation'!D256</f>
        <v>1.0894071914480077</v>
      </c>
      <c r="E564" s="82"/>
      <c r="F564" s="82"/>
      <c r="G564" s="82"/>
      <c r="H564" s="82"/>
      <c r="I564" s="82"/>
      <c r="J564" s="137"/>
    </row>
    <row r="565" spans="2:10" x14ac:dyDescent="0.2">
      <c r="B565" s="490" t="s">
        <v>324</v>
      </c>
      <c r="C565" s="491"/>
      <c r="D565" s="171">
        <f>D564*D563</f>
        <v>5498.4905619426991</v>
      </c>
      <c r="E565" s="82"/>
      <c r="F565" s="82"/>
      <c r="G565" s="82"/>
      <c r="H565" s="82"/>
      <c r="I565" s="82"/>
      <c r="J565" s="137"/>
    </row>
    <row r="566" spans="2:10" ht="13.5" thickBot="1" x14ac:dyDescent="0.25">
      <c r="B566" s="230"/>
      <c r="C566" s="161"/>
      <c r="D566" s="163"/>
      <c r="E566" s="163"/>
      <c r="F566" s="163"/>
      <c r="G566" s="163"/>
      <c r="H566" s="163"/>
      <c r="I566" s="163"/>
      <c r="J566" s="164"/>
    </row>
    <row r="567" spans="2:10" ht="13.5" thickTop="1" x14ac:dyDescent="0.2">
      <c r="B567" s="236"/>
      <c r="C567" s="136"/>
      <c r="D567" s="82"/>
      <c r="E567" s="82"/>
    </row>
    <row r="568" spans="2:10" x14ac:dyDescent="0.2">
      <c r="B568" s="236"/>
      <c r="C568" s="136"/>
      <c r="D568" s="82"/>
      <c r="E568" s="82"/>
    </row>
    <row r="569" spans="2:10" ht="13.5" thickBot="1" x14ac:dyDescent="0.25">
      <c r="B569" s="229" t="s">
        <v>451</v>
      </c>
      <c r="C569" s="161"/>
      <c r="D569" s="163"/>
      <c r="E569" s="163"/>
      <c r="F569" s="163"/>
    </row>
    <row r="570" spans="2:10" ht="14.25" thickTop="1" thickBot="1" x14ac:dyDescent="0.25">
      <c r="B570" s="236"/>
      <c r="C570" s="136"/>
      <c r="D570" s="82"/>
      <c r="E570" s="82"/>
      <c r="F570" s="82"/>
    </row>
    <row r="571" spans="2:10" ht="13.5" thickTop="1" x14ac:dyDescent="0.2">
      <c r="B571" s="131" t="s">
        <v>452</v>
      </c>
      <c r="C571" s="165"/>
      <c r="D571" s="166"/>
      <c r="E571" s="166"/>
      <c r="F571" s="166"/>
      <c r="G571" s="166"/>
      <c r="H571" s="166"/>
      <c r="I571" s="166"/>
      <c r="J571" s="167"/>
    </row>
    <row r="572" spans="2:10" x14ac:dyDescent="0.2">
      <c r="B572" s="135"/>
      <c r="C572" s="136"/>
      <c r="D572" s="82"/>
      <c r="E572" s="82"/>
      <c r="F572" s="82"/>
      <c r="G572" s="82"/>
      <c r="H572" s="82"/>
      <c r="I572" s="82"/>
      <c r="J572" s="137"/>
    </row>
    <row r="573" spans="2:10" x14ac:dyDescent="0.2">
      <c r="B573" s="492" t="s">
        <v>453</v>
      </c>
      <c r="C573" s="493"/>
      <c r="D573" s="218">
        <v>300</v>
      </c>
      <c r="E573" s="82" t="s">
        <v>454</v>
      </c>
      <c r="F573" s="82"/>
      <c r="G573" s="82"/>
      <c r="H573" s="82"/>
      <c r="I573" s="82"/>
      <c r="J573" s="137"/>
    </row>
    <row r="574" spans="2:10" x14ac:dyDescent="0.2">
      <c r="B574" s="135"/>
      <c r="C574" s="136"/>
      <c r="D574" s="82"/>
      <c r="E574" s="82"/>
      <c r="F574" s="82"/>
      <c r="G574" s="82"/>
      <c r="H574" s="82"/>
      <c r="I574" s="82"/>
      <c r="J574" s="137"/>
    </row>
    <row r="575" spans="2:10" x14ac:dyDescent="0.2">
      <c r="B575" s="490" t="s">
        <v>455</v>
      </c>
      <c r="C575" s="491"/>
      <c r="D575" s="171">
        <f>D573*C6</f>
        <v>450000</v>
      </c>
      <c r="E575" s="237" t="s">
        <v>456</v>
      </c>
      <c r="F575" s="82"/>
      <c r="G575" s="82"/>
      <c r="H575" s="82"/>
      <c r="I575" s="82"/>
      <c r="J575" s="137"/>
    </row>
    <row r="576" spans="2:10" x14ac:dyDescent="0.2">
      <c r="B576" s="490" t="s">
        <v>198</v>
      </c>
      <c r="C576" s="491"/>
      <c r="D576" s="172">
        <f>'PPI Calculation'!D165</f>
        <v>1.4012829650748393</v>
      </c>
      <c r="E576" s="82"/>
      <c r="F576" s="82"/>
      <c r="G576" s="82"/>
      <c r="H576" s="82"/>
      <c r="I576" s="82"/>
      <c r="J576" s="137"/>
    </row>
    <row r="577" spans="2:10" x14ac:dyDescent="0.2">
      <c r="B577" s="490" t="s">
        <v>324</v>
      </c>
      <c r="C577" s="491"/>
      <c r="D577" s="171">
        <f>D576*D575</f>
        <v>630577.33428367763</v>
      </c>
      <c r="E577" s="82"/>
      <c r="F577" s="82"/>
      <c r="G577" s="82"/>
      <c r="H577" s="82"/>
      <c r="I577" s="82"/>
      <c r="J577" s="137"/>
    </row>
    <row r="578" spans="2:10" ht="13.5" thickBot="1" x14ac:dyDescent="0.25">
      <c r="B578" s="184"/>
      <c r="C578" s="161"/>
      <c r="D578" s="163"/>
      <c r="E578" s="163"/>
      <c r="F578" s="163"/>
      <c r="G578" s="163"/>
      <c r="H578" s="163"/>
      <c r="I578" s="163"/>
      <c r="J578" s="164"/>
    </row>
    <row r="579" spans="2:10" ht="13.5" thickTop="1" x14ac:dyDescent="0.2">
      <c r="B579" s="131" t="s">
        <v>457</v>
      </c>
      <c r="C579" s="165"/>
      <c r="D579" s="166"/>
      <c r="E579" s="166"/>
      <c r="F579" s="166"/>
      <c r="G579" s="166"/>
      <c r="H579" s="166"/>
      <c r="I579" s="166"/>
      <c r="J579" s="167"/>
    </row>
    <row r="580" spans="2:10" x14ac:dyDescent="0.2">
      <c r="B580" s="135"/>
      <c r="C580" s="136"/>
      <c r="D580" s="82"/>
      <c r="E580" s="82"/>
      <c r="F580" s="82"/>
      <c r="G580" s="82"/>
      <c r="H580" s="82"/>
      <c r="I580" s="82"/>
      <c r="J580" s="137"/>
    </row>
    <row r="581" spans="2:10" x14ac:dyDescent="0.2">
      <c r="B581" s="492" t="s">
        <v>458</v>
      </c>
      <c r="C581" s="493"/>
      <c r="D581" s="218">
        <v>100</v>
      </c>
      <c r="E581" s="82" t="s">
        <v>454</v>
      </c>
      <c r="F581" s="82"/>
      <c r="G581" s="82"/>
      <c r="H581" s="82"/>
      <c r="I581" s="82"/>
      <c r="J581" s="137"/>
    </row>
    <row r="582" spans="2:10" x14ac:dyDescent="0.2">
      <c r="B582" s="135"/>
      <c r="C582" s="136"/>
      <c r="D582" s="82"/>
      <c r="E582" s="82"/>
      <c r="F582" s="82"/>
      <c r="G582" s="82"/>
      <c r="H582" s="82"/>
      <c r="I582" s="82"/>
      <c r="J582" s="137"/>
    </row>
    <row r="583" spans="2:10" x14ac:dyDescent="0.2">
      <c r="B583" s="490" t="s">
        <v>459</v>
      </c>
      <c r="C583" s="491"/>
      <c r="D583" s="171">
        <f>D581*C6</f>
        <v>150000</v>
      </c>
      <c r="E583" s="237" t="s">
        <v>456</v>
      </c>
      <c r="F583" s="82"/>
      <c r="G583" s="82"/>
      <c r="H583" s="82"/>
      <c r="I583" s="82"/>
      <c r="J583" s="137"/>
    </row>
    <row r="584" spans="2:10" x14ac:dyDescent="0.2">
      <c r="B584" s="490" t="s">
        <v>198</v>
      </c>
      <c r="C584" s="491"/>
      <c r="D584" s="172">
        <f>'PPI Calculation'!D189</f>
        <v>1.4012829650748393</v>
      </c>
      <c r="E584" s="82"/>
      <c r="F584" s="82"/>
      <c r="G584" s="82"/>
      <c r="H584" s="82"/>
      <c r="I584" s="82"/>
      <c r="J584" s="137"/>
    </row>
    <row r="585" spans="2:10" x14ac:dyDescent="0.2">
      <c r="B585" s="490" t="s">
        <v>324</v>
      </c>
      <c r="C585" s="491"/>
      <c r="D585" s="171">
        <f>D584*D583</f>
        <v>210192.4447612259</v>
      </c>
      <c r="E585" s="82"/>
      <c r="F585" s="82"/>
      <c r="G585" s="82"/>
      <c r="H585" s="82"/>
      <c r="I585" s="82"/>
      <c r="J585" s="137"/>
    </row>
    <row r="586" spans="2:10" ht="13.5" thickBot="1" x14ac:dyDescent="0.25">
      <c r="B586" s="184"/>
      <c r="C586" s="161"/>
      <c r="D586" s="163"/>
      <c r="E586" s="163"/>
      <c r="F586" s="163"/>
      <c r="G586" s="163"/>
      <c r="H586" s="163"/>
      <c r="I586" s="163"/>
      <c r="J586" s="164"/>
    </row>
    <row r="587" spans="2:10" ht="13.5" thickTop="1" x14ac:dyDescent="0.2">
      <c r="B587" s="131" t="s">
        <v>460</v>
      </c>
      <c r="C587" s="165"/>
      <c r="D587" s="166"/>
      <c r="E587" s="166"/>
      <c r="F587" s="166"/>
      <c r="G587" s="166"/>
      <c r="H587" s="166"/>
      <c r="I587" s="166"/>
      <c r="J587" s="167"/>
    </row>
    <row r="588" spans="2:10" x14ac:dyDescent="0.2">
      <c r="B588" s="135" t="s">
        <v>461</v>
      </c>
      <c r="C588" s="136"/>
      <c r="D588" s="82"/>
      <c r="E588" s="82"/>
      <c r="F588" s="82"/>
      <c r="G588" s="82"/>
      <c r="H588" s="82"/>
      <c r="I588" s="82"/>
      <c r="J588" s="137"/>
    </row>
    <row r="589" spans="2:10" x14ac:dyDescent="0.2">
      <c r="B589" s="492" t="s">
        <v>369</v>
      </c>
      <c r="C589" s="493"/>
      <c r="D589" s="140">
        <v>1.5809999999999999E-5</v>
      </c>
      <c r="E589" s="82"/>
      <c r="F589" s="82"/>
      <c r="G589" s="82"/>
      <c r="H589" s="82"/>
      <c r="I589" s="82"/>
      <c r="J589" s="137"/>
    </row>
    <row r="590" spans="2:10" x14ac:dyDescent="0.2">
      <c r="B590" s="492" t="s">
        <v>370</v>
      </c>
      <c r="C590" s="493"/>
      <c r="D590" s="140">
        <v>-3.7499999999999999E-2</v>
      </c>
      <c r="E590" s="82"/>
      <c r="F590" s="82"/>
      <c r="G590" s="82"/>
      <c r="H590" s="82"/>
      <c r="I590" s="82"/>
      <c r="J590" s="137"/>
    </row>
    <row r="591" spans="2:10" x14ac:dyDescent="0.2">
      <c r="B591" s="492" t="s">
        <v>371</v>
      </c>
      <c r="C591" s="493"/>
      <c r="D591" s="140">
        <v>54.7</v>
      </c>
      <c r="E591" s="82"/>
      <c r="F591" s="82"/>
      <c r="G591" s="82"/>
      <c r="H591" s="82"/>
      <c r="I591" s="82"/>
      <c r="J591" s="137"/>
    </row>
    <row r="592" spans="2:10" x14ac:dyDescent="0.2">
      <c r="B592" s="135"/>
      <c r="C592" s="231"/>
      <c r="D592" s="82"/>
      <c r="E592" s="82"/>
      <c r="F592" s="82"/>
      <c r="G592" s="82"/>
      <c r="H592" s="82"/>
      <c r="I592" s="82"/>
      <c r="J592" s="137"/>
    </row>
    <row r="593" spans="2:10" x14ac:dyDescent="0.2">
      <c r="B593" s="138" t="s">
        <v>372</v>
      </c>
      <c r="C593" s="231"/>
      <c r="D593" s="82"/>
      <c r="E593" s="82"/>
      <c r="F593" s="82"/>
      <c r="G593" s="82"/>
      <c r="H593" s="82"/>
      <c r="I593" s="82"/>
      <c r="J593" s="137"/>
    </row>
    <row r="594" spans="2:10" x14ac:dyDescent="0.2">
      <c r="B594" s="135"/>
      <c r="C594" s="231"/>
      <c r="D594" s="82"/>
      <c r="E594" s="82"/>
      <c r="F594" s="82"/>
      <c r="G594" s="82"/>
      <c r="H594" s="82"/>
      <c r="I594" s="82"/>
      <c r="J594" s="137"/>
    </row>
    <row r="595" spans="2:10" x14ac:dyDescent="0.2">
      <c r="B595" s="138" t="s">
        <v>462</v>
      </c>
      <c r="C595" s="231"/>
      <c r="D595" s="82"/>
      <c r="E595" s="82"/>
      <c r="F595" s="82"/>
      <c r="G595" s="82"/>
      <c r="H595" s="82"/>
      <c r="I595" s="82"/>
      <c r="J595" s="137"/>
    </row>
    <row r="596" spans="2:10" x14ac:dyDescent="0.2">
      <c r="B596" s="135"/>
      <c r="C596" s="231"/>
      <c r="D596" s="82"/>
      <c r="E596" s="82"/>
      <c r="F596" s="82"/>
      <c r="G596" s="82"/>
      <c r="H596" s="82"/>
      <c r="I596" s="82"/>
      <c r="J596" s="137"/>
    </row>
    <row r="597" spans="2:10" x14ac:dyDescent="0.2">
      <c r="B597" s="490" t="s">
        <v>367</v>
      </c>
      <c r="C597" s="491"/>
      <c r="D597" s="171">
        <f>(D589*C6^2+D590*C6+D591)*C6</f>
        <v>51033.75</v>
      </c>
      <c r="E597" s="82"/>
      <c r="F597" s="82"/>
      <c r="G597" s="82"/>
      <c r="H597" s="82"/>
      <c r="I597" s="82"/>
      <c r="J597" s="137"/>
    </row>
    <row r="598" spans="2:10" x14ac:dyDescent="0.2">
      <c r="B598" s="490" t="s">
        <v>198</v>
      </c>
      <c r="C598" s="491"/>
      <c r="D598" s="172">
        <f>'PPI Calculation'!D171</f>
        <v>1.1437670609645132</v>
      </c>
      <c r="E598" s="82"/>
      <c r="F598" s="82"/>
      <c r="G598" s="82"/>
      <c r="H598" s="82"/>
      <c r="I598" s="82"/>
      <c r="J598" s="137"/>
    </row>
    <row r="599" spans="2:10" x14ac:dyDescent="0.2">
      <c r="B599" s="490" t="s">
        <v>324</v>
      </c>
      <c r="C599" s="491"/>
      <c r="D599" s="171">
        <f>D598*D597</f>
        <v>58370.722247497724</v>
      </c>
      <c r="E599" s="82"/>
      <c r="F599" s="82"/>
      <c r="G599" s="82"/>
      <c r="H599" s="82"/>
      <c r="I599" s="82"/>
      <c r="J599" s="137"/>
    </row>
    <row r="600" spans="2:10" ht="13.5" thickBot="1" x14ac:dyDescent="0.25">
      <c r="B600" s="184"/>
      <c r="C600" s="232"/>
      <c r="D600" s="163"/>
      <c r="E600" s="163"/>
      <c r="F600" s="163"/>
      <c r="G600" s="163"/>
      <c r="H600" s="163"/>
      <c r="I600" s="163"/>
      <c r="J600" s="164"/>
    </row>
    <row r="601" spans="2:10" ht="13.5" thickTop="1" x14ac:dyDescent="0.2">
      <c r="B601" s="131" t="s">
        <v>463</v>
      </c>
      <c r="C601" s="165"/>
      <c r="D601" s="166"/>
      <c r="E601" s="166"/>
      <c r="F601" s="166"/>
      <c r="G601" s="166"/>
      <c r="H601" s="166"/>
      <c r="I601" s="166"/>
      <c r="J601" s="167"/>
    </row>
    <row r="602" spans="2:10" x14ac:dyDescent="0.2">
      <c r="B602" s="135"/>
      <c r="C602" s="136"/>
      <c r="D602" s="82"/>
      <c r="E602" s="82"/>
      <c r="F602" s="82"/>
      <c r="G602" s="82"/>
      <c r="H602" s="82"/>
      <c r="I602" s="82"/>
      <c r="J602" s="137"/>
    </row>
    <row r="603" spans="2:10" x14ac:dyDescent="0.2">
      <c r="B603" s="492" t="s">
        <v>464</v>
      </c>
      <c r="C603" s="493"/>
      <c r="D603" s="218">
        <v>260</v>
      </c>
      <c r="E603" s="82" t="s">
        <v>454</v>
      </c>
      <c r="F603" s="82"/>
      <c r="G603" s="82"/>
      <c r="H603" s="82"/>
      <c r="I603" s="82"/>
      <c r="J603" s="137"/>
    </row>
    <row r="604" spans="2:10" x14ac:dyDescent="0.2">
      <c r="B604" s="135"/>
      <c r="C604" s="136"/>
      <c r="D604" s="82"/>
      <c r="E604" s="82"/>
      <c r="F604" s="82"/>
      <c r="G604" s="82"/>
      <c r="H604" s="82"/>
      <c r="I604" s="82"/>
      <c r="J604" s="137"/>
    </row>
    <row r="605" spans="2:10" x14ac:dyDescent="0.2">
      <c r="B605" s="490" t="s">
        <v>465</v>
      </c>
      <c r="C605" s="491"/>
      <c r="D605" s="171">
        <f>D603*C6</f>
        <v>390000</v>
      </c>
      <c r="E605" s="237" t="s">
        <v>456</v>
      </c>
      <c r="F605" s="82"/>
      <c r="G605" s="82"/>
      <c r="H605" s="82"/>
      <c r="I605" s="82"/>
      <c r="J605" s="137"/>
    </row>
    <row r="606" spans="2:10" x14ac:dyDescent="0.2">
      <c r="B606" s="490" t="s">
        <v>198</v>
      </c>
      <c r="C606" s="491"/>
      <c r="D606" s="172">
        <f>'PPI Calculation'!D221</f>
        <v>1.4704487462024498</v>
      </c>
      <c r="E606" s="82"/>
      <c r="F606" s="82"/>
      <c r="G606" s="82"/>
      <c r="H606" s="82"/>
      <c r="I606" s="82"/>
      <c r="J606" s="137"/>
    </row>
    <row r="607" spans="2:10" x14ac:dyDescent="0.2">
      <c r="B607" s="490" t="s">
        <v>324</v>
      </c>
      <c r="C607" s="491"/>
      <c r="D607" s="171">
        <f>D606*D605</f>
        <v>573475.01101895538</v>
      </c>
      <c r="E607" s="82"/>
      <c r="F607" s="82"/>
      <c r="G607" s="82"/>
      <c r="H607" s="82"/>
      <c r="I607" s="82"/>
      <c r="J607" s="137"/>
    </row>
    <row r="608" spans="2:10" ht="13.5" thickBot="1" x14ac:dyDescent="0.25">
      <c r="B608" s="184"/>
      <c r="C608" s="161"/>
      <c r="D608" s="163"/>
      <c r="E608" s="163"/>
      <c r="F608" s="163"/>
      <c r="G608" s="163"/>
      <c r="H608" s="163"/>
      <c r="I608" s="163"/>
      <c r="J608" s="164"/>
    </row>
    <row r="609" spans="2:10" ht="13.5" thickTop="1" x14ac:dyDescent="0.2">
      <c r="B609" s="238"/>
      <c r="C609" s="27"/>
    </row>
    <row r="610" spans="2:10" x14ac:dyDescent="0.2">
      <c r="B610" s="27"/>
      <c r="C610" s="27"/>
    </row>
    <row r="611" spans="2:10" ht="13.5" thickBot="1" x14ac:dyDescent="0.25">
      <c r="B611" s="229" t="s">
        <v>466</v>
      </c>
      <c r="C611" s="161"/>
      <c r="D611" s="163"/>
      <c r="E611" s="163"/>
      <c r="F611" s="163"/>
    </row>
    <row r="612" spans="2:10" ht="14.25" thickTop="1" thickBot="1" x14ac:dyDescent="0.25">
      <c r="B612" s="236"/>
      <c r="C612" s="136"/>
      <c r="D612" s="82"/>
      <c r="E612" s="82"/>
      <c r="F612" s="82"/>
    </row>
    <row r="613" spans="2:10" ht="13.5" thickTop="1" x14ac:dyDescent="0.2">
      <c r="B613" s="131" t="s">
        <v>467</v>
      </c>
      <c r="C613" s="166"/>
      <c r="D613" s="166"/>
      <c r="E613" s="166"/>
      <c r="F613" s="166"/>
      <c r="G613" s="166"/>
      <c r="H613" s="166"/>
      <c r="I613" s="166"/>
      <c r="J613" s="167"/>
    </row>
    <row r="614" spans="2:10" x14ac:dyDescent="0.2">
      <c r="B614" s="135"/>
      <c r="C614" s="136"/>
      <c r="D614" s="82"/>
      <c r="E614" s="82"/>
      <c r="F614" s="82"/>
      <c r="G614" s="82"/>
      <c r="H614" s="82"/>
      <c r="I614" s="82"/>
      <c r="J614" s="137"/>
    </row>
    <row r="615" spans="2:10" x14ac:dyDescent="0.2">
      <c r="B615" s="492" t="s">
        <v>453</v>
      </c>
      <c r="C615" s="493"/>
      <c r="D615" s="218">
        <v>450</v>
      </c>
      <c r="E615" s="82" t="s">
        <v>454</v>
      </c>
      <c r="F615" s="82"/>
      <c r="G615" s="82"/>
      <c r="H615" s="82"/>
      <c r="I615" s="82"/>
      <c r="J615" s="137"/>
    </row>
    <row r="616" spans="2:10" x14ac:dyDescent="0.2">
      <c r="B616" s="135"/>
      <c r="C616" s="136"/>
      <c r="D616" s="82"/>
      <c r="E616" s="82"/>
      <c r="F616" s="82"/>
      <c r="G616" s="82"/>
      <c r="H616" s="82"/>
      <c r="I616" s="82"/>
      <c r="J616" s="137"/>
    </row>
    <row r="617" spans="2:10" x14ac:dyDescent="0.2">
      <c r="B617" s="490" t="s">
        <v>455</v>
      </c>
      <c r="C617" s="491"/>
      <c r="D617" s="171">
        <f>D615*C6</f>
        <v>675000</v>
      </c>
      <c r="E617" s="237" t="s">
        <v>456</v>
      </c>
      <c r="F617" s="82"/>
      <c r="G617" s="82"/>
      <c r="H617" s="82"/>
      <c r="I617" s="82"/>
      <c r="J617" s="137"/>
    </row>
    <row r="618" spans="2:10" x14ac:dyDescent="0.2">
      <c r="B618" s="490" t="s">
        <v>198</v>
      </c>
      <c r="C618" s="491"/>
      <c r="D618" s="172">
        <f>'PPI Calculation'!D189</f>
        <v>1.4012829650748393</v>
      </c>
      <c r="E618" s="82"/>
      <c r="F618" s="82"/>
      <c r="G618" s="82"/>
      <c r="H618" s="82"/>
      <c r="I618" s="82"/>
      <c r="J618" s="137"/>
    </row>
    <row r="619" spans="2:10" x14ac:dyDescent="0.2">
      <c r="B619" s="490" t="s">
        <v>324</v>
      </c>
      <c r="C619" s="491"/>
      <c r="D619" s="171">
        <f>D618*D617</f>
        <v>945866.00142551656</v>
      </c>
      <c r="E619" s="82"/>
      <c r="F619" s="82"/>
      <c r="G619" s="82"/>
      <c r="H619" s="82"/>
      <c r="I619" s="82"/>
      <c r="J619" s="137"/>
    </row>
    <row r="620" spans="2:10" ht="13.5" thickBot="1" x14ac:dyDescent="0.25">
      <c r="B620" s="184"/>
      <c r="C620" s="161"/>
      <c r="D620" s="163"/>
      <c r="E620" s="163"/>
      <c r="F620" s="163"/>
      <c r="G620" s="163"/>
      <c r="H620" s="163"/>
      <c r="I620" s="163"/>
      <c r="J620" s="164"/>
    </row>
    <row r="621" spans="2:10" ht="13.5" thickTop="1" x14ac:dyDescent="0.2">
      <c r="B621" s="131" t="s">
        <v>468</v>
      </c>
      <c r="C621" s="166"/>
      <c r="D621" s="166"/>
      <c r="E621" s="166"/>
      <c r="F621" s="166"/>
      <c r="G621" s="166"/>
      <c r="H621" s="166"/>
      <c r="I621" s="166"/>
      <c r="J621" s="167"/>
    </row>
    <row r="622" spans="2:10" x14ac:dyDescent="0.2">
      <c r="B622" s="135"/>
      <c r="C622" s="136"/>
      <c r="D622" s="82"/>
      <c r="E622" s="82"/>
      <c r="F622" s="82"/>
      <c r="G622" s="82"/>
      <c r="H622" s="82"/>
      <c r="I622" s="82"/>
      <c r="J622" s="137"/>
    </row>
    <row r="623" spans="2:10" x14ac:dyDescent="0.2">
      <c r="B623" s="492" t="s">
        <v>469</v>
      </c>
      <c r="C623" s="493"/>
      <c r="D623" s="218">
        <v>330</v>
      </c>
      <c r="E623" s="82" t="s">
        <v>454</v>
      </c>
      <c r="F623" s="82"/>
      <c r="G623" s="82"/>
      <c r="H623" s="82"/>
      <c r="I623" s="82"/>
      <c r="J623" s="137"/>
    </row>
    <row r="624" spans="2:10" x14ac:dyDescent="0.2">
      <c r="B624" s="135"/>
      <c r="C624" s="136"/>
      <c r="D624" s="82"/>
      <c r="E624" s="82"/>
      <c r="F624" s="82"/>
      <c r="G624" s="82"/>
      <c r="H624" s="82"/>
      <c r="I624" s="82"/>
      <c r="J624" s="137"/>
    </row>
    <row r="625" spans="2:10" x14ac:dyDescent="0.2">
      <c r="B625" s="490" t="s">
        <v>470</v>
      </c>
      <c r="C625" s="491"/>
      <c r="D625" s="171">
        <f>D623*C6</f>
        <v>495000</v>
      </c>
      <c r="E625" s="237" t="s">
        <v>456</v>
      </c>
      <c r="F625" s="82"/>
      <c r="G625" s="82"/>
      <c r="H625" s="82"/>
      <c r="I625" s="82"/>
      <c r="J625" s="137"/>
    </row>
    <row r="626" spans="2:10" x14ac:dyDescent="0.2">
      <c r="B626" s="490" t="s">
        <v>198</v>
      </c>
      <c r="C626" s="491"/>
      <c r="D626" s="172">
        <f>'PPI Calculation'!D189</f>
        <v>1.4012829650748393</v>
      </c>
      <c r="E626" s="82"/>
      <c r="F626" s="82"/>
      <c r="G626" s="82"/>
      <c r="H626" s="82"/>
      <c r="I626" s="82"/>
      <c r="J626" s="137"/>
    </row>
    <row r="627" spans="2:10" x14ac:dyDescent="0.2">
      <c r="B627" s="490" t="s">
        <v>324</v>
      </c>
      <c r="C627" s="491"/>
      <c r="D627" s="171">
        <f>D626*D625</f>
        <v>693635.06771204551</v>
      </c>
      <c r="E627" s="82"/>
      <c r="F627" s="82"/>
      <c r="G627" s="82"/>
      <c r="H627" s="82"/>
      <c r="I627" s="82"/>
      <c r="J627" s="137"/>
    </row>
    <row r="628" spans="2:10" ht="13.5" thickBot="1" x14ac:dyDescent="0.25">
      <c r="B628" s="184"/>
      <c r="C628" s="161"/>
      <c r="D628" s="163"/>
      <c r="E628" s="163"/>
      <c r="F628" s="163"/>
      <c r="G628" s="163"/>
      <c r="H628" s="163"/>
      <c r="I628" s="163"/>
      <c r="J628" s="164"/>
    </row>
    <row r="629" spans="2:10" ht="13.5" thickTop="1" x14ac:dyDescent="0.2">
      <c r="B629" s="131" t="s">
        <v>471</v>
      </c>
      <c r="C629" s="166"/>
      <c r="D629" s="166"/>
      <c r="E629" s="166"/>
      <c r="F629" s="166"/>
      <c r="G629" s="166"/>
      <c r="H629" s="166"/>
      <c r="I629" s="166"/>
      <c r="J629" s="167"/>
    </row>
    <row r="630" spans="2:10" x14ac:dyDescent="0.2">
      <c r="B630" s="135" t="s">
        <v>472</v>
      </c>
      <c r="C630" s="82"/>
      <c r="D630" s="82"/>
      <c r="E630" s="82"/>
      <c r="F630" s="82"/>
      <c r="G630" s="82"/>
      <c r="H630" s="82"/>
      <c r="I630" s="82"/>
      <c r="J630" s="137"/>
    </row>
    <row r="631" spans="2:10" x14ac:dyDescent="0.2">
      <c r="B631" s="135"/>
      <c r="C631" s="136"/>
      <c r="D631" s="82"/>
      <c r="E631" s="82"/>
      <c r="F631" s="82"/>
      <c r="G631" s="82"/>
      <c r="H631" s="82"/>
      <c r="I631" s="82"/>
      <c r="J631" s="137"/>
    </row>
    <row r="632" spans="2:10" x14ac:dyDescent="0.2">
      <c r="B632" s="492" t="s">
        <v>473</v>
      </c>
      <c r="C632" s="493"/>
      <c r="D632" s="218">
        <v>25</v>
      </c>
      <c r="E632" s="82" t="s">
        <v>454</v>
      </c>
      <c r="F632" s="82"/>
      <c r="G632" s="82"/>
      <c r="H632" s="82"/>
      <c r="I632" s="82"/>
      <c r="J632" s="137"/>
    </row>
    <row r="633" spans="2:10" x14ac:dyDescent="0.2">
      <c r="B633" s="135"/>
      <c r="C633" s="136"/>
      <c r="D633" s="82"/>
      <c r="E633" s="82"/>
      <c r="F633" s="82"/>
      <c r="G633" s="82"/>
      <c r="H633" s="82"/>
      <c r="I633" s="82"/>
      <c r="J633" s="137"/>
    </row>
    <row r="634" spans="2:10" x14ac:dyDescent="0.2">
      <c r="B634" s="490" t="s">
        <v>474</v>
      </c>
      <c r="C634" s="491"/>
      <c r="D634" s="171">
        <f>D632*C6</f>
        <v>37500</v>
      </c>
      <c r="E634" s="237" t="s">
        <v>456</v>
      </c>
      <c r="F634" s="82"/>
      <c r="G634" s="82"/>
      <c r="H634" s="82"/>
      <c r="I634" s="82"/>
      <c r="J634" s="137"/>
    </row>
    <row r="635" spans="2:10" x14ac:dyDescent="0.2">
      <c r="B635" s="490" t="s">
        <v>198</v>
      </c>
      <c r="C635" s="491"/>
      <c r="D635" s="172">
        <f>'PPI Calculation'!D189</f>
        <v>1.4012829650748393</v>
      </c>
      <c r="E635" s="82"/>
      <c r="F635" s="82"/>
      <c r="G635" s="82"/>
      <c r="H635" s="82"/>
      <c r="I635" s="82"/>
      <c r="J635" s="137"/>
    </row>
    <row r="636" spans="2:10" x14ac:dyDescent="0.2">
      <c r="B636" s="490" t="s">
        <v>324</v>
      </c>
      <c r="C636" s="491"/>
      <c r="D636" s="171">
        <f>D635*D634</f>
        <v>52548.111190306474</v>
      </c>
      <c r="E636" s="82"/>
      <c r="F636" s="82"/>
      <c r="G636" s="82"/>
      <c r="H636" s="82"/>
      <c r="I636" s="82"/>
      <c r="J636" s="137"/>
    </row>
    <row r="637" spans="2:10" ht="13.5" thickBot="1" x14ac:dyDescent="0.25">
      <c r="B637" s="184"/>
      <c r="C637" s="161"/>
      <c r="D637" s="163"/>
      <c r="E637" s="163"/>
      <c r="F637" s="163"/>
      <c r="G637" s="163"/>
      <c r="H637" s="163"/>
      <c r="I637" s="163"/>
      <c r="J637" s="164"/>
    </row>
    <row r="638" spans="2:10" ht="13.5" thickTop="1" x14ac:dyDescent="0.2">
      <c r="B638" s="131" t="s">
        <v>475</v>
      </c>
      <c r="C638" s="166"/>
      <c r="D638" s="166"/>
      <c r="E638" s="166"/>
      <c r="F638" s="166"/>
      <c r="G638" s="166"/>
      <c r="H638" s="166"/>
      <c r="I638" s="166"/>
      <c r="J638" s="167"/>
    </row>
    <row r="639" spans="2:10" x14ac:dyDescent="0.2">
      <c r="B639" s="135" t="s">
        <v>476</v>
      </c>
      <c r="C639" s="82"/>
      <c r="D639" s="82"/>
      <c r="E639" s="82"/>
      <c r="F639" s="82"/>
      <c r="G639" s="82"/>
      <c r="H639" s="82"/>
      <c r="I639" s="82"/>
      <c r="J639" s="137"/>
    </row>
    <row r="640" spans="2:10" x14ac:dyDescent="0.2">
      <c r="B640" s="135"/>
      <c r="C640" s="136"/>
      <c r="D640" s="82"/>
      <c r="E640" s="82"/>
      <c r="F640" s="82"/>
      <c r="G640" s="82"/>
      <c r="H640" s="82"/>
      <c r="I640" s="82"/>
      <c r="J640" s="137"/>
    </row>
    <row r="641" spans="2:10" x14ac:dyDescent="0.2">
      <c r="B641" s="492" t="s">
        <v>477</v>
      </c>
      <c r="C641" s="493"/>
      <c r="D641" s="218">
        <v>77</v>
      </c>
      <c r="E641" s="82" t="s">
        <v>478</v>
      </c>
      <c r="F641" s="82"/>
      <c r="G641" s="82"/>
      <c r="H641" s="82"/>
      <c r="I641" s="82"/>
      <c r="J641" s="137"/>
    </row>
    <row r="642" spans="2:10" x14ac:dyDescent="0.2">
      <c r="B642" s="135"/>
      <c r="C642" s="136"/>
      <c r="D642" s="82"/>
      <c r="E642" s="82"/>
      <c r="F642" s="82"/>
      <c r="G642" s="82"/>
      <c r="H642" s="82"/>
      <c r="I642" s="82"/>
      <c r="J642" s="137"/>
    </row>
    <row r="643" spans="2:10" x14ac:dyDescent="0.2">
      <c r="B643" s="490" t="s">
        <v>474</v>
      </c>
      <c r="C643" s="491"/>
      <c r="D643" s="171">
        <f>D641*C6</f>
        <v>115500</v>
      </c>
      <c r="E643" s="237" t="s">
        <v>479</v>
      </c>
      <c r="F643" s="82"/>
      <c r="G643" s="82"/>
      <c r="H643" s="82"/>
      <c r="I643" s="82"/>
      <c r="J643" s="137"/>
    </row>
    <row r="644" spans="2:10" x14ac:dyDescent="0.2">
      <c r="B644" s="490" t="s">
        <v>198</v>
      </c>
      <c r="C644" s="491"/>
      <c r="D644" s="172">
        <f>'PPI Calculation'!D171</f>
        <v>1.1437670609645132</v>
      </c>
      <c r="E644" s="82"/>
      <c r="F644" s="82"/>
      <c r="G644" s="82"/>
      <c r="H644" s="82"/>
      <c r="I644" s="82"/>
      <c r="J644" s="137"/>
    </row>
    <row r="645" spans="2:10" x14ac:dyDescent="0.2">
      <c r="B645" s="490" t="s">
        <v>324</v>
      </c>
      <c r="C645" s="491"/>
      <c r="D645" s="171">
        <f>D644*D643</f>
        <v>132105.09554140127</v>
      </c>
      <c r="E645" s="82"/>
      <c r="F645" s="82"/>
      <c r="G645" s="82"/>
      <c r="H645" s="82"/>
      <c r="I645" s="82"/>
      <c r="J645" s="137"/>
    </row>
    <row r="646" spans="2:10" ht="13.5" thickBot="1" x14ac:dyDescent="0.25">
      <c r="B646" s="184"/>
      <c r="C646" s="161"/>
      <c r="D646" s="163"/>
      <c r="E646" s="163"/>
      <c r="F646" s="163"/>
      <c r="G646" s="163"/>
      <c r="H646" s="163"/>
      <c r="I646" s="163"/>
      <c r="J646" s="164"/>
    </row>
    <row r="647" spans="2:10" ht="13.5" thickTop="1" x14ac:dyDescent="0.2">
      <c r="B647" s="131" t="s">
        <v>480</v>
      </c>
      <c r="C647" s="166"/>
      <c r="D647" s="166"/>
      <c r="E647" s="166"/>
      <c r="F647" s="166"/>
      <c r="G647" s="166"/>
      <c r="H647" s="166"/>
      <c r="I647" s="166"/>
      <c r="J647" s="167"/>
    </row>
    <row r="648" spans="2:10" x14ac:dyDescent="0.2">
      <c r="B648" s="135"/>
      <c r="C648" s="136"/>
      <c r="D648" s="82"/>
      <c r="E648" s="82"/>
      <c r="F648" s="82"/>
      <c r="G648" s="82"/>
      <c r="H648" s="82"/>
      <c r="I648" s="82"/>
      <c r="J648" s="137"/>
    </row>
    <row r="649" spans="2:10" x14ac:dyDescent="0.2">
      <c r="B649" s="492" t="s">
        <v>458</v>
      </c>
      <c r="C649" s="493"/>
      <c r="D649" s="218">
        <v>100</v>
      </c>
      <c r="E649" s="82" t="s">
        <v>454</v>
      </c>
      <c r="F649" s="82"/>
      <c r="G649" s="82"/>
      <c r="H649" s="82"/>
      <c r="I649" s="82"/>
      <c r="J649" s="137"/>
    </row>
    <row r="650" spans="2:10" x14ac:dyDescent="0.2">
      <c r="B650" s="135"/>
      <c r="C650" s="136"/>
      <c r="D650" s="82"/>
      <c r="E650" s="82"/>
      <c r="F650" s="82"/>
      <c r="G650" s="82"/>
      <c r="H650" s="82"/>
      <c r="I650" s="82"/>
      <c r="J650" s="137"/>
    </row>
    <row r="651" spans="2:10" x14ac:dyDescent="0.2">
      <c r="B651" s="490" t="s">
        <v>474</v>
      </c>
      <c r="C651" s="491"/>
      <c r="D651" s="171">
        <f>D649*C6</f>
        <v>150000</v>
      </c>
      <c r="E651" s="237" t="s">
        <v>456</v>
      </c>
      <c r="F651" s="82"/>
      <c r="G651" s="82"/>
      <c r="H651" s="82"/>
      <c r="I651" s="82"/>
      <c r="J651" s="137"/>
    </row>
    <row r="652" spans="2:10" x14ac:dyDescent="0.2">
      <c r="B652" s="490" t="s">
        <v>198</v>
      </c>
      <c r="C652" s="491"/>
      <c r="D652" s="172">
        <f>'PPI Calculation'!D189</f>
        <v>1.4012829650748393</v>
      </c>
      <c r="E652" s="82"/>
      <c r="F652" s="82"/>
      <c r="G652" s="82"/>
      <c r="H652" s="82"/>
      <c r="I652" s="82"/>
      <c r="J652" s="137"/>
    </row>
    <row r="653" spans="2:10" x14ac:dyDescent="0.2">
      <c r="B653" s="490" t="s">
        <v>324</v>
      </c>
      <c r="C653" s="491"/>
      <c r="D653" s="171">
        <f>D652*D651</f>
        <v>210192.4447612259</v>
      </c>
      <c r="E653" s="82"/>
      <c r="F653" s="82"/>
      <c r="G653" s="82"/>
      <c r="H653" s="82"/>
      <c r="I653" s="82"/>
      <c r="J653" s="137"/>
    </row>
    <row r="654" spans="2:10" ht="13.5" thickBot="1" x14ac:dyDescent="0.25">
      <c r="B654" s="184"/>
      <c r="C654" s="161"/>
      <c r="D654" s="163"/>
      <c r="E654" s="163"/>
      <c r="F654" s="163"/>
      <c r="G654" s="163"/>
      <c r="H654" s="163"/>
      <c r="I654" s="163"/>
      <c r="J654" s="164"/>
    </row>
    <row r="655" spans="2:10" ht="13.5" thickTop="1" x14ac:dyDescent="0.2">
      <c r="B655" s="131" t="s">
        <v>481</v>
      </c>
      <c r="C655" s="166"/>
      <c r="D655" s="166"/>
      <c r="E655" s="166"/>
      <c r="F655" s="166"/>
      <c r="G655" s="166"/>
      <c r="H655" s="166"/>
      <c r="I655" s="166"/>
      <c r="J655" s="167"/>
    </row>
    <row r="656" spans="2:10" x14ac:dyDescent="0.2">
      <c r="B656" s="135"/>
      <c r="C656" s="136"/>
      <c r="D656" s="82"/>
      <c r="E656" s="82"/>
      <c r="F656" s="82"/>
      <c r="G656" s="82"/>
      <c r="H656" s="82"/>
      <c r="I656" s="82"/>
      <c r="J656" s="137"/>
    </row>
    <row r="657" spans="2:10" x14ac:dyDescent="0.2">
      <c r="B657" s="492" t="s">
        <v>482</v>
      </c>
      <c r="C657" s="493"/>
      <c r="D657" s="218">
        <v>290</v>
      </c>
      <c r="E657" s="82" t="s">
        <v>454</v>
      </c>
      <c r="F657" s="82"/>
      <c r="G657" s="82"/>
      <c r="H657" s="82"/>
      <c r="I657" s="82"/>
      <c r="J657" s="137"/>
    </row>
    <row r="658" spans="2:10" x14ac:dyDescent="0.2">
      <c r="B658" s="135"/>
      <c r="C658" s="136"/>
      <c r="D658" s="82"/>
      <c r="E658" s="82"/>
      <c r="F658" s="82"/>
      <c r="G658" s="82"/>
      <c r="H658" s="82"/>
      <c r="I658" s="82"/>
      <c r="J658" s="137"/>
    </row>
    <row r="659" spans="2:10" x14ac:dyDescent="0.2">
      <c r="B659" s="490" t="s">
        <v>465</v>
      </c>
      <c r="C659" s="491"/>
      <c r="D659" s="171">
        <f>D657*C6</f>
        <v>435000</v>
      </c>
      <c r="E659" s="237" t="s">
        <v>456</v>
      </c>
      <c r="F659" s="82"/>
      <c r="G659" s="82"/>
      <c r="H659" s="82"/>
      <c r="I659" s="82"/>
      <c r="J659" s="137"/>
    </row>
    <row r="660" spans="2:10" x14ac:dyDescent="0.2">
      <c r="B660" s="490" t="s">
        <v>198</v>
      </c>
      <c r="C660" s="491"/>
      <c r="D660" s="172">
        <f>'PPI Calculation'!D221</f>
        <v>1.4704487462024498</v>
      </c>
      <c r="E660" s="82"/>
      <c r="F660" s="82"/>
      <c r="G660" s="82"/>
      <c r="H660" s="82"/>
      <c r="I660" s="82"/>
      <c r="J660" s="137"/>
    </row>
    <row r="661" spans="2:10" x14ac:dyDescent="0.2">
      <c r="B661" s="490" t="s">
        <v>324</v>
      </c>
      <c r="C661" s="491"/>
      <c r="D661" s="171">
        <f>D660*D659</f>
        <v>639645.2045980657</v>
      </c>
      <c r="E661" s="82"/>
      <c r="F661" s="82"/>
      <c r="G661" s="82"/>
      <c r="H661" s="82"/>
      <c r="I661" s="82"/>
      <c r="J661" s="137"/>
    </row>
    <row r="662" spans="2:10" ht="13.5" thickBot="1" x14ac:dyDescent="0.25">
      <c r="B662" s="184"/>
      <c r="C662" s="161"/>
      <c r="D662" s="163"/>
      <c r="E662" s="163"/>
      <c r="F662" s="163"/>
      <c r="G662" s="163"/>
      <c r="H662" s="163"/>
      <c r="I662" s="163"/>
      <c r="J662" s="164"/>
    </row>
    <row r="663" spans="2:10" ht="13.5" thickTop="1" x14ac:dyDescent="0.2"/>
  </sheetData>
  <mergeCells count="302">
    <mergeCell ref="B18:C18"/>
    <mergeCell ref="D18:E18"/>
    <mergeCell ref="F18:G18"/>
    <mergeCell ref="B24:J24"/>
    <mergeCell ref="B26:J26"/>
    <mergeCell ref="B28:C28"/>
    <mergeCell ref="G28:I28"/>
    <mergeCell ref="C4:J4"/>
    <mergeCell ref="B10:F10"/>
    <mergeCell ref="B15:C15"/>
    <mergeCell ref="F15:G15"/>
    <mergeCell ref="B16:C16"/>
    <mergeCell ref="F16:G16"/>
    <mergeCell ref="B37:C37"/>
    <mergeCell ref="B43:C43"/>
    <mergeCell ref="B44:C44"/>
    <mergeCell ref="B45:C45"/>
    <mergeCell ref="B46:C46"/>
    <mergeCell ref="B50:C50"/>
    <mergeCell ref="B29:C29"/>
    <mergeCell ref="G29:I29"/>
    <mergeCell ref="B30:C30"/>
    <mergeCell ref="G30:I30"/>
    <mergeCell ref="B34:C34"/>
    <mergeCell ref="B35:C35"/>
    <mergeCell ref="B63:C63"/>
    <mergeCell ref="B64:C64"/>
    <mergeCell ref="B65:C65"/>
    <mergeCell ref="B70:C70"/>
    <mergeCell ref="B71:C71"/>
    <mergeCell ref="B72:C72"/>
    <mergeCell ref="B51:C51"/>
    <mergeCell ref="B53:C53"/>
    <mergeCell ref="B54:C54"/>
    <mergeCell ref="B59:C59"/>
    <mergeCell ref="B60:C60"/>
    <mergeCell ref="B61:C61"/>
    <mergeCell ref="B86:C86"/>
    <mergeCell ref="B87:C87"/>
    <mergeCell ref="B88:C88"/>
    <mergeCell ref="B92:C92"/>
    <mergeCell ref="B93:C93"/>
    <mergeCell ref="B94:C94"/>
    <mergeCell ref="B73:C73"/>
    <mergeCell ref="B77:C77"/>
    <mergeCell ref="B78:C78"/>
    <mergeCell ref="B80:C80"/>
    <mergeCell ref="B82:H82"/>
    <mergeCell ref="B85:C85"/>
    <mergeCell ref="B106:C106"/>
    <mergeCell ref="B107:C107"/>
    <mergeCell ref="B111:C111"/>
    <mergeCell ref="B112:C112"/>
    <mergeCell ref="B113:C113"/>
    <mergeCell ref="B114:C114"/>
    <mergeCell ref="B95:C95"/>
    <mergeCell ref="B96:C96"/>
    <mergeCell ref="B97:C97"/>
    <mergeCell ref="B98:C98"/>
    <mergeCell ref="B99:C99"/>
    <mergeCell ref="B100:C100"/>
    <mergeCell ref="B130:C130"/>
    <mergeCell ref="B131:C131"/>
    <mergeCell ref="B132:C132"/>
    <mergeCell ref="B133:C133"/>
    <mergeCell ref="B134:C134"/>
    <mergeCell ref="B135:C135"/>
    <mergeCell ref="B115:C115"/>
    <mergeCell ref="B116:C116"/>
    <mergeCell ref="B117:C117"/>
    <mergeCell ref="B121:C121"/>
    <mergeCell ref="B122:C122"/>
    <mergeCell ref="B123:C123"/>
    <mergeCell ref="B148:C148"/>
    <mergeCell ref="B149:C149"/>
    <mergeCell ref="B154:C154"/>
    <mergeCell ref="B155:C155"/>
    <mergeCell ref="B156:C156"/>
    <mergeCell ref="B157:C157"/>
    <mergeCell ref="B136:C136"/>
    <mergeCell ref="B137:C137"/>
    <mergeCell ref="B142:C142"/>
    <mergeCell ref="B143:C143"/>
    <mergeCell ref="B144:C144"/>
    <mergeCell ref="B147:C147"/>
    <mergeCell ref="B173:C173"/>
    <mergeCell ref="B178:C178"/>
    <mergeCell ref="B179:C179"/>
    <mergeCell ref="B180:C180"/>
    <mergeCell ref="B183:C183"/>
    <mergeCell ref="B184:C184"/>
    <mergeCell ref="B158:C158"/>
    <mergeCell ref="B159:C159"/>
    <mergeCell ref="B163:C163"/>
    <mergeCell ref="B164:C164"/>
    <mergeCell ref="B170:C170"/>
    <mergeCell ref="B172:C172"/>
    <mergeCell ref="B206:C206"/>
    <mergeCell ref="B207:C207"/>
    <mergeCell ref="B211:C211"/>
    <mergeCell ref="B212:C212"/>
    <mergeCell ref="B214:C214"/>
    <mergeCell ref="B215:C215"/>
    <mergeCell ref="B192:C192"/>
    <mergeCell ref="B193:C193"/>
    <mergeCell ref="B194:C194"/>
    <mergeCell ref="B195:C195"/>
    <mergeCell ref="B201:C201"/>
    <mergeCell ref="B205:C205"/>
    <mergeCell ref="B230:C230"/>
    <mergeCell ref="B231:C231"/>
    <mergeCell ref="B232:C232"/>
    <mergeCell ref="B233:C233"/>
    <mergeCell ref="B234:C234"/>
    <mergeCell ref="B235:C235"/>
    <mergeCell ref="B221:C221"/>
    <mergeCell ref="B222:C222"/>
    <mergeCell ref="B223:C223"/>
    <mergeCell ref="B224:C224"/>
    <mergeCell ref="B228:D228"/>
    <mergeCell ref="B229:C229"/>
    <mergeCell ref="B248:C248"/>
    <mergeCell ref="B249:C249"/>
    <mergeCell ref="B252:C252"/>
    <mergeCell ref="B253:C253"/>
    <mergeCell ref="B254:C254"/>
    <mergeCell ref="B268:C268"/>
    <mergeCell ref="B236:C236"/>
    <mergeCell ref="B237:C237"/>
    <mergeCell ref="B238:C238"/>
    <mergeCell ref="B239:C239"/>
    <mergeCell ref="B240:C240"/>
    <mergeCell ref="B247:C247"/>
    <mergeCell ref="B275:C275"/>
    <mergeCell ref="B276:C276"/>
    <mergeCell ref="B277:C277"/>
    <mergeCell ref="B278:C278"/>
    <mergeCell ref="B279:C279"/>
    <mergeCell ref="B280:C280"/>
    <mergeCell ref="B269:C269"/>
    <mergeCell ref="B270:C270"/>
    <mergeCell ref="B271:C271"/>
    <mergeCell ref="B272:C272"/>
    <mergeCell ref="B273:C273"/>
    <mergeCell ref="B274:C274"/>
    <mergeCell ref="B297:C297"/>
    <mergeCell ref="B303:C303"/>
    <mergeCell ref="B304:C304"/>
    <mergeCell ref="B305:C305"/>
    <mergeCell ref="B306:C306"/>
    <mergeCell ref="B310:C310"/>
    <mergeCell ref="B281:C281"/>
    <mergeCell ref="B285:C285"/>
    <mergeCell ref="B289:C289"/>
    <mergeCell ref="B290:C290"/>
    <mergeCell ref="B291:C291"/>
    <mergeCell ref="B295:C295"/>
    <mergeCell ref="B326:C327"/>
    <mergeCell ref="D326:D327"/>
    <mergeCell ref="B329:C329"/>
    <mergeCell ref="B330:C330"/>
    <mergeCell ref="B331:C331"/>
    <mergeCell ref="B335:C336"/>
    <mergeCell ref="D335:D336"/>
    <mergeCell ref="B311:C311"/>
    <mergeCell ref="B313:C313"/>
    <mergeCell ref="B319:C319"/>
    <mergeCell ref="B320:C320"/>
    <mergeCell ref="B321:C321"/>
    <mergeCell ref="B322:C322"/>
    <mergeCell ref="B350:C350"/>
    <mergeCell ref="B352:C352"/>
    <mergeCell ref="B358:C358"/>
    <mergeCell ref="B359:C359"/>
    <mergeCell ref="B360:C360"/>
    <mergeCell ref="B361:C361"/>
    <mergeCell ref="B338:C338"/>
    <mergeCell ref="B339:C339"/>
    <mergeCell ref="B340:C340"/>
    <mergeCell ref="B345:C345"/>
    <mergeCell ref="B346:C346"/>
    <mergeCell ref="B349:C349"/>
    <mergeCell ref="B381:C381"/>
    <mergeCell ref="B382:C382"/>
    <mergeCell ref="B388:C388"/>
    <mergeCell ref="B389:C389"/>
    <mergeCell ref="B390:C390"/>
    <mergeCell ref="B394:C394"/>
    <mergeCell ref="B368:C368"/>
    <mergeCell ref="B369:C369"/>
    <mergeCell ref="B373:C373"/>
    <mergeCell ref="B374:C374"/>
    <mergeCell ref="B375:C375"/>
    <mergeCell ref="B380:C380"/>
    <mergeCell ref="B409:C409"/>
    <mergeCell ref="B413:C413"/>
    <mergeCell ref="B414:C414"/>
    <mergeCell ref="B415:C415"/>
    <mergeCell ref="B419:C419"/>
    <mergeCell ref="B420:C420"/>
    <mergeCell ref="B395:C395"/>
    <mergeCell ref="B396:C396"/>
    <mergeCell ref="B402:C402"/>
    <mergeCell ref="B403:C403"/>
    <mergeCell ref="B404:C404"/>
    <mergeCell ref="B408:C408"/>
    <mergeCell ref="B438:C438"/>
    <mergeCell ref="B439:C439"/>
    <mergeCell ref="B440:C440"/>
    <mergeCell ref="B444:C444"/>
    <mergeCell ref="B448:C448"/>
    <mergeCell ref="B449:C449"/>
    <mergeCell ref="B421:C421"/>
    <mergeCell ref="B427:C427"/>
    <mergeCell ref="B428:C428"/>
    <mergeCell ref="B429:C429"/>
    <mergeCell ref="B433:C433"/>
    <mergeCell ref="B434:C434"/>
    <mergeCell ref="B468:C468"/>
    <mergeCell ref="B469:C469"/>
    <mergeCell ref="B470:C470"/>
    <mergeCell ref="B477:C477"/>
    <mergeCell ref="B481:C481"/>
    <mergeCell ref="B485:C485"/>
    <mergeCell ref="B450:C450"/>
    <mergeCell ref="B454:C454"/>
    <mergeCell ref="B458:C458"/>
    <mergeCell ref="B459:C459"/>
    <mergeCell ref="B460:C460"/>
    <mergeCell ref="B464:C464"/>
    <mergeCell ref="B501:C501"/>
    <mergeCell ref="B505:C505"/>
    <mergeCell ref="B507:C507"/>
    <mergeCell ref="B508:C508"/>
    <mergeCell ref="B509:C509"/>
    <mergeCell ref="B513:C513"/>
    <mergeCell ref="B489:C489"/>
    <mergeCell ref="B490:C490"/>
    <mergeCell ref="B491:C491"/>
    <mergeCell ref="B495:C495"/>
    <mergeCell ref="B499:C499"/>
    <mergeCell ref="B500:C500"/>
    <mergeCell ref="B539:C539"/>
    <mergeCell ref="B543:C543"/>
    <mergeCell ref="B544:C544"/>
    <mergeCell ref="B545:C545"/>
    <mergeCell ref="B549:C549"/>
    <mergeCell ref="B553:C553"/>
    <mergeCell ref="B517:C517"/>
    <mergeCell ref="B518:C518"/>
    <mergeCell ref="B519:C519"/>
    <mergeCell ref="B523:C523"/>
    <mergeCell ref="B527:C527"/>
    <mergeCell ref="B531:C531"/>
    <mergeCell ref="B573:C573"/>
    <mergeCell ref="B575:C575"/>
    <mergeCell ref="B576:C576"/>
    <mergeCell ref="B577:C577"/>
    <mergeCell ref="B581:C581"/>
    <mergeCell ref="B583:C583"/>
    <mergeCell ref="B554:C554"/>
    <mergeCell ref="B555:C555"/>
    <mergeCell ref="B559:C559"/>
    <mergeCell ref="B563:C563"/>
    <mergeCell ref="B564:C564"/>
    <mergeCell ref="B565:C565"/>
    <mergeCell ref="B598:C598"/>
    <mergeCell ref="B599:C599"/>
    <mergeCell ref="B603:C603"/>
    <mergeCell ref="B605:C605"/>
    <mergeCell ref="B606:C606"/>
    <mergeCell ref="B607:C607"/>
    <mergeCell ref="B584:C584"/>
    <mergeCell ref="B585:C585"/>
    <mergeCell ref="B589:C589"/>
    <mergeCell ref="B590:C590"/>
    <mergeCell ref="B591:C591"/>
    <mergeCell ref="B597:C597"/>
    <mergeCell ref="B626:C626"/>
    <mergeCell ref="B627:C627"/>
    <mergeCell ref="B632:C632"/>
    <mergeCell ref="B634:C634"/>
    <mergeCell ref="B635:C635"/>
    <mergeCell ref="B636:C636"/>
    <mergeCell ref="B615:C615"/>
    <mergeCell ref="B617:C617"/>
    <mergeCell ref="B618:C618"/>
    <mergeCell ref="B619:C619"/>
    <mergeCell ref="B623:C623"/>
    <mergeCell ref="B625:C625"/>
    <mergeCell ref="B652:C652"/>
    <mergeCell ref="B653:C653"/>
    <mergeCell ref="B657:C657"/>
    <mergeCell ref="B659:C659"/>
    <mergeCell ref="B660:C660"/>
    <mergeCell ref="B661:C661"/>
    <mergeCell ref="B641:C641"/>
    <mergeCell ref="B643:C643"/>
    <mergeCell ref="B644:C644"/>
    <mergeCell ref="B645:C645"/>
    <mergeCell ref="B649:C649"/>
    <mergeCell ref="B651:C651"/>
  </mergeCells>
  <pageMargins left="0.75" right="0.75" top="1" bottom="1" header="0.5" footer="0.5"/>
  <pageSetup orientation="portrait" horizontalDpi="300" verticalDpi="300" r:id="rId1"/>
  <headerFooter alignWithMargins="0"/>
  <drawing r:id="rId2"/>
  <legacyDrawing r:id="rId3"/>
  <oleObjects>
    <mc:AlternateContent xmlns:mc="http://schemas.openxmlformats.org/markup-compatibility/2006">
      <mc:Choice Requires="x14">
        <oleObject progId="Equation.3" shapeId="3073" r:id="rId4">
          <objectPr defaultSize="0" autoPict="0" r:id="rId5">
            <anchor moveWithCells="1">
              <from>
                <xdr:col>2</xdr:col>
                <xdr:colOff>647700</xdr:colOff>
                <xdr:row>241</xdr:row>
                <xdr:rowOff>19050</xdr:rowOff>
              </from>
              <to>
                <xdr:col>6</xdr:col>
                <xdr:colOff>438150</xdr:colOff>
                <xdr:row>243</xdr:row>
                <xdr:rowOff>152400</xdr:rowOff>
              </to>
            </anchor>
          </objectPr>
        </oleObject>
      </mc:Choice>
      <mc:Fallback>
        <oleObject progId="Equation.3" shapeId="3073" r:id="rId4"/>
      </mc:Fallback>
    </mc:AlternateContent>
    <mc:AlternateContent xmlns:mc="http://schemas.openxmlformats.org/markup-compatibility/2006">
      <mc:Choice Requires="x14">
        <oleObject progId="Equation.3" shapeId="3074" r:id="rId6">
          <objectPr defaultSize="0" autoPict="0" r:id="rId7">
            <anchor moveWithCells="1">
              <from>
                <xdr:col>3</xdr:col>
                <xdr:colOff>400050</xdr:colOff>
                <xdr:row>100</xdr:row>
                <xdr:rowOff>104775</xdr:rowOff>
              </from>
              <to>
                <xdr:col>9</xdr:col>
                <xdr:colOff>571500</xdr:colOff>
                <xdr:row>104</xdr:row>
                <xdr:rowOff>57150</xdr:rowOff>
              </to>
            </anchor>
          </objectPr>
        </oleObject>
      </mc:Choice>
      <mc:Fallback>
        <oleObject progId="Equation.3" shapeId="3074"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sheetPr>
  <dimension ref="A1:CY216"/>
  <sheetViews>
    <sheetView zoomScaleNormal="100" workbookViewId="0">
      <selection activeCell="B14" sqref="B14"/>
    </sheetView>
  </sheetViews>
  <sheetFormatPr defaultRowHeight="12.75" x14ac:dyDescent="0.2"/>
  <cols>
    <col min="1" max="1" width="25.5703125" style="177" bestFit="1" customWidth="1"/>
    <col min="2" max="2" width="10.7109375" style="257" customWidth="1"/>
    <col min="3" max="3" width="10.85546875" customWidth="1"/>
    <col min="4" max="5" width="12.7109375" bestFit="1" customWidth="1"/>
    <col min="6" max="6" width="8.85546875" bestFit="1" customWidth="1"/>
    <col min="7" max="7" width="10.140625" customWidth="1"/>
    <col min="8" max="8" width="10.5703125" bestFit="1" customWidth="1"/>
    <col min="9" max="9" width="9.85546875" customWidth="1"/>
    <col min="10" max="10" width="13.28515625" bestFit="1" customWidth="1"/>
    <col min="11" max="11" width="12.140625" bestFit="1" customWidth="1"/>
    <col min="12" max="12" width="11.7109375" bestFit="1" customWidth="1"/>
    <col min="13" max="13" width="12.140625" bestFit="1" customWidth="1"/>
    <col min="14" max="14" width="12.140625" customWidth="1"/>
    <col min="15" max="17" width="10.5703125" bestFit="1" customWidth="1"/>
    <col min="18" max="18" width="10.42578125" customWidth="1"/>
    <col min="19" max="20" width="10.5703125" customWidth="1"/>
    <col min="21" max="22" width="10.7109375" bestFit="1" customWidth="1"/>
    <col min="23" max="23" width="10.5703125" customWidth="1"/>
  </cols>
  <sheetData>
    <row r="1" spans="1:21" ht="13.15" customHeight="1" x14ac:dyDescent="0.2">
      <c r="A1" s="239" t="s">
        <v>483</v>
      </c>
      <c r="B1" s="240">
        <v>7.6</v>
      </c>
      <c r="C1" t="s">
        <v>484</v>
      </c>
      <c r="E1" s="241"/>
      <c r="F1" s="242" t="s">
        <v>485</v>
      </c>
      <c r="G1" s="242" t="s">
        <v>486</v>
      </c>
      <c r="H1" s="176"/>
      <c r="I1" s="176"/>
      <c r="J1" s="176"/>
      <c r="K1" s="176"/>
      <c r="L1" s="176"/>
      <c r="M1" s="176"/>
      <c r="N1" s="176"/>
      <c r="O1" s="176"/>
      <c r="P1" s="176"/>
      <c r="Q1" s="177"/>
      <c r="T1" s="243"/>
      <c r="U1" s="244"/>
    </row>
    <row r="2" spans="1:21" ht="13.15" customHeight="1" x14ac:dyDescent="0.2">
      <c r="A2" s="239" t="s">
        <v>487</v>
      </c>
      <c r="B2" s="245">
        <v>2.1</v>
      </c>
      <c r="E2" s="246"/>
      <c r="F2">
        <v>0</v>
      </c>
      <c r="G2" s="247">
        <f t="shared" ref="G2:G22" si="0">IF(ISERROR((F2-($B$19+$B$20*F2+$B$21*F2^2))/F2),0,(F2-($B$19+$B$20*F2+$B$21*F2^2))/F2)</f>
        <v>0</v>
      </c>
      <c r="H2" s="248"/>
      <c r="I2" s="248"/>
      <c r="J2" s="248"/>
      <c r="K2" s="248"/>
      <c r="L2" s="248"/>
      <c r="M2" s="248"/>
      <c r="N2" s="248"/>
      <c r="O2" s="248"/>
      <c r="P2" s="248"/>
      <c r="Q2" s="249"/>
      <c r="T2" s="243"/>
      <c r="U2" s="244"/>
    </row>
    <row r="3" spans="1:21" ht="13.15" customHeight="1" x14ac:dyDescent="0.2">
      <c r="A3" s="250" t="s">
        <v>488</v>
      </c>
      <c r="B3" s="251">
        <v>1500</v>
      </c>
      <c r="C3" t="s">
        <v>489</v>
      </c>
      <c r="E3" s="248"/>
      <c r="F3">
        <v>0.05</v>
      </c>
      <c r="G3" s="247">
        <f t="shared" si="0"/>
        <v>0.65701922846702143</v>
      </c>
      <c r="H3" s="252"/>
      <c r="I3" s="252"/>
      <c r="J3" s="252"/>
      <c r="K3" s="252"/>
      <c r="L3" s="252"/>
      <c r="M3" s="252"/>
      <c r="N3" s="252"/>
      <c r="O3" s="252"/>
      <c r="P3" s="252"/>
      <c r="Q3" s="249"/>
      <c r="T3" s="243"/>
      <c r="U3" s="244"/>
    </row>
    <row r="4" spans="1:21" ht="13.15" customHeight="1" x14ac:dyDescent="0.2">
      <c r="A4" s="239" t="s">
        <v>490</v>
      </c>
      <c r="B4" s="240">
        <v>75</v>
      </c>
      <c r="C4" t="s">
        <v>491</v>
      </c>
      <c r="E4" s="248"/>
      <c r="F4">
        <v>0.1</v>
      </c>
      <c r="G4" s="247">
        <f t="shared" si="0"/>
        <v>0.7859619729657753</v>
      </c>
      <c r="H4" s="252"/>
      <c r="I4" s="252"/>
      <c r="J4" s="252"/>
      <c r="K4" s="252"/>
      <c r="L4" s="252"/>
      <c r="M4" s="252"/>
      <c r="N4" s="252"/>
      <c r="O4" s="252"/>
      <c r="P4" s="252"/>
      <c r="Q4" s="249"/>
    </row>
    <row r="5" spans="1:21" ht="13.15" customHeight="1" x14ac:dyDescent="0.2">
      <c r="A5" s="239" t="s">
        <v>492</v>
      </c>
      <c r="B5" s="240">
        <f>'Input &amp; Summary'!B9</f>
        <v>80</v>
      </c>
      <c r="C5" t="s">
        <v>491</v>
      </c>
      <c r="E5" s="248"/>
      <c r="F5">
        <v>0.15</v>
      </c>
      <c r="G5" s="247">
        <f t="shared" si="0"/>
        <v>0.8289428877986933</v>
      </c>
      <c r="H5" s="252"/>
      <c r="I5" s="252"/>
      <c r="J5" s="252"/>
      <c r="K5" s="252"/>
      <c r="L5" s="252"/>
      <c r="M5" s="252"/>
      <c r="N5" s="252"/>
      <c r="O5" s="252"/>
      <c r="P5" s="252"/>
      <c r="Q5" s="249"/>
    </row>
    <row r="6" spans="1:21" ht="13.15" customHeight="1" x14ac:dyDescent="0.2">
      <c r="A6" s="239" t="s">
        <v>493</v>
      </c>
      <c r="B6" s="253">
        <f>'Input &amp; Summary'!B16</f>
        <v>0</v>
      </c>
      <c r="C6" t="s">
        <v>491</v>
      </c>
      <c r="E6" s="248"/>
      <c r="F6">
        <v>0.2</v>
      </c>
      <c r="G6" s="247">
        <f t="shared" si="0"/>
        <v>0.85043334521515224</v>
      </c>
      <c r="H6" s="252"/>
      <c r="I6" s="252"/>
      <c r="J6" s="252"/>
      <c r="K6" s="252"/>
      <c r="L6" s="252"/>
      <c r="M6" s="252"/>
      <c r="N6" s="252"/>
      <c r="O6" s="252"/>
      <c r="P6" s="252"/>
      <c r="Q6" s="249"/>
    </row>
    <row r="7" spans="1:21" ht="13.15" customHeight="1" x14ac:dyDescent="0.2">
      <c r="A7" s="239" t="s">
        <v>494</v>
      </c>
      <c r="B7" s="245">
        <f>'Input &amp; Summary'!B17</f>
        <v>0.45</v>
      </c>
      <c r="D7" s="254"/>
      <c r="E7" s="248"/>
      <c r="F7">
        <v>0.25</v>
      </c>
      <c r="G7" s="247">
        <f t="shared" si="0"/>
        <v>0.86332761966502769</v>
      </c>
      <c r="H7" s="252"/>
      <c r="I7" s="252"/>
      <c r="J7" s="252"/>
      <c r="K7" s="252"/>
      <c r="L7" s="252"/>
      <c r="M7" s="252"/>
      <c r="N7" s="252"/>
      <c r="O7" s="252"/>
      <c r="P7" s="252"/>
      <c r="Q7" s="249"/>
    </row>
    <row r="8" spans="1:21" ht="13.15" customHeight="1" x14ac:dyDescent="0.2">
      <c r="A8" s="239" t="s">
        <v>495</v>
      </c>
      <c r="B8" s="240">
        <v>8</v>
      </c>
      <c r="E8" s="248"/>
      <c r="F8">
        <v>0.3</v>
      </c>
      <c r="G8" s="247">
        <f t="shared" si="0"/>
        <v>0.87192380263161118</v>
      </c>
      <c r="H8" s="252"/>
      <c r="I8" s="252"/>
      <c r="J8" s="252"/>
      <c r="K8" s="252"/>
      <c r="L8" s="252"/>
      <c r="M8" s="252"/>
      <c r="N8" s="252"/>
      <c r="O8" s="252"/>
      <c r="P8" s="252"/>
      <c r="Q8" s="249"/>
    </row>
    <row r="9" spans="1:21" ht="13.15" customHeight="1" x14ac:dyDescent="0.2">
      <c r="A9" s="239" t="s">
        <v>496</v>
      </c>
      <c r="B9" s="240">
        <v>80</v>
      </c>
      <c r="C9" t="s">
        <v>484</v>
      </c>
      <c r="E9" s="248"/>
      <c r="F9">
        <v>0.35</v>
      </c>
      <c r="G9" s="247">
        <f t="shared" si="0"/>
        <v>0.87806393332202815</v>
      </c>
      <c r="H9" s="252"/>
      <c r="I9" s="252"/>
      <c r="J9" s="252"/>
      <c r="K9" s="252"/>
      <c r="L9" s="252"/>
      <c r="M9" s="252"/>
      <c r="N9" s="252"/>
      <c r="O9" s="252"/>
      <c r="P9" s="252"/>
      <c r="Q9" s="249"/>
    </row>
    <row r="10" spans="1:21" ht="13.15" customHeight="1" x14ac:dyDescent="0.2">
      <c r="A10" s="255" t="s">
        <v>497</v>
      </c>
      <c r="B10" s="256">
        <v>0.05</v>
      </c>
      <c r="E10" s="248"/>
      <c r="F10">
        <v>0.4</v>
      </c>
      <c r="G10" s="247">
        <f t="shared" si="0"/>
        <v>0.88266903133984076</v>
      </c>
      <c r="H10" s="252"/>
      <c r="I10" s="252"/>
      <c r="J10" s="252"/>
      <c r="K10" s="252"/>
      <c r="L10" s="252"/>
      <c r="M10" s="252"/>
      <c r="N10" s="252"/>
      <c r="O10" s="252"/>
      <c r="P10" s="252"/>
      <c r="Q10" s="249"/>
    </row>
    <row r="11" spans="1:21" ht="13.15" customHeight="1" x14ac:dyDescent="0.2">
      <c r="A11" s="255" t="s">
        <v>498</v>
      </c>
      <c r="B11" s="257">
        <v>4</v>
      </c>
      <c r="C11" t="s">
        <v>484</v>
      </c>
      <c r="E11" s="248"/>
      <c r="F11">
        <v>0.45</v>
      </c>
      <c r="G11" s="247">
        <f t="shared" si="0"/>
        <v>0.88625077424258392</v>
      </c>
      <c r="H11" s="252"/>
      <c r="I11" s="252"/>
      <c r="J11" s="252"/>
      <c r="K11" s="252"/>
      <c r="L11" s="252"/>
      <c r="M11" s="252"/>
      <c r="N11" s="252"/>
      <c r="O11" s="252"/>
      <c r="P11" s="252"/>
      <c r="Q11" s="249"/>
    </row>
    <row r="12" spans="1:21" ht="13.15" customHeight="1" x14ac:dyDescent="0.2">
      <c r="A12" s="255" t="s">
        <v>499</v>
      </c>
      <c r="B12" s="257">
        <v>25</v>
      </c>
      <c r="C12" t="s">
        <v>484</v>
      </c>
      <c r="E12" s="248"/>
      <c r="F12">
        <v>0.5</v>
      </c>
      <c r="G12" s="247">
        <f t="shared" si="0"/>
        <v>0.88911616856477849</v>
      </c>
      <c r="H12" s="252"/>
      <c r="I12" s="252"/>
      <c r="J12" s="252"/>
      <c r="K12" s="252"/>
      <c r="L12" s="252"/>
      <c r="M12" s="252"/>
      <c r="N12" s="252"/>
      <c r="O12" s="252"/>
      <c r="P12" s="252"/>
      <c r="Q12" s="249"/>
    </row>
    <row r="13" spans="1:21" ht="13.15" customHeight="1" x14ac:dyDescent="0.2">
      <c r="A13" s="239" t="s">
        <v>500</v>
      </c>
      <c r="B13" s="258">
        <v>0.14000000000000001</v>
      </c>
      <c r="E13" s="248"/>
      <c r="F13">
        <v>0.55000000000000004</v>
      </c>
      <c r="G13" s="247">
        <f t="shared" si="0"/>
        <v>0.89146058210111945</v>
      </c>
      <c r="H13" s="252"/>
      <c r="I13" s="252"/>
      <c r="J13" s="252"/>
      <c r="K13" s="252"/>
      <c r="L13" s="252"/>
      <c r="M13" s="252"/>
      <c r="N13" s="252"/>
      <c r="O13" s="252"/>
      <c r="P13" s="252"/>
      <c r="Q13" s="249"/>
    </row>
    <row r="14" spans="1:21" ht="13.15" customHeight="1" x14ac:dyDescent="0.2">
      <c r="A14" s="255" t="s">
        <v>501</v>
      </c>
      <c r="B14" s="259">
        <f>(30/PI())*B9/(B4/2)</f>
        <v>20.371832715762604</v>
      </c>
      <c r="C14" s="260" t="str">
        <f>IF(J28&gt;B14*PI()/30,"Error","OK")</f>
        <v>OK</v>
      </c>
      <c r="D14">
        <f>B15*B16^3/2</f>
        <v>327.52866186490189</v>
      </c>
      <c r="E14" s="248"/>
      <c r="F14">
        <v>0.6</v>
      </c>
      <c r="G14" s="247">
        <f t="shared" si="0"/>
        <v>0.89341426004807034</v>
      </c>
      <c r="H14" s="252"/>
      <c r="I14" s="252"/>
      <c r="J14" s="252"/>
      <c r="K14" s="252"/>
      <c r="L14" s="252"/>
      <c r="M14" s="252"/>
      <c r="N14" s="252"/>
      <c r="O14" s="252"/>
      <c r="P14" s="252"/>
      <c r="Q14" s="249"/>
    </row>
    <row r="15" spans="1:21" ht="13.15" customHeight="1" x14ac:dyDescent="0.2">
      <c r="A15" s="255" t="s">
        <v>502</v>
      </c>
      <c r="B15" s="261">
        <f>(101300*(1-((0.0065*B6)/288))^(9.80665/(0.0065*287.15)))/(287.15*(288-0.0065*B6))</f>
        <v>1.2249211600595895</v>
      </c>
      <c r="C15" t="s">
        <v>503</v>
      </c>
      <c r="E15" s="248"/>
      <c r="F15">
        <v>0.65</v>
      </c>
      <c r="G15" s="247">
        <f t="shared" si="0"/>
        <v>0.89506737215702858</v>
      </c>
      <c r="H15" s="252"/>
      <c r="I15" s="252"/>
      <c r="J15" s="252"/>
      <c r="K15" s="252"/>
      <c r="L15" s="252"/>
      <c r="M15" s="252"/>
      <c r="N15" s="252"/>
      <c r="O15" s="252"/>
      <c r="P15" s="252"/>
      <c r="Q15" s="249"/>
    </row>
    <row r="16" spans="1:21" ht="13.15" customHeight="1" x14ac:dyDescent="0.2">
      <c r="A16" s="255" t="s">
        <v>504</v>
      </c>
      <c r="B16" s="262">
        <f>((B5/50)^B13)*B1</f>
        <v>8.1169036323633517</v>
      </c>
      <c r="E16" s="248"/>
      <c r="F16">
        <v>0.7</v>
      </c>
      <c r="G16" s="247">
        <f t="shared" si="0"/>
        <v>0.89648432539327871</v>
      </c>
      <c r="H16" s="252"/>
      <c r="I16" s="252"/>
      <c r="J16" s="252"/>
      <c r="K16" s="252"/>
      <c r="L16" s="252"/>
      <c r="M16" s="252"/>
      <c r="N16" s="252"/>
      <c r="O16" s="252"/>
      <c r="P16" s="252"/>
      <c r="Q16" s="249"/>
    </row>
    <row r="17" spans="1:17" ht="13.15" customHeight="1" x14ac:dyDescent="0.2">
      <c r="A17" s="255" t="s">
        <v>505</v>
      </c>
      <c r="B17" s="261">
        <f>B3/G22</f>
        <v>1662.9519221382577</v>
      </c>
      <c r="C17" t="s">
        <v>489</v>
      </c>
      <c r="E17" s="248"/>
      <c r="F17">
        <v>0.75</v>
      </c>
      <c r="G17" s="247">
        <f t="shared" si="0"/>
        <v>0.89771235153136208</v>
      </c>
      <c r="H17" s="252"/>
      <c r="I17" s="252"/>
      <c r="J17" s="252"/>
      <c r="K17" s="252"/>
      <c r="L17" s="252"/>
      <c r="M17" s="252"/>
      <c r="N17" s="252"/>
      <c r="O17" s="252"/>
      <c r="P17" s="252"/>
      <c r="Q17" s="249"/>
    </row>
    <row r="18" spans="1:17" ht="13.15" customHeight="1" x14ac:dyDescent="0.2">
      <c r="A18" s="255" t="s">
        <v>506</v>
      </c>
      <c r="B18" s="263">
        <f>0.33*((2*B17*1000/(B15*(PI()*B4^2/4)*B7))^(1/3))+0.67*(((1/(1.5*B15*PI()*B4^2*0.25*B7*M25^2))*(1000*(B17-M26)))+M25)</f>
        <v>11.202350195105213</v>
      </c>
      <c r="C18" t="s">
        <v>484</v>
      </c>
      <c r="D18" s="264">
        <f>(((2*B17*1000/(B15*(PI()*B4^2/4)*B7))^(1/3)))</f>
        <v>11.094954956125198</v>
      </c>
      <c r="E18" s="246">
        <f>(((1/(1.5*B15*PI()*B4^2*0.25*B7*M25^2))*(1000*(B17-M26)))+M25)</f>
        <v>11.255246357587906</v>
      </c>
      <c r="F18">
        <v>0.8</v>
      </c>
      <c r="G18" s="247">
        <f t="shared" si="0"/>
        <v>0.89878687440218497</v>
      </c>
      <c r="H18" s="252"/>
      <c r="I18" s="252"/>
      <c r="J18" s="252"/>
      <c r="K18" s="252"/>
      <c r="L18" s="252"/>
      <c r="M18" s="252"/>
      <c r="N18" s="252"/>
      <c r="O18" s="252"/>
      <c r="P18" s="252"/>
      <c r="Q18" s="249"/>
    </row>
    <row r="19" spans="1:17" x14ac:dyDescent="0.2">
      <c r="A19" s="250" t="s">
        <v>507</v>
      </c>
      <c r="B19" s="265">
        <f>HLOOKUP('Input &amp; Summary'!B24,'Cost &amp; Mass Functions'!M141:P144,2)</f>
        <v>1.2894274449875391E-2</v>
      </c>
      <c r="C19" t="s">
        <v>235</v>
      </c>
      <c r="D19" s="243">
        <v>0.02</v>
      </c>
      <c r="E19" s="248"/>
      <c r="F19">
        <v>0.85</v>
      </c>
      <c r="G19" s="247">
        <f t="shared" si="0"/>
        <v>0.89973498281761699</v>
      </c>
      <c r="H19" s="252"/>
      <c r="I19" s="252"/>
      <c r="J19" s="252"/>
      <c r="K19" s="252"/>
      <c r="L19" s="252"/>
      <c r="M19" s="252"/>
      <c r="N19" s="252"/>
      <c r="O19" s="252"/>
      <c r="P19" s="252"/>
      <c r="Q19" s="249"/>
    </row>
    <row r="20" spans="1:17" x14ac:dyDescent="0.2">
      <c r="A20" s="266"/>
      <c r="B20" s="265">
        <f>HLOOKUP('Input &amp; Summary'!B24,'Cost &amp; Mass Functions'!M141:P144,3)</f>
        <v>8.5095282535470773E-2</v>
      </c>
      <c r="C20" t="s">
        <v>236</v>
      </c>
      <c r="D20" s="243">
        <v>5.5E-2</v>
      </c>
      <c r="E20" s="248"/>
      <c r="F20">
        <v>0.9</v>
      </c>
      <c r="G20" s="247">
        <f t="shared" si="0"/>
        <v>0.90057774585355665</v>
      </c>
      <c r="H20" s="252"/>
      <c r="I20" s="252"/>
      <c r="J20" s="252"/>
      <c r="K20" s="252"/>
      <c r="L20" s="252"/>
      <c r="M20" s="252"/>
      <c r="N20" s="252"/>
      <c r="O20" s="252"/>
      <c r="P20" s="252"/>
      <c r="Q20" s="249"/>
    </row>
    <row r="21" spans="1:17" x14ac:dyDescent="0.2">
      <c r="A21" s="266"/>
      <c r="B21" s="265">
        <f>HLOOKUP('Input &amp; Summary'!B24,'Cost &amp; Mass Functions'!M141:P144,4)</f>
        <v>0</v>
      </c>
      <c r="C21" t="s">
        <v>237</v>
      </c>
      <c r="D21" s="243">
        <v>0</v>
      </c>
      <c r="E21" s="248"/>
      <c r="F21">
        <v>0.95</v>
      </c>
      <c r="G21" s="247">
        <f t="shared" si="0"/>
        <v>0.90133179699097621</v>
      </c>
      <c r="H21" s="252"/>
      <c r="I21" s="252"/>
      <c r="J21" s="252"/>
      <c r="K21" s="252"/>
      <c r="L21" s="252"/>
      <c r="M21" s="252"/>
      <c r="N21" s="252"/>
      <c r="O21" s="252"/>
      <c r="P21" s="252"/>
      <c r="Q21" s="249"/>
    </row>
    <row r="22" spans="1:17" x14ac:dyDescent="0.2">
      <c r="A22" s="239" t="s">
        <v>26</v>
      </c>
      <c r="B22" s="267">
        <f>'Input &amp; Summary'!B20</f>
        <v>0</v>
      </c>
      <c r="E22" s="248"/>
      <c r="F22">
        <v>1</v>
      </c>
      <c r="G22" s="247">
        <f t="shared" si="0"/>
        <v>0.90201044301465383</v>
      </c>
      <c r="H22" s="252"/>
      <c r="I22" s="252"/>
      <c r="J22" s="252"/>
      <c r="K22" s="252"/>
      <c r="L22" s="252"/>
      <c r="M22" s="252"/>
      <c r="N22" s="252"/>
      <c r="O22" s="252"/>
      <c r="P22" s="252"/>
      <c r="Q22" s="249"/>
    </row>
    <row r="23" spans="1:17" ht="13.5" thickBot="1" x14ac:dyDescent="0.25">
      <c r="A23" s="239" t="s">
        <v>28</v>
      </c>
      <c r="B23" s="267">
        <f>'Input &amp; Summary'!B21</f>
        <v>0.15</v>
      </c>
    </row>
    <row r="24" spans="1:17" x14ac:dyDescent="0.2">
      <c r="A24" s="250" t="s">
        <v>30</v>
      </c>
      <c r="B24" s="267">
        <f>'Input &amp; Summary'!B22</f>
        <v>0.95</v>
      </c>
      <c r="F24" s="268" t="s">
        <v>508</v>
      </c>
      <c r="G24" s="269"/>
      <c r="H24" s="269"/>
      <c r="I24" s="269"/>
      <c r="J24" s="269"/>
      <c r="K24" s="270"/>
      <c r="L24" s="271" t="s">
        <v>509</v>
      </c>
      <c r="M24" s="272"/>
      <c r="N24" s="273"/>
      <c r="O24" s="273"/>
    </row>
    <row r="25" spans="1:17" ht="13.5" thickBot="1" x14ac:dyDescent="0.25">
      <c r="A25" s="257"/>
      <c r="B25" s="257" t="s">
        <v>4</v>
      </c>
      <c r="C25" s="257" t="s">
        <v>510</v>
      </c>
      <c r="D25" s="257" t="s">
        <v>511</v>
      </c>
      <c r="F25" s="274" t="s">
        <v>512</v>
      </c>
      <c r="G25" s="275">
        <f>B9/(B4/2)</f>
        <v>2.1333333333333333</v>
      </c>
      <c r="H25" s="82"/>
      <c r="I25" s="276" t="s">
        <v>513</v>
      </c>
      <c r="J25" s="277">
        <f>G28</f>
        <v>125408.48040199363</v>
      </c>
      <c r="K25" s="82"/>
      <c r="L25" s="276" t="s">
        <v>514</v>
      </c>
      <c r="M25" s="278">
        <f>(J28*B4)/(2*B8)</f>
        <v>9.8629819614800223</v>
      </c>
      <c r="N25" s="277"/>
      <c r="O25" s="277"/>
    </row>
    <row r="26" spans="1:17" x14ac:dyDescent="0.2">
      <c r="A26" s="279" t="s">
        <v>515</v>
      </c>
      <c r="B26" s="280">
        <f>SUM(F51:F211)*(1-B22)*(1-B23)*(8760*B24)/4000</f>
        <v>4673.3627285814891</v>
      </c>
      <c r="C26" s="263">
        <f>SUM(E51:E211)*8760/4000</f>
        <v>9205.2220627028491</v>
      </c>
      <c r="D26" s="263">
        <f>SUM(D51:D211)*8760/4000</f>
        <v>13684.99531468768</v>
      </c>
      <c r="F26" s="274" t="s">
        <v>516</v>
      </c>
      <c r="G26" s="82">
        <f>G25/(1+B10)</f>
        <v>2.0317460317460316</v>
      </c>
      <c r="H26" s="82"/>
      <c r="I26" s="276" t="s">
        <v>517</v>
      </c>
      <c r="J26" s="277">
        <f>-G27/(G25-G26)</f>
        <v>-7673288.8985383408</v>
      </c>
      <c r="K26" s="82"/>
      <c r="L26" s="276" t="s">
        <v>304</v>
      </c>
      <c r="M26" s="281">
        <f>G28*J28^3/1000</f>
        <v>1168.2284535082115</v>
      </c>
      <c r="N26" s="82"/>
      <c r="O26" s="82"/>
    </row>
    <row r="27" spans="1:17" x14ac:dyDescent="0.2">
      <c r="A27" s="282" t="s">
        <v>44</v>
      </c>
      <c r="B27" s="283">
        <f>B26/(B3*8.76)</f>
        <v>0.35565926397119402</v>
      </c>
      <c r="C27">
        <f>0.75*C26</f>
        <v>6903.9165470271364</v>
      </c>
      <c r="F27" s="274" t="s">
        <v>518</v>
      </c>
      <c r="G27" s="82">
        <f>B17*1000/G25</f>
        <v>779508.71350230824</v>
      </c>
      <c r="H27" s="82"/>
      <c r="I27" s="276" t="s">
        <v>519</v>
      </c>
      <c r="J27" s="277">
        <f>(G27*G26)/(G25-G26)</f>
        <v>15590174.27004615</v>
      </c>
      <c r="K27" s="82"/>
      <c r="L27" s="82"/>
      <c r="M27" s="281"/>
      <c r="N27" s="82"/>
      <c r="O27" s="82"/>
    </row>
    <row r="28" spans="1:17" ht="13.5" thickBot="1" x14ac:dyDescent="0.25">
      <c r="A28" s="284" t="s">
        <v>520</v>
      </c>
      <c r="B28" s="285">
        <f>B26/C26</f>
        <v>0.50768603915778765</v>
      </c>
      <c r="F28" s="286" t="s">
        <v>521</v>
      </c>
      <c r="G28" s="287">
        <f>(B15*PI()*B4^5*B7)/(64*B8^3)</f>
        <v>125408.48040199363</v>
      </c>
      <c r="H28" s="287"/>
      <c r="I28" s="288" t="s">
        <v>522</v>
      </c>
      <c r="J28" s="289">
        <f>-(J26/(2*J25))-(SQRT(J26^2-4*J25*J27)/(2*J25))</f>
        <v>2.1041028184490713</v>
      </c>
      <c r="K28" s="287"/>
      <c r="L28" s="287"/>
      <c r="M28" s="290"/>
      <c r="N28" s="82"/>
      <c r="O28" s="82"/>
    </row>
    <row r="48" spans="92:94" ht="12.75" customHeight="1" x14ac:dyDescent="0.2">
      <c r="CN48" s="453"/>
      <c r="CO48" s="453"/>
      <c r="CP48" s="453"/>
    </row>
    <row r="49" spans="1:103" ht="12.75" customHeight="1" x14ac:dyDescent="0.2">
      <c r="CN49" s="453"/>
      <c r="CO49" s="453"/>
      <c r="CP49" s="453"/>
    </row>
    <row r="50" spans="1:103" ht="60" x14ac:dyDescent="0.25">
      <c r="A50" s="291" t="s">
        <v>514</v>
      </c>
      <c r="B50" s="255" t="s">
        <v>523</v>
      </c>
      <c r="C50" s="255" t="s">
        <v>524</v>
      </c>
      <c r="D50" s="255" t="s">
        <v>525</v>
      </c>
      <c r="E50" s="255" t="s">
        <v>510</v>
      </c>
      <c r="F50" s="255" t="s">
        <v>526</v>
      </c>
      <c r="G50" s="292" t="str">
        <f>HLOOKUP('Input &amp; Summary'!$B$6,'AEP Input Output sheet'!$N$50:$CO$211,ROW(G50)-49,0)</f>
        <v>Idealized Turbine power</v>
      </c>
      <c r="H50" s="255" t="s">
        <v>527</v>
      </c>
      <c r="I50" s="255" t="s">
        <v>486</v>
      </c>
      <c r="J50" s="255" t="s">
        <v>528</v>
      </c>
      <c r="K50" s="255" t="s">
        <v>529</v>
      </c>
      <c r="L50" s="255" t="s">
        <v>530</v>
      </c>
      <c r="M50" s="255"/>
      <c r="N50" s="293" t="s">
        <v>5</v>
      </c>
      <c r="O50" s="454" t="s">
        <v>775</v>
      </c>
      <c r="P50" s="454" t="s">
        <v>776</v>
      </c>
      <c r="Q50" s="454" t="s">
        <v>777</v>
      </c>
      <c r="R50" s="454" t="s">
        <v>778</v>
      </c>
      <c r="S50" s="454" t="s">
        <v>779</v>
      </c>
      <c r="T50" s="454" t="s">
        <v>780</v>
      </c>
      <c r="U50" s="454" t="s">
        <v>781</v>
      </c>
      <c r="V50" s="454" t="s">
        <v>782</v>
      </c>
      <c r="W50" s="454" t="s">
        <v>783</v>
      </c>
      <c r="X50" s="294" t="s">
        <v>531</v>
      </c>
      <c r="Y50" s="294" t="s">
        <v>532</v>
      </c>
      <c r="Z50" s="295" t="s">
        <v>533</v>
      </c>
      <c r="AA50" s="295" t="s">
        <v>534</v>
      </c>
      <c r="AB50" s="296" t="s">
        <v>535</v>
      </c>
      <c r="AC50" s="294" t="s">
        <v>536</v>
      </c>
      <c r="AD50" s="295" t="s">
        <v>537</v>
      </c>
      <c r="AE50" s="295" t="s">
        <v>538</v>
      </c>
      <c r="AF50" s="295" t="s">
        <v>539</v>
      </c>
      <c r="AG50" s="295" t="s">
        <v>540</v>
      </c>
      <c r="AH50" s="295" t="s">
        <v>541</v>
      </c>
      <c r="AI50" s="294" t="s">
        <v>542</v>
      </c>
      <c r="AJ50" s="294" t="s">
        <v>543</v>
      </c>
      <c r="AK50" s="294" t="s">
        <v>544</v>
      </c>
      <c r="AL50" s="294" t="s">
        <v>545</v>
      </c>
      <c r="AM50" s="295" t="s">
        <v>546</v>
      </c>
      <c r="AN50" s="295" t="s">
        <v>547</v>
      </c>
      <c r="AO50" s="295" t="s">
        <v>548</v>
      </c>
      <c r="AP50" s="294" t="s">
        <v>549</v>
      </c>
      <c r="AQ50" s="295" t="s">
        <v>550</v>
      </c>
      <c r="AR50" s="295" t="s">
        <v>551</v>
      </c>
      <c r="AS50" s="295" t="s">
        <v>552</v>
      </c>
      <c r="AT50" s="295" t="s">
        <v>553</v>
      </c>
      <c r="AU50" s="295" t="s">
        <v>554</v>
      </c>
      <c r="AV50" s="295" t="s">
        <v>555</v>
      </c>
      <c r="AW50" s="295" t="s">
        <v>556</v>
      </c>
      <c r="AX50" s="295" t="s">
        <v>557</v>
      </c>
      <c r="AY50" s="295" t="s">
        <v>558</v>
      </c>
      <c r="AZ50" s="295" t="s">
        <v>559</v>
      </c>
      <c r="BA50" s="294" t="s">
        <v>560</v>
      </c>
      <c r="BB50" s="294" t="s">
        <v>561</v>
      </c>
      <c r="BC50" s="297" t="s">
        <v>562</v>
      </c>
      <c r="BD50" s="294" t="s">
        <v>563</v>
      </c>
      <c r="BE50" s="294" t="s">
        <v>564</v>
      </c>
      <c r="BF50" s="294" t="s">
        <v>565</v>
      </c>
      <c r="BG50" s="294" t="s">
        <v>566</v>
      </c>
      <c r="BH50" s="294" t="s">
        <v>567</v>
      </c>
      <c r="BI50" s="294" t="s">
        <v>568</v>
      </c>
      <c r="BJ50" s="294" t="s">
        <v>569</v>
      </c>
      <c r="BK50" s="295" t="s">
        <v>570</v>
      </c>
      <c r="BL50" s="295" t="s">
        <v>571</v>
      </c>
      <c r="BM50" s="294" t="s">
        <v>572</v>
      </c>
      <c r="BN50" s="294" t="s">
        <v>573</v>
      </c>
      <c r="BO50" s="294" t="s">
        <v>574</v>
      </c>
      <c r="BP50" s="295" t="s">
        <v>575</v>
      </c>
      <c r="BQ50" s="295" t="s">
        <v>576</v>
      </c>
      <c r="BR50" s="295" t="s">
        <v>577</v>
      </c>
      <c r="BS50" s="297" t="s">
        <v>578</v>
      </c>
      <c r="BT50" s="295" t="s">
        <v>579</v>
      </c>
      <c r="BU50" s="295" t="s">
        <v>784</v>
      </c>
      <c r="BV50" s="294" t="s">
        <v>580</v>
      </c>
      <c r="BW50" s="295" t="s">
        <v>581</v>
      </c>
      <c r="BX50" s="295" t="s">
        <v>582</v>
      </c>
      <c r="BY50" s="295" t="s">
        <v>583</v>
      </c>
      <c r="BZ50" s="295" t="s">
        <v>584</v>
      </c>
      <c r="CA50" s="294" t="s">
        <v>585</v>
      </c>
      <c r="CB50" s="294" t="s">
        <v>586</v>
      </c>
      <c r="CC50" s="294" t="s">
        <v>587</v>
      </c>
      <c r="CD50" s="294" t="s">
        <v>588</v>
      </c>
      <c r="CE50" s="294" t="s">
        <v>589</v>
      </c>
      <c r="CF50" s="295" t="s">
        <v>590</v>
      </c>
      <c r="CG50" s="295" t="s">
        <v>591</v>
      </c>
      <c r="CH50" s="295" t="s">
        <v>592</v>
      </c>
      <c r="CI50" s="295" t="s">
        <v>593</v>
      </c>
      <c r="CJ50" s="295" t="s">
        <v>594</v>
      </c>
      <c r="CK50" s="295" t="s">
        <v>595</v>
      </c>
      <c r="CL50" s="295" t="s">
        <v>596</v>
      </c>
      <c r="CM50" s="295" t="s">
        <v>597</v>
      </c>
      <c r="CN50" s="295" t="s">
        <v>598</v>
      </c>
      <c r="CO50" s="294" t="s">
        <v>599</v>
      </c>
      <c r="CP50" s="291" t="s">
        <v>514</v>
      </c>
      <c r="CQ50" s="291"/>
      <c r="CR50" s="291"/>
      <c r="CS50" s="291"/>
      <c r="CT50" s="291"/>
      <c r="CW50" s="298"/>
      <c r="CX50" s="298"/>
      <c r="CY50" s="298"/>
    </row>
    <row r="51" spans="1:103" x14ac:dyDescent="0.2">
      <c r="A51" s="254">
        <v>0</v>
      </c>
      <c r="B51" s="122">
        <f t="shared" ref="B51:B114" si="1">((PI()*$A51)/(2*$B$16*$B$16))*EXP(((-PI()*$A51*$A51)/(4*$B$16*$B$16)))</f>
        <v>0</v>
      </c>
      <c r="C51" s="122">
        <f t="shared" ref="C51:C114" si="2">WEIBULL(A51,$B$2,$B$16/EXP(GAMMALN(1+1/$B$2)),FALSE)</f>
        <v>0</v>
      </c>
      <c r="D51" s="122">
        <f t="shared" ref="D51:D114" si="3">((0.5*$B$15*0.25*PI()*$B$4^2*A51^3)*C51/(1000))*16/27</f>
        <v>0</v>
      </c>
      <c r="E51" s="122">
        <f t="shared" ref="E51:E114" si="4">((0.5*$B$15*0.25*PI()*$B$4^2*A51^3)*C51/(1000))*$B$7*I51</f>
        <v>0</v>
      </c>
      <c r="F51" s="122">
        <f>$G51*$C51</f>
        <v>0</v>
      </c>
      <c r="G51" s="299">
        <f>HLOOKUP('Input &amp; Summary'!$B$6,'AEP Input Output sheet'!$N$50:$CO$211,ROW(G51)-49,0)</f>
        <v>0</v>
      </c>
      <c r="H51" s="122">
        <f t="shared" ref="H51:H114" si="5">IF(AND(A51 &gt; $B$11,A51&lt;$B$12),IF(A51&gt;$B$18,L51,IF(A51&gt;=$M$25,K51,J51)),0)</f>
        <v>0</v>
      </c>
      <c r="I51" s="247">
        <f t="shared" ref="I51:I114" si="6">IF(ISERROR(((H51/$B$17)-($B$19+$B$20*(H51/$B$17)+$B$21*(H51/$B$17)^2))/(H51/$B$17)),0,((H51/$B$17)-($B$19+$B$20*(H51/$B$17)+$B$21*(H51/$B$17)^2))/(H51/$B$17))</f>
        <v>0</v>
      </c>
      <c r="J51" s="254">
        <f t="shared" ref="J51:J114" si="7">$G$28*(A51*$B$8/($B$4/2))^3/1000</f>
        <v>0</v>
      </c>
      <c r="K51" s="122">
        <f t="shared" ref="K51:K114" si="8">IF(A51&gt;=$M$25,($B$17-$M$26)/($B$18-$M$25)*(A51-$M$25)+$M$26,0)</f>
        <v>0</v>
      </c>
      <c r="L51" s="122">
        <f>$B$17</f>
        <v>1662.9519221382577</v>
      </c>
      <c r="M51" s="122"/>
      <c r="N51" s="254">
        <f t="shared" ref="N51:N114" si="9">H51*I51</f>
        <v>0</v>
      </c>
      <c r="O51">
        <v>0</v>
      </c>
      <c r="P51">
        <v>0</v>
      </c>
      <c r="Q51">
        <v>0</v>
      </c>
      <c r="R51">
        <v>0</v>
      </c>
      <c r="S51">
        <v>0</v>
      </c>
      <c r="T51">
        <v>0</v>
      </c>
      <c r="U51">
        <v>0</v>
      </c>
      <c r="V51">
        <v>0</v>
      </c>
      <c r="W51">
        <v>0</v>
      </c>
      <c r="X51" s="300">
        <v>0</v>
      </c>
      <c r="Y51" s="300">
        <v>0</v>
      </c>
      <c r="Z51" s="300">
        <v>0</v>
      </c>
      <c r="AA51" s="300">
        <v>0</v>
      </c>
      <c r="AB51" s="301">
        <v>0</v>
      </c>
      <c r="AC51" s="300">
        <v>0</v>
      </c>
      <c r="AD51" s="300">
        <v>0</v>
      </c>
      <c r="AE51" s="300">
        <v>0</v>
      </c>
      <c r="AF51" s="300">
        <v>0</v>
      </c>
      <c r="AG51" s="300">
        <v>0</v>
      </c>
      <c r="AH51" s="300">
        <v>0</v>
      </c>
      <c r="AI51" s="300">
        <v>0</v>
      </c>
      <c r="AJ51" s="300">
        <v>0</v>
      </c>
      <c r="AK51" s="300">
        <v>0</v>
      </c>
      <c r="AL51" s="300">
        <v>0</v>
      </c>
      <c r="AM51" s="300">
        <v>0</v>
      </c>
      <c r="AN51" s="300">
        <v>0</v>
      </c>
      <c r="AO51" s="300">
        <v>0</v>
      </c>
      <c r="AP51" s="300">
        <v>0</v>
      </c>
      <c r="AQ51" s="300">
        <v>0</v>
      </c>
      <c r="AR51" s="300">
        <v>0</v>
      </c>
      <c r="AS51" s="300">
        <v>0</v>
      </c>
      <c r="AT51" s="300">
        <v>0</v>
      </c>
      <c r="AU51" s="300">
        <v>0</v>
      </c>
      <c r="AV51" s="300">
        <v>0</v>
      </c>
      <c r="AW51" s="300">
        <v>0</v>
      </c>
      <c r="AX51" s="300">
        <v>0</v>
      </c>
      <c r="AY51" s="300">
        <v>0</v>
      </c>
      <c r="AZ51" s="300">
        <v>0</v>
      </c>
      <c r="BA51" s="300">
        <v>0</v>
      </c>
      <c r="BB51" s="300">
        <v>0</v>
      </c>
      <c r="BC51" s="301">
        <v>0</v>
      </c>
      <c r="BD51" s="300">
        <v>0</v>
      </c>
      <c r="BE51" s="300">
        <v>0</v>
      </c>
      <c r="BF51" s="300">
        <v>0</v>
      </c>
      <c r="BG51" s="300">
        <v>0</v>
      </c>
      <c r="BH51" s="300">
        <v>0</v>
      </c>
      <c r="BI51" s="300">
        <v>0</v>
      </c>
      <c r="BJ51" s="300">
        <v>0</v>
      </c>
      <c r="BK51" s="300">
        <v>0</v>
      </c>
      <c r="BL51" s="300">
        <v>0</v>
      </c>
      <c r="BM51" s="300">
        <v>0</v>
      </c>
      <c r="BN51" s="300">
        <v>0</v>
      </c>
      <c r="BO51" s="300">
        <v>0</v>
      </c>
      <c r="BP51" s="300">
        <v>0</v>
      </c>
      <c r="BQ51" s="300">
        <v>0</v>
      </c>
      <c r="BR51" s="300">
        <v>0</v>
      </c>
      <c r="BS51" s="301">
        <v>0</v>
      </c>
      <c r="BT51" s="300">
        <v>0</v>
      </c>
      <c r="BU51">
        <v>0</v>
      </c>
      <c r="BV51" s="300">
        <v>0</v>
      </c>
      <c r="BW51" s="300">
        <v>0</v>
      </c>
      <c r="BX51" s="300">
        <v>0</v>
      </c>
      <c r="BY51" s="300">
        <v>0</v>
      </c>
      <c r="BZ51" s="300">
        <v>0</v>
      </c>
      <c r="CA51" s="300">
        <v>0</v>
      </c>
      <c r="CB51" s="300">
        <v>0</v>
      </c>
      <c r="CC51" s="300">
        <v>0</v>
      </c>
      <c r="CD51" s="300">
        <v>0</v>
      </c>
      <c r="CE51" s="300">
        <v>0</v>
      </c>
      <c r="CF51" s="300">
        <v>0</v>
      </c>
      <c r="CG51" s="300">
        <v>0</v>
      </c>
      <c r="CH51" s="300">
        <v>0</v>
      </c>
      <c r="CI51" s="300">
        <v>0</v>
      </c>
      <c r="CJ51" s="300">
        <v>0</v>
      </c>
      <c r="CK51" s="300">
        <v>0</v>
      </c>
      <c r="CL51" s="300">
        <v>0</v>
      </c>
      <c r="CM51" s="300">
        <v>0</v>
      </c>
      <c r="CN51" s="300">
        <v>0</v>
      </c>
      <c r="CO51" s="300">
        <v>0</v>
      </c>
      <c r="CP51" s="254">
        <v>0</v>
      </c>
      <c r="CQ51" s="254"/>
      <c r="CR51" s="254"/>
      <c r="CS51" s="254"/>
      <c r="CT51" s="254"/>
      <c r="CW51" s="301"/>
      <c r="CX51" s="301"/>
      <c r="CY51" s="301"/>
    </row>
    <row r="52" spans="1:103" x14ac:dyDescent="0.2">
      <c r="A52" s="254">
        <v>0.25</v>
      </c>
      <c r="B52" s="122">
        <f t="shared" si="1"/>
        <v>5.9560115618526909E-3</v>
      </c>
      <c r="C52" s="122">
        <f t="shared" si="2"/>
        <v>4.3581625257101035E-3</v>
      </c>
      <c r="D52" s="122">
        <f t="shared" si="3"/>
        <v>1.0918681959884261E-4</v>
      </c>
      <c r="E52" s="122">
        <f t="shared" si="4"/>
        <v>0</v>
      </c>
      <c r="F52" s="122">
        <f t="shared" ref="F52:F115" si="10">$G52*$C52</f>
        <v>0</v>
      </c>
      <c r="G52" s="299">
        <f>HLOOKUP('Input &amp; Summary'!$B$6,'AEP Input Output sheet'!$N$50:$CO$211,ROW(G52)-49,0)</f>
        <v>0</v>
      </c>
      <c r="H52" s="122">
        <f t="shared" si="5"/>
        <v>0</v>
      </c>
      <c r="I52" s="247">
        <f t="shared" si="6"/>
        <v>0</v>
      </c>
      <c r="J52" s="254">
        <f t="shared" si="7"/>
        <v>1.9024930952835781E-2</v>
      </c>
      <c r="K52" s="122">
        <f t="shared" si="8"/>
        <v>0</v>
      </c>
      <c r="L52" s="122">
        <f t="shared" ref="L52:L115" si="11">$B$17</f>
        <v>1662.9519221382577</v>
      </c>
      <c r="M52" s="122"/>
      <c r="N52" s="254">
        <f t="shared" si="9"/>
        <v>0</v>
      </c>
      <c r="O52">
        <v>0</v>
      </c>
      <c r="P52">
        <v>0</v>
      </c>
      <c r="Q52">
        <v>0</v>
      </c>
      <c r="R52">
        <v>0</v>
      </c>
      <c r="S52">
        <v>0</v>
      </c>
      <c r="T52">
        <v>0</v>
      </c>
      <c r="U52">
        <v>0</v>
      </c>
      <c r="V52">
        <v>0</v>
      </c>
      <c r="W52">
        <v>0</v>
      </c>
      <c r="X52" s="300">
        <v>0</v>
      </c>
      <c r="Y52" s="300">
        <v>0</v>
      </c>
      <c r="Z52" s="300">
        <v>0</v>
      </c>
      <c r="AA52" s="300">
        <v>0</v>
      </c>
      <c r="AB52" s="301">
        <v>0</v>
      </c>
      <c r="AC52" s="300">
        <v>0</v>
      </c>
      <c r="AD52" s="300">
        <v>0</v>
      </c>
      <c r="AE52" s="300">
        <v>0</v>
      </c>
      <c r="AF52" s="300">
        <v>0</v>
      </c>
      <c r="AG52" s="300">
        <v>0</v>
      </c>
      <c r="AH52" s="300">
        <v>0</v>
      </c>
      <c r="AI52" s="300">
        <v>0</v>
      </c>
      <c r="AJ52" s="300">
        <v>0</v>
      </c>
      <c r="AK52" s="300">
        <v>0</v>
      </c>
      <c r="AL52" s="300">
        <v>0</v>
      </c>
      <c r="AM52" s="300">
        <v>0</v>
      </c>
      <c r="AN52" s="300">
        <v>0</v>
      </c>
      <c r="AO52" s="300">
        <v>0</v>
      </c>
      <c r="AP52" s="300">
        <v>0</v>
      </c>
      <c r="AQ52" s="300">
        <v>0</v>
      </c>
      <c r="AR52" s="300">
        <v>0</v>
      </c>
      <c r="AS52" s="300">
        <v>0</v>
      </c>
      <c r="AT52" s="300">
        <v>0</v>
      </c>
      <c r="AU52" s="300">
        <v>0</v>
      </c>
      <c r="AV52" s="300">
        <v>0</v>
      </c>
      <c r="AW52" s="300">
        <v>0</v>
      </c>
      <c r="AX52" s="300">
        <v>0</v>
      </c>
      <c r="AY52" s="300">
        <v>0</v>
      </c>
      <c r="AZ52" s="300">
        <v>0</v>
      </c>
      <c r="BA52" s="300">
        <v>0</v>
      </c>
      <c r="BB52" s="300">
        <v>0</v>
      </c>
      <c r="BC52" s="301">
        <v>0</v>
      </c>
      <c r="BD52" s="300">
        <v>0</v>
      </c>
      <c r="BE52" s="300">
        <v>0</v>
      </c>
      <c r="BF52" s="300">
        <v>0</v>
      </c>
      <c r="BG52" s="300">
        <v>0</v>
      </c>
      <c r="BH52" s="300">
        <v>0</v>
      </c>
      <c r="BI52" s="300">
        <v>0</v>
      </c>
      <c r="BJ52" s="300">
        <v>0</v>
      </c>
      <c r="BK52" s="300">
        <v>0</v>
      </c>
      <c r="BL52" s="300">
        <v>0</v>
      </c>
      <c r="BM52" s="300">
        <v>0</v>
      </c>
      <c r="BN52" s="300">
        <v>0</v>
      </c>
      <c r="BO52" s="300">
        <v>0</v>
      </c>
      <c r="BP52" s="300">
        <v>0</v>
      </c>
      <c r="BQ52" s="300">
        <v>0</v>
      </c>
      <c r="BR52" s="300">
        <v>0</v>
      </c>
      <c r="BS52" s="301">
        <v>0</v>
      </c>
      <c r="BT52" s="300">
        <v>0</v>
      </c>
      <c r="BU52">
        <v>0</v>
      </c>
      <c r="BV52" s="300">
        <v>0</v>
      </c>
      <c r="BW52" s="300">
        <v>0</v>
      </c>
      <c r="BX52" s="300">
        <v>0</v>
      </c>
      <c r="BY52" s="300">
        <v>0</v>
      </c>
      <c r="BZ52" s="300">
        <v>0</v>
      </c>
      <c r="CA52" s="300">
        <v>0</v>
      </c>
      <c r="CB52" s="300">
        <v>0</v>
      </c>
      <c r="CC52" s="300">
        <v>0</v>
      </c>
      <c r="CD52" s="300">
        <v>0</v>
      </c>
      <c r="CE52" s="300">
        <v>0</v>
      </c>
      <c r="CF52" s="300">
        <v>0</v>
      </c>
      <c r="CG52" s="300">
        <v>0</v>
      </c>
      <c r="CH52" s="300">
        <v>0</v>
      </c>
      <c r="CI52" s="300">
        <v>0</v>
      </c>
      <c r="CJ52" s="300">
        <v>0</v>
      </c>
      <c r="CK52" s="300">
        <v>0</v>
      </c>
      <c r="CL52" s="300">
        <v>0</v>
      </c>
      <c r="CM52" s="300">
        <v>0</v>
      </c>
      <c r="CN52" s="300">
        <v>0</v>
      </c>
      <c r="CO52" s="300">
        <v>0</v>
      </c>
      <c r="CP52" s="254">
        <v>0.25</v>
      </c>
      <c r="CQ52" s="254"/>
      <c r="CR52" s="254"/>
      <c r="CS52" s="254"/>
      <c r="CT52" s="254"/>
      <c r="CW52" s="301"/>
      <c r="CX52" s="301"/>
      <c r="CY52" s="301"/>
    </row>
    <row r="53" spans="1:103" x14ac:dyDescent="0.2">
      <c r="A53" s="254">
        <v>0.5</v>
      </c>
      <c r="B53" s="122">
        <f t="shared" si="1"/>
        <v>1.1885427472348414E-2</v>
      </c>
      <c r="C53" s="122">
        <f t="shared" si="2"/>
        <v>9.3259991139173024E-3</v>
      </c>
      <c r="D53" s="122">
        <f t="shared" si="3"/>
        <v>1.8691844130605758E-3</v>
      </c>
      <c r="E53" s="122">
        <f t="shared" si="4"/>
        <v>0</v>
      </c>
      <c r="F53" s="122">
        <f t="shared" si="10"/>
        <v>0</v>
      </c>
      <c r="G53" s="299">
        <f>HLOOKUP('Input &amp; Summary'!$B$6,'AEP Input Output sheet'!$N$50:$CO$211,ROW(G53)-49,0)</f>
        <v>0</v>
      </c>
      <c r="H53" s="122">
        <f t="shared" si="5"/>
        <v>0</v>
      </c>
      <c r="I53" s="247">
        <f t="shared" si="6"/>
        <v>0</v>
      </c>
      <c r="J53" s="254">
        <f t="shared" si="7"/>
        <v>0.15219944762268625</v>
      </c>
      <c r="K53" s="122">
        <f t="shared" si="8"/>
        <v>0</v>
      </c>
      <c r="L53" s="122">
        <f t="shared" si="11"/>
        <v>1662.9519221382577</v>
      </c>
      <c r="M53" s="122"/>
      <c r="N53" s="254">
        <f t="shared" si="9"/>
        <v>0</v>
      </c>
      <c r="O53">
        <v>0</v>
      </c>
      <c r="P53">
        <v>0</v>
      </c>
      <c r="Q53">
        <v>0</v>
      </c>
      <c r="R53">
        <v>0</v>
      </c>
      <c r="S53">
        <v>0</v>
      </c>
      <c r="T53">
        <v>0</v>
      </c>
      <c r="U53">
        <v>0</v>
      </c>
      <c r="V53">
        <v>0</v>
      </c>
      <c r="W53">
        <v>0</v>
      </c>
      <c r="X53" s="300">
        <v>0</v>
      </c>
      <c r="Y53" s="300">
        <v>0</v>
      </c>
      <c r="Z53" s="300">
        <v>0</v>
      </c>
      <c r="AA53" s="300">
        <v>0</v>
      </c>
      <c r="AB53" s="301">
        <v>0</v>
      </c>
      <c r="AC53" s="300">
        <v>0</v>
      </c>
      <c r="AD53" s="300">
        <v>0</v>
      </c>
      <c r="AE53" s="300">
        <v>0</v>
      </c>
      <c r="AF53" s="300">
        <v>0</v>
      </c>
      <c r="AG53" s="300">
        <v>0</v>
      </c>
      <c r="AH53" s="300">
        <v>0</v>
      </c>
      <c r="AI53" s="300">
        <v>0</v>
      </c>
      <c r="AJ53" s="300">
        <v>0</v>
      </c>
      <c r="AK53" s="300">
        <v>0</v>
      </c>
      <c r="AL53" s="300">
        <v>0</v>
      </c>
      <c r="AM53" s="300">
        <v>0</v>
      </c>
      <c r="AN53" s="300">
        <v>0</v>
      </c>
      <c r="AO53" s="300">
        <v>0</v>
      </c>
      <c r="AP53" s="300">
        <v>0</v>
      </c>
      <c r="AQ53" s="300">
        <v>0</v>
      </c>
      <c r="AR53" s="300">
        <v>0</v>
      </c>
      <c r="AS53" s="300">
        <v>0</v>
      </c>
      <c r="AT53" s="300">
        <v>0</v>
      </c>
      <c r="AU53" s="300">
        <v>0</v>
      </c>
      <c r="AV53" s="300">
        <v>0</v>
      </c>
      <c r="AW53" s="300">
        <v>0</v>
      </c>
      <c r="AX53" s="300">
        <v>0</v>
      </c>
      <c r="AY53" s="300">
        <v>0</v>
      </c>
      <c r="AZ53" s="300">
        <v>0</v>
      </c>
      <c r="BA53" s="300">
        <v>0</v>
      </c>
      <c r="BB53" s="300">
        <v>0</v>
      </c>
      <c r="BC53" s="301">
        <v>0</v>
      </c>
      <c r="BD53" s="300">
        <v>0</v>
      </c>
      <c r="BE53" s="300">
        <v>0</v>
      </c>
      <c r="BF53" s="300">
        <v>0</v>
      </c>
      <c r="BG53" s="300">
        <v>0</v>
      </c>
      <c r="BH53" s="300">
        <v>0</v>
      </c>
      <c r="BI53" s="300">
        <v>0</v>
      </c>
      <c r="BJ53" s="300">
        <v>0</v>
      </c>
      <c r="BK53" s="300">
        <v>0</v>
      </c>
      <c r="BL53" s="300">
        <v>0</v>
      </c>
      <c r="BM53" s="300">
        <v>0</v>
      </c>
      <c r="BN53" s="300">
        <v>0</v>
      </c>
      <c r="BO53" s="300">
        <v>0</v>
      </c>
      <c r="BP53" s="300">
        <v>0</v>
      </c>
      <c r="BQ53" s="300">
        <v>0</v>
      </c>
      <c r="BR53" s="300">
        <v>0</v>
      </c>
      <c r="BS53" s="301">
        <v>0</v>
      </c>
      <c r="BT53" s="300">
        <v>0</v>
      </c>
      <c r="BU53">
        <v>0</v>
      </c>
      <c r="BV53" s="300">
        <v>0</v>
      </c>
      <c r="BW53" s="300">
        <v>0</v>
      </c>
      <c r="BX53" s="300">
        <v>0</v>
      </c>
      <c r="BY53" s="300">
        <v>0</v>
      </c>
      <c r="BZ53" s="300">
        <v>0</v>
      </c>
      <c r="CA53" s="300">
        <v>0</v>
      </c>
      <c r="CB53" s="300">
        <v>0</v>
      </c>
      <c r="CC53" s="300">
        <v>0</v>
      </c>
      <c r="CD53" s="300">
        <v>0</v>
      </c>
      <c r="CE53" s="300">
        <v>0</v>
      </c>
      <c r="CF53" s="300">
        <v>0</v>
      </c>
      <c r="CG53" s="300">
        <v>0</v>
      </c>
      <c r="CH53" s="300">
        <v>0</v>
      </c>
      <c r="CI53" s="300">
        <v>0</v>
      </c>
      <c r="CJ53" s="300">
        <v>0</v>
      </c>
      <c r="CK53" s="300">
        <v>0</v>
      </c>
      <c r="CL53" s="300">
        <v>0</v>
      </c>
      <c r="CM53" s="300">
        <v>0</v>
      </c>
      <c r="CN53" s="300">
        <v>0</v>
      </c>
      <c r="CO53" s="300">
        <v>0</v>
      </c>
      <c r="CP53" s="254">
        <v>0.5</v>
      </c>
      <c r="CQ53" s="254"/>
      <c r="CR53" s="254"/>
      <c r="CS53" s="254"/>
      <c r="CT53" s="254"/>
      <c r="CW53" s="301"/>
      <c r="CX53" s="301"/>
      <c r="CY53" s="301"/>
    </row>
    <row r="54" spans="1:103" x14ac:dyDescent="0.2">
      <c r="A54" s="254">
        <v>0.75</v>
      </c>
      <c r="B54" s="122">
        <f t="shared" si="1"/>
        <v>1.7761849913209615E-2</v>
      </c>
      <c r="C54" s="122">
        <f t="shared" si="2"/>
        <v>1.452438188877658E-2</v>
      </c>
      <c r="D54" s="122">
        <f t="shared" si="3"/>
        <v>9.824901780145525E-3</v>
      </c>
      <c r="E54" s="122">
        <f t="shared" si="4"/>
        <v>0</v>
      </c>
      <c r="F54" s="122">
        <f t="shared" si="10"/>
        <v>0</v>
      </c>
      <c r="G54" s="299">
        <f>HLOOKUP('Input &amp; Summary'!$B$6,'AEP Input Output sheet'!$N$50:$CO$211,ROW(G54)-49,0)</f>
        <v>0</v>
      </c>
      <c r="H54" s="122">
        <f t="shared" si="5"/>
        <v>0</v>
      </c>
      <c r="I54" s="247">
        <f t="shared" si="6"/>
        <v>0</v>
      </c>
      <c r="J54" s="254">
        <f t="shared" si="7"/>
        <v>0.51367313572656603</v>
      </c>
      <c r="K54" s="122">
        <f t="shared" si="8"/>
        <v>0</v>
      </c>
      <c r="L54" s="122">
        <f t="shared" si="11"/>
        <v>1662.9519221382577</v>
      </c>
      <c r="M54" s="122"/>
      <c r="N54" s="254">
        <f t="shared" si="9"/>
        <v>0</v>
      </c>
      <c r="O54">
        <v>0</v>
      </c>
      <c r="P54">
        <v>0</v>
      </c>
      <c r="Q54">
        <v>0</v>
      </c>
      <c r="R54">
        <v>0</v>
      </c>
      <c r="S54">
        <v>0</v>
      </c>
      <c r="T54">
        <v>0</v>
      </c>
      <c r="U54">
        <v>0</v>
      </c>
      <c r="V54">
        <v>0</v>
      </c>
      <c r="W54">
        <v>0</v>
      </c>
      <c r="X54" s="300">
        <v>0</v>
      </c>
      <c r="Y54" s="300">
        <v>0</v>
      </c>
      <c r="Z54" s="300">
        <v>0</v>
      </c>
      <c r="AA54" s="300">
        <v>0</v>
      </c>
      <c r="AB54" s="301">
        <v>0</v>
      </c>
      <c r="AC54" s="300">
        <v>0</v>
      </c>
      <c r="AD54" s="300">
        <v>0</v>
      </c>
      <c r="AE54" s="300">
        <v>0</v>
      </c>
      <c r="AF54" s="300">
        <v>0</v>
      </c>
      <c r="AG54" s="300">
        <v>0</v>
      </c>
      <c r="AH54" s="300">
        <v>0</v>
      </c>
      <c r="AI54" s="300">
        <v>0</v>
      </c>
      <c r="AJ54" s="300">
        <v>0</v>
      </c>
      <c r="AK54" s="300">
        <v>0</v>
      </c>
      <c r="AL54" s="300">
        <v>0</v>
      </c>
      <c r="AM54" s="300">
        <v>0</v>
      </c>
      <c r="AN54" s="300">
        <v>0</v>
      </c>
      <c r="AO54" s="300">
        <v>0</v>
      </c>
      <c r="AP54" s="300">
        <v>0</v>
      </c>
      <c r="AQ54" s="300">
        <v>0</v>
      </c>
      <c r="AR54" s="300">
        <v>0</v>
      </c>
      <c r="AS54" s="300">
        <v>0</v>
      </c>
      <c r="AT54" s="300">
        <v>0</v>
      </c>
      <c r="AU54" s="300">
        <v>0</v>
      </c>
      <c r="AV54" s="300">
        <v>0</v>
      </c>
      <c r="AW54" s="300">
        <v>0</v>
      </c>
      <c r="AX54" s="300">
        <v>0</v>
      </c>
      <c r="AY54" s="300">
        <v>0</v>
      </c>
      <c r="AZ54" s="300">
        <v>0</v>
      </c>
      <c r="BA54" s="300">
        <v>0</v>
      </c>
      <c r="BB54" s="300">
        <v>0</v>
      </c>
      <c r="BC54" s="301">
        <v>0</v>
      </c>
      <c r="BD54" s="300">
        <v>0</v>
      </c>
      <c r="BE54" s="300">
        <v>0</v>
      </c>
      <c r="BF54" s="300">
        <v>0</v>
      </c>
      <c r="BG54" s="300">
        <v>0</v>
      </c>
      <c r="BH54" s="300">
        <v>0</v>
      </c>
      <c r="BI54" s="300">
        <v>0</v>
      </c>
      <c r="BJ54" s="300">
        <v>0</v>
      </c>
      <c r="BK54" s="300">
        <v>0</v>
      </c>
      <c r="BL54" s="300">
        <v>0</v>
      </c>
      <c r="BM54" s="300">
        <v>0</v>
      </c>
      <c r="BN54" s="300">
        <v>0</v>
      </c>
      <c r="BO54" s="300">
        <v>0</v>
      </c>
      <c r="BP54" s="300">
        <v>0</v>
      </c>
      <c r="BQ54" s="300">
        <v>0</v>
      </c>
      <c r="BR54" s="300">
        <v>0</v>
      </c>
      <c r="BS54" s="301">
        <v>0</v>
      </c>
      <c r="BT54" s="300">
        <v>0</v>
      </c>
      <c r="BU54">
        <v>0</v>
      </c>
      <c r="BV54" s="300">
        <v>0</v>
      </c>
      <c r="BW54" s="300">
        <v>0</v>
      </c>
      <c r="BX54" s="300">
        <v>0</v>
      </c>
      <c r="BY54" s="300">
        <v>0</v>
      </c>
      <c r="BZ54" s="300">
        <v>0</v>
      </c>
      <c r="CA54" s="300">
        <v>0</v>
      </c>
      <c r="CB54" s="300">
        <v>0</v>
      </c>
      <c r="CC54" s="300">
        <v>0</v>
      </c>
      <c r="CD54" s="300">
        <v>0</v>
      </c>
      <c r="CE54" s="300">
        <v>0</v>
      </c>
      <c r="CF54" s="300">
        <v>0</v>
      </c>
      <c r="CG54" s="300">
        <v>0</v>
      </c>
      <c r="CH54" s="300">
        <v>0</v>
      </c>
      <c r="CI54" s="300">
        <v>0</v>
      </c>
      <c r="CJ54" s="300">
        <v>0</v>
      </c>
      <c r="CK54" s="300">
        <v>0</v>
      </c>
      <c r="CL54" s="300">
        <v>0</v>
      </c>
      <c r="CM54" s="300">
        <v>0</v>
      </c>
      <c r="CN54" s="300">
        <v>0</v>
      </c>
      <c r="CO54" s="300">
        <v>0</v>
      </c>
      <c r="CP54" s="254">
        <v>0.75</v>
      </c>
      <c r="CQ54" s="254"/>
      <c r="CR54" s="254"/>
      <c r="CS54" s="254"/>
      <c r="CT54" s="254"/>
      <c r="CW54" s="301"/>
      <c r="CX54" s="301"/>
      <c r="CY54" s="301"/>
    </row>
    <row r="55" spans="1:103" x14ac:dyDescent="0.2">
      <c r="A55" s="254">
        <v>1</v>
      </c>
      <c r="B55" s="122">
        <f t="shared" si="1"/>
        <v>2.3559274673111908E-2</v>
      </c>
      <c r="C55" s="122">
        <f t="shared" si="2"/>
        <v>1.9845014716310748E-2</v>
      </c>
      <c r="D55" s="122">
        <f t="shared" si="3"/>
        <v>3.18198547793812E-2</v>
      </c>
      <c r="E55" s="122">
        <f t="shared" si="4"/>
        <v>0</v>
      </c>
      <c r="F55" s="122">
        <f t="shared" si="10"/>
        <v>0</v>
      </c>
      <c r="G55" s="299">
        <f>HLOOKUP('Input &amp; Summary'!$B$6,'AEP Input Output sheet'!$N$50:$CO$211,ROW(G55)-49,0)</f>
        <v>0</v>
      </c>
      <c r="H55" s="122">
        <f t="shared" si="5"/>
        <v>0</v>
      </c>
      <c r="I55" s="247">
        <f t="shared" si="6"/>
        <v>0</v>
      </c>
      <c r="J55" s="254">
        <f t="shared" si="7"/>
        <v>1.21759558098149</v>
      </c>
      <c r="K55" s="122">
        <f t="shared" si="8"/>
        <v>0</v>
      </c>
      <c r="L55" s="122">
        <f t="shared" si="11"/>
        <v>1662.9519221382577</v>
      </c>
      <c r="M55" s="122"/>
      <c r="N55" s="254">
        <f t="shared" si="9"/>
        <v>0</v>
      </c>
      <c r="O55">
        <v>0</v>
      </c>
      <c r="P55">
        <v>0</v>
      </c>
      <c r="Q55">
        <v>0</v>
      </c>
      <c r="R55">
        <v>0</v>
      </c>
      <c r="S55">
        <v>0</v>
      </c>
      <c r="T55">
        <v>0</v>
      </c>
      <c r="U55">
        <v>0</v>
      </c>
      <c r="V55">
        <v>0</v>
      </c>
      <c r="W55">
        <v>0</v>
      </c>
      <c r="X55" s="300">
        <v>0</v>
      </c>
      <c r="Y55" s="300">
        <v>0</v>
      </c>
      <c r="Z55" s="300">
        <v>0</v>
      </c>
      <c r="AA55" s="300">
        <v>0</v>
      </c>
      <c r="AB55" s="301">
        <v>0</v>
      </c>
      <c r="AC55" s="300">
        <v>0</v>
      </c>
      <c r="AD55" s="300">
        <v>0</v>
      </c>
      <c r="AE55" s="300">
        <v>0</v>
      </c>
      <c r="AF55" s="300">
        <v>0</v>
      </c>
      <c r="AG55" s="300">
        <v>0</v>
      </c>
      <c r="AH55" s="300">
        <v>0</v>
      </c>
      <c r="AI55" s="300">
        <v>0</v>
      </c>
      <c r="AJ55" s="300">
        <v>0</v>
      </c>
      <c r="AK55" s="300">
        <v>0</v>
      </c>
      <c r="AL55" s="300">
        <v>0</v>
      </c>
      <c r="AM55" s="300">
        <v>0</v>
      </c>
      <c r="AN55" s="300">
        <v>0</v>
      </c>
      <c r="AO55" s="300">
        <v>0</v>
      </c>
      <c r="AP55" s="300">
        <v>0</v>
      </c>
      <c r="AQ55" s="300">
        <v>0</v>
      </c>
      <c r="AR55" s="300">
        <v>0</v>
      </c>
      <c r="AS55" s="300">
        <v>0</v>
      </c>
      <c r="AT55" s="300">
        <v>0</v>
      </c>
      <c r="AU55" s="300">
        <v>0</v>
      </c>
      <c r="AV55" s="300">
        <v>0</v>
      </c>
      <c r="AW55" s="300">
        <v>0</v>
      </c>
      <c r="AX55" s="300">
        <v>0</v>
      </c>
      <c r="AY55" s="300">
        <v>0</v>
      </c>
      <c r="AZ55" s="300">
        <v>0</v>
      </c>
      <c r="BA55" s="300">
        <v>0</v>
      </c>
      <c r="BB55" s="300">
        <v>0</v>
      </c>
      <c r="BC55" s="301">
        <v>0</v>
      </c>
      <c r="BD55" s="300">
        <v>0</v>
      </c>
      <c r="BE55" s="300">
        <v>0</v>
      </c>
      <c r="BF55" s="300">
        <v>0</v>
      </c>
      <c r="BG55" s="300">
        <v>0</v>
      </c>
      <c r="BH55" s="300">
        <v>0</v>
      </c>
      <c r="BI55" s="300">
        <v>0</v>
      </c>
      <c r="BJ55" s="300">
        <v>0</v>
      </c>
      <c r="BK55" s="300">
        <v>0</v>
      </c>
      <c r="BL55" s="300">
        <v>0</v>
      </c>
      <c r="BM55" s="300">
        <v>0</v>
      </c>
      <c r="BN55" s="300">
        <v>0</v>
      </c>
      <c r="BO55" s="300">
        <v>0</v>
      </c>
      <c r="BP55" s="300">
        <v>0</v>
      </c>
      <c r="BQ55" s="300">
        <v>0</v>
      </c>
      <c r="BR55" s="300">
        <v>0</v>
      </c>
      <c r="BS55" s="301">
        <v>0</v>
      </c>
      <c r="BT55" s="300">
        <v>0</v>
      </c>
      <c r="BU55">
        <v>0</v>
      </c>
      <c r="BV55" s="300">
        <v>0</v>
      </c>
      <c r="BW55" s="300">
        <v>0</v>
      </c>
      <c r="BX55" s="300">
        <v>0</v>
      </c>
      <c r="BY55" s="300">
        <v>0</v>
      </c>
      <c r="BZ55" s="300">
        <v>0</v>
      </c>
      <c r="CA55" s="300">
        <v>0</v>
      </c>
      <c r="CB55" s="300">
        <v>0</v>
      </c>
      <c r="CC55" s="300">
        <v>0</v>
      </c>
      <c r="CD55" s="300">
        <v>0</v>
      </c>
      <c r="CE55" s="300">
        <v>0</v>
      </c>
      <c r="CF55" s="300">
        <v>0</v>
      </c>
      <c r="CG55" s="300">
        <v>0</v>
      </c>
      <c r="CH55" s="300">
        <v>0</v>
      </c>
      <c r="CI55" s="300">
        <v>0</v>
      </c>
      <c r="CJ55" s="300">
        <v>0</v>
      </c>
      <c r="CK55" s="300">
        <v>0</v>
      </c>
      <c r="CL55" s="300">
        <v>0</v>
      </c>
      <c r="CM55" s="300">
        <v>0</v>
      </c>
      <c r="CN55" s="300">
        <v>0</v>
      </c>
      <c r="CO55" s="300">
        <v>0</v>
      </c>
      <c r="CP55" s="254">
        <v>1</v>
      </c>
      <c r="CQ55" s="254"/>
      <c r="CR55" s="254"/>
      <c r="CS55" s="254"/>
      <c r="CT55" s="254"/>
      <c r="CW55" s="301"/>
      <c r="CX55" s="301"/>
      <c r="CY55" s="301"/>
    </row>
    <row r="56" spans="1:103" x14ac:dyDescent="0.2">
      <c r="A56" s="254">
        <v>1.25</v>
      </c>
      <c r="B56" s="122">
        <f t="shared" si="1"/>
        <v>2.925228283069067E-2</v>
      </c>
      <c r="C56" s="122">
        <f t="shared" si="2"/>
        <v>2.5221776420365796E-2</v>
      </c>
      <c r="D56" s="122">
        <f t="shared" si="3"/>
        <v>7.8986428790999305E-2</v>
      </c>
      <c r="E56" s="122">
        <f t="shared" si="4"/>
        <v>0</v>
      </c>
      <c r="F56" s="122">
        <f t="shared" si="10"/>
        <v>0</v>
      </c>
      <c r="G56" s="299">
        <f>HLOOKUP('Input &amp; Summary'!$B$6,'AEP Input Output sheet'!$N$50:$CO$211,ROW(G56)-49,0)</f>
        <v>0</v>
      </c>
      <c r="H56" s="122">
        <f t="shared" si="5"/>
        <v>0</v>
      </c>
      <c r="I56" s="247">
        <f t="shared" si="6"/>
        <v>0</v>
      </c>
      <c r="J56" s="254">
        <f t="shared" si="7"/>
        <v>2.3781163691044718</v>
      </c>
      <c r="K56" s="122">
        <f t="shared" si="8"/>
        <v>0</v>
      </c>
      <c r="L56" s="122">
        <f t="shared" si="11"/>
        <v>1662.9519221382577</v>
      </c>
      <c r="M56" s="122"/>
      <c r="N56" s="254">
        <f t="shared" si="9"/>
        <v>0</v>
      </c>
      <c r="O56">
        <v>0</v>
      </c>
      <c r="P56">
        <v>0</v>
      </c>
      <c r="Q56">
        <v>0</v>
      </c>
      <c r="R56">
        <v>0</v>
      </c>
      <c r="S56">
        <v>0</v>
      </c>
      <c r="T56">
        <v>0</v>
      </c>
      <c r="U56">
        <v>0</v>
      </c>
      <c r="V56">
        <v>0</v>
      </c>
      <c r="W56">
        <v>0</v>
      </c>
      <c r="X56" s="300">
        <v>0</v>
      </c>
      <c r="Y56" s="300">
        <v>0</v>
      </c>
      <c r="Z56" s="300">
        <v>0</v>
      </c>
      <c r="AA56" s="300">
        <v>0</v>
      </c>
      <c r="AB56" s="301">
        <v>0</v>
      </c>
      <c r="AC56" s="300">
        <v>0</v>
      </c>
      <c r="AD56" s="300">
        <v>0</v>
      </c>
      <c r="AE56" s="300">
        <v>0</v>
      </c>
      <c r="AF56" s="300">
        <v>0</v>
      </c>
      <c r="AG56" s="300">
        <v>0</v>
      </c>
      <c r="AH56" s="300">
        <v>0</v>
      </c>
      <c r="AI56" s="300">
        <v>0</v>
      </c>
      <c r="AJ56" s="300">
        <v>0</v>
      </c>
      <c r="AK56" s="300">
        <v>0</v>
      </c>
      <c r="AL56" s="300">
        <v>0</v>
      </c>
      <c r="AM56" s="300">
        <v>0</v>
      </c>
      <c r="AN56" s="300">
        <v>0</v>
      </c>
      <c r="AO56" s="300">
        <v>0</v>
      </c>
      <c r="AP56" s="300">
        <v>0</v>
      </c>
      <c r="AQ56" s="300">
        <v>0</v>
      </c>
      <c r="AR56" s="300">
        <v>0</v>
      </c>
      <c r="AS56" s="300">
        <v>0</v>
      </c>
      <c r="AT56" s="300">
        <v>0</v>
      </c>
      <c r="AU56" s="300">
        <v>0</v>
      </c>
      <c r="AV56" s="300">
        <v>0</v>
      </c>
      <c r="AW56" s="300">
        <v>0</v>
      </c>
      <c r="AX56" s="300">
        <v>0</v>
      </c>
      <c r="AY56" s="300">
        <v>0</v>
      </c>
      <c r="AZ56" s="300">
        <v>0</v>
      </c>
      <c r="BA56" s="300">
        <v>0</v>
      </c>
      <c r="BB56" s="300">
        <v>0</v>
      </c>
      <c r="BC56" s="301">
        <v>0</v>
      </c>
      <c r="BD56" s="300">
        <v>0</v>
      </c>
      <c r="BE56" s="300">
        <v>0</v>
      </c>
      <c r="BF56" s="300">
        <v>0</v>
      </c>
      <c r="BG56" s="300">
        <v>0</v>
      </c>
      <c r="BH56" s="300">
        <v>0</v>
      </c>
      <c r="BI56" s="300">
        <v>0</v>
      </c>
      <c r="BJ56" s="300">
        <v>0</v>
      </c>
      <c r="BK56" s="300">
        <v>0</v>
      </c>
      <c r="BL56" s="300">
        <v>0</v>
      </c>
      <c r="BM56" s="300">
        <v>0</v>
      </c>
      <c r="BN56" s="300">
        <v>0</v>
      </c>
      <c r="BO56" s="300">
        <v>0</v>
      </c>
      <c r="BP56" s="300">
        <v>0</v>
      </c>
      <c r="BQ56" s="300">
        <v>0</v>
      </c>
      <c r="BR56" s="300">
        <v>0</v>
      </c>
      <c r="BS56" s="301">
        <v>0</v>
      </c>
      <c r="BT56" s="300">
        <v>0</v>
      </c>
      <c r="BU56">
        <v>0</v>
      </c>
      <c r="BV56" s="300">
        <v>0</v>
      </c>
      <c r="BW56" s="300">
        <v>0</v>
      </c>
      <c r="BX56" s="300">
        <v>0</v>
      </c>
      <c r="BY56" s="300">
        <v>0</v>
      </c>
      <c r="BZ56" s="300">
        <v>0</v>
      </c>
      <c r="CA56" s="300">
        <v>0</v>
      </c>
      <c r="CB56" s="300">
        <v>0</v>
      </c>
      <c r="CC56" s="300">
        <v>0</v>
      </c>
      <c r="CD56" s="300">
        <v>0</v>
      </c>
      <c r="CE56" s="300">
        <v>0</v>
      </c>
      <c r="CF56" s="300">
        <v>0</v>
      </c>
      <c r="CG56" s="300">
        <v>0</v>
      </c>
      <c r="CH56" s="300">
        <v>0</v>
      </c>
      <c r="CI56" s="300">
        <v>0</v>
      </c>
      <c r="CJ56" s="300">
        <v>0</v>
      </c>
      <c r="CK56" s="300">
        <v>0</v>
      </c>
      <c r="CL56" s="300">
        <v>0</v>
      </c>
      <c r="CM56" s="300">
        <v>0</v>
      </c>
      <c r="CN56" s="300">
        <v>0</v>
      </c>
      <c r="CO56" s="300">
        <v>0</v>
      </c>
      <c r="CP56" s="254">
        <v>1.25</v>
      </c>
      <c r="CQ56" s="254"/>
      <c r="CR56" s="254"/>
      <c r="CS56" s="254"/>
      <c r="CT56" s="254"/>
      <c r="CW56" s="301"/>
      <c r="CX56" s="301"/>
      <c r="CY56" s="301"/>
    </row>
    <row r="57" spans="1:103" x14ac:dyDescent="0.2">
      <c r="A57" s="254">
        <v>1.5</v>
      </c>
      <c r="B57" s="122">
        <f t="shared" si="1"/>
        <v>3.4816226369657269E-2</v>
      </c>
      <c r="C57" s="122">
        <f t="shared" si="2"/>
        <v>3.0604603182518786E-2</v>
      </c>
      <c r="D57" s="122">
        <f t="shared" si="3"/>
        <v>0.1656179093010085</v>
      </c>
      <c r="E57" s="122">
        <f t="shared" si="4"/>
        <v>0</v>
      </c>
      <c r="F57" s="122">
        <f t="shared" si="10"/>
        <v>0</v>
      </c>
      <c r="G57" s="299">
        <f>HLOOKUP('Input &amp; Summary'!$B$6,'AEP Input Output sheet'!$N$50:$CO$211,ROW(G57)-49,0)</f>
        <v>0</v>
      </c>
      <c r="H57" s="122">
        <f t="shared" si="5"/>
        <v>0</v>
      </c>
      <c r="I57" s="247">
        <f t="shared" si="6"/>
        <v>0</v>
      </c>
      <c r="J57" s="254">
        <f t="shared" si="7"/>
        <v>4.1093850858125283</v>
      </c>
      <c r="K57" s="122">
        <f t="shared" si="8"/>
        <v>0</v>
      </c>
      <c r="L57" s="122">
        <f t="shared" si="11"/>
        <v>1662.9519221382577</v>
      </c>
      <c r="M57" s="122"/>
      <c r="N57" s="254">
        <f t="shared" si="9"/>
        <v>0</v>
      </c>
      <c r="O57">
        <v>0</v>
      </c>
      <c r="P57">
        <v>0</v>
      </c>
      <c r="Q57">
        <v>0</v>
      </c>
      <c r="R57">
        <v>0</v>
      </c>
      <c r="S57">
        <v>0</v>
      </c>
      <c r="T57">
        <v>0</v>
      </c>
      <c r="U57">
        <v>0</v>
      </c>
      <c r="V57">
        <v>0</v>
      </c>
      <c r="W57">
        <v>0</v>
      </c>
      <c r="X57" s="300">
        <v>0</v>
      </c>
      <c r="Y57" s="300">
        <v>0</v>
      </c>
      <c r="Z57" s="300">
        <v>0</v>
      </c>
      <c r="AA57" s="300">
        <v>0</v>
      </c>
      <c r="AB57" s="301">
        <v>0</v>
      </c>
      <c r="AC57" s="300">
        <v>0</v>
      </c>
      <c r="AD57" s="300">
        <v>0</v>
      </c>
      <c r="AE57" s="300">
        <v>0</v>
      </c>
      <c r="AF57" s="300">
        <v>0</v>
      </c>
      <c r="AG57" s="300">
        <v>0</v>
      </c>
      <c r="AH57" s="300">
        <v>0</v>
      </c>
      <c r="AI57" s="300">
        <v>0</v>
      </c>
      <c r="AJ57" s="300">
        <v>0</v>
      </c>
      <c r="AK57" s="300">
        <v>0</v>
      </c>
      <c r="AL57" s="300">
        <v>0</v>
      </c>
      <c r="AM57" s="300">
        <v>0</v>
      </c>
      <c r="AN57" s="300">
        <v>0</v>
      </c>
      <c r="AO57" s="300">
        <v>0</v>
      </c>
      <c r="AP57" s="300">
        <v>0</v>
      </c>
      <c r="AQ57" s="300">
        <v>0</v>
      </c>
      <c r="AR57" s="300">
        <v>0</v>
      </c>
      <c r="AS57" s="300">
        <v>0</v>
      </c>
      <c r="AT57" s="300">
        <v>0</v>
      </c>
      <c r="AU57" s="300">
        <v>0</v>
      </c>
      <c r="AV57" s="300">
        <v>0</v>
      </c>
      <c r="AW57" s="300">
        <v>0</v>
      </c>
      <c r="AX57" s="300">
        <v>0</v>
      </c>
      <c r="AY57" s="300">
        <v>0</v>
      </c>
      <c r="AZ57" s="300">
        <v>0</v>
      </c>
      <c r="BA57" s="300">
        <v>0</v>
      </c>
      <c r="BB57" s="300">
        <v>0</v>
      </c>
      <c r="BC57" s="301">
        <v>0</v>
      </c>
      <c r="BD57" s="300">
        <v>0</v>
      </c>
      <c r="BE57" s="300">
        <v>0</v>
      </c>
      <c r="BF57" s="300">
        <v>0</v>
      </c>
      <c r="BG57" s="300">
        <v>0</v>
      </c>
      <c r="BH57" s="300">
        <v>0</v>
      </c>
      <c r="BI57" s="300">
        <v>0</v>
      </c>
      <c r="BJ57" s="300">
        <v>0</v>
      </c>
      <c r="BK57" s="300">
        <v>0</v>
      </c>
      <c r="BL57" s="300">
        <v>0</v>
      </c>
      <c r="BM57" s="300">
        <v>0</v>
      </c>
      <c r="BN57" s="300">
        <v>0</v>
      </c>
      <c r="BO57" s="300">
        <v>0</v>
      </c>
      <c r="BP57" s="300">
        <v>0</v>
      </c>
      <c r="BQ57" s="300">
        <v>0</v>
      </c>
      <c r="BR57" s="300">
        <v>0</v>
      </c>
      <c r="BS57" s="301">
        <v>0</v>
      </c>
      <c r="BT57" s="300">
        <v>0</v>
      </c>
      <c r="BU57">
        <v>0</v>
      </c>
      <c r="BV57" s="300">
        <v>0</v>
      </c>
      <c r="BW57" s="300">
        <v>0</v>
      </c>
      <c r="BX57" s="300">
        <v>0</v>
      </c>
      <c r="BY57" s="300">
        <v>0</v>
      </c>
      <c r="BZ57" s="300">
        <v>0</v>
      </c>
      <c r="CA57" s="300">
        <v>0</v>
      </c>
      <c r="CB57" s="300">
        <v>0</v>
      </c>
      <c r="CC57" s="300">
        <v>0</v>
      </c>
      <c r="CD57" s="300">
        <v>0</v>
      </c>
      <c r="CE57" s="300">
        <v>0</v>
      </c>
      <c r="CF57" s="300">
        <v>0</v>
      </c>
      <c r="CG57" s="300">
        <v>0</v>
      </c>
      <c r="CH57" s="300">
        <v>0</v>
      </c>
      <c r="CI57" s="300">
        <v>0</v>
      </c>
      <c r="CJ57" s="300">
        <v>0</v>
      </c>
      <c r="CK57" s="300">
        <v>0</v>
      </c>
      <c r="CL57" s="300">
        <v>0</v>
      </c>
      <c r="CM57" s="300">
        <v>0</v>
      </c>
      <c r="CN57" s="300">
        <v>0</v>
      </c>
      <c r="CO57" s="300">
        <v>0</v>
      </c>
      <c r="CP57" s="254">
        <v>1.5</v>
      </c>
      <c r="CQ57" s="254"/>
      <c r="CR57" s="254"/>
      <c r="CS57" s="254"/>
      <c r="CT57" s="254"/>
      <c r="CW57" s="301"/>
      <c r="CX57" s="301"/>
      <c r="CY57" s="301"/>
    </row>
    <row r="58" spans="1:103" x14ac:dyDescent="0.2">
      <c r="A58" s="254">
        <v>1.75</v>
      </c>
      <c r="B58" s="122">
        <f t="shared" si="1"/>
        <v>4.0227405829842404E-2</v>
      </c>
      <c r="C58" s="122">
        <f t="shared" si="2"/>
        <v>3.5951507136676761E-2</v>
      </c>
      <c r="D58" s="122">
        <f t="shared" si="3"/>
        <v>0.30894275520987752</v>
      </c>
      <c r="E58" s="122">
        <f t="shared" si="4"/>
        <v>0</v>
      </c>
      <c r="F58" s="122">
        <f t="shared" si="10"/>
        <v>0</v>
      </c>
      <c r="G58" s="299">
        <f>HLOOKUP('Input &amp; Summary'!$B$6,'AEP Input Output sheet'!$N$50:$CO$211,ROW(G58)-49,0)</f>
        <v>0</v>
      </c>
      <c r="H58" s="122">
        <f t="shared" si="5"/>
        <v>0</v>
      </c>
      <c r="I58" s="247">
        <f t="shared" si="6"/>
        <v>0</v>
      </c>
      <c r="J58" s="254">
        <f t="shared" si="7"/>
        <v>6.5255513168226713</v>
      </c>
      <c r="K58" s="122">
        <f t="shared" si="8"/>
        <v>0</v>
      </c>
      <c r="L58" s="122">
        <f t="shared" si="11"/>
        <v>1662.9519221382577</v>
      </c>
      <c r="M58" s="122"/>
      <c r="N58" s="254">
        <f t="shared" si="9"/>
        <v>0</v>
      </c>
      <c r="O58">
        <v>0</v>
      </c>
      <c r="P58">
        <v>0</v>
      </c>
      <c r="Q58">
        <v>0</v>
      </c>
      <c r="R58">
        <v>0</v>
      </c>
      <c r="S58">
        <v>0</v>
      </c>
      <c r="T58">
        <v>0</v>
      </c>
      <c r="U58">
        <v>0</v>
      </c>
      <c r="V58">
        <v>0</v>
      </c>
      <c r="W58">
        <v>0</v>
      </c>
      <c r="X58" s="300">
        <v>0</v>
      </c>
      <c r="Y58" s="300">
        <v>0</v>
      </c>
      <c r="Z58" s="300">
        <v>0</v>
      </c>
      <c r="AA58" s="300">
        <v>0</v>
      </c>
      <c r="AB58" s="301">
        <v>0</v>
      </c>
      <c r="AC58" s="300">
        <v>0</v>
      </c>
      <c r="AD58" s="300">
        <v>0</v>
      </c>
      <c r="AE58" s="300">
        <v>0</v>
      </c>
      <c r="AF58" s="300">
        <v>0</v>
      </c>
      <c r="AG58" s="300">
        <v>0</v>
      </c>
      <c r="AH58" s="300">
        <v>0</v>
      </c>
      <c r="AI58" s="300">
        <v>0</v>
      </c>
      <c r="AJ58" s="300">
        <v>0</v>
      </c>
      <c r="AK58" s="300">
        <v>0</v>
      </c>
      <c r="AL58" s="300">
        <v>0</v>
      </c>
      <c r="AM58" s="300">
        <v>0</v>
      </c>
      <c r="AN58" s="300">
        <v>0</v>
      </c>
      <c r="AO58" s="300">
        <v>0</v>
      </c>
      <c r="AP58" s="300">
        <v>0</v>
      </c>
      <c r="AQ58" s="300">
        <v>0</v>
      </c>
      <c r="AR58" s="300">
        <v>0</v>
      </c>
      <c r="AS58" s="300">
        <v>0</v>
      </c>
      <c r="AT58" s="300">
        <v>0</v>
      </c>
      <c r="AU58" s="300">
        <v>0</v>
      </c>
      <c r="AV58" s="300">
        <v>0</v>
      </c>
      <c r="AW58" s="300">
        <v>0</v>
      </c>
      <c r="AX58" s="300">
        <v>0</v>
      </c>
      <c r="AY58" s="300">
        <v>0</v>
      </c>
      <c r="AZ58" s="300">
        <v>0</v>
      </c>
      <c r="BA58" s="300">
        <v>0</v>
      </c>
      <c r="BB58" s="300">
        <v>0</v>
      </c>
      <c r="BC58" s="301">
        <v>0</v>
      </c>
      <c r="BD58" s="300">
        <v>0</v>
      </c>
      <c r="BE58" s="300">
        <v>0</v>
      </c>
      <c r="BF58" s="300">
        <v>0</v>
      </c>
      <c r="BG58" s="300">
        <v>0</v>
      </c>
      <c r="BH58" s="300">
        <v>0</v>
      </c>
      <c r="BI58" s="300">
        <v>0</v>
      </c>
      <c r="BJ58" s="300">
        <v>0</v>
      </c>
      <c r="BK58" s="300">
        <v>0</v>
      </c>
      <c r="BL58" s="300">
        <v>0</v>
      </c>
      <c r="BM58" s="300">
        <v>0</v>
      </c>
      <c r="BN58" s="300">
        <v>0</v>
      </c>
      <c r="BO58" s="300">
        <v>0</v>
      </c>
      <c r="BP58" s="300">
        <v>0</v>
      </c>
      <c r="BQ58" s="300">
        <v>0</v>
      </c>
      <c r="BR58" s="300">
        <v>0</v>
      </c>
      <c r="BS58" s="301">
        <v>0</v>
      </c>
      <c r="BT58" s="300">
        <v>0</v>
      </c>
      <c r="BU58">
        <v>0</v>
      </c>
      <c r="BV58" s="300">
        <v>0</v>
      </c>
      <c r="BW58" s="300">
        <v>0</v>
      </c>
      <c r="BX58" s="300">
        <v>0</v>
      </c>
      <c r="BY58" s="300">
        <v>0</v>
      </c>
      <c r="BZ58" s="300">
        <v>0</v>
      </c>
      <c r="CA58" s="300">
        <v>0</v>
      </c>
      <c r="CB58" s="300">
        <v>0</v>
      </c>
      <c r="CC58" s="300">
        <v>0</v>
      </c>
      <c r="CD58" s="300">
        <v>0</v>
      </c>
      <c r="CE58" s="300">
        <v>0</v>
      </c>
      <c r="CF58" s="300">
        <v>0</v>
      </c>
      <c r="CG58" s="300">
        <v>0</v>
      </c>
      <c r="CH58" s="300">
        <v>0</v>
      </c>
      <c r="CI58" s="300">
        <v>0</v>
      </c>
      <c r="CJ58" s="300">
        <v>0</v>
      </c>
      <c r="CK58" s="300">
        <v>0</v>
      </c>
      <c r="CL58" s="300">
        <v>0</v>
      </c>
      <c r="CM58" s="300">
        <v>0</v>
      </c>
      <c r="CN58" s="300">
        <v>0</v>
      </c>
      <c r="CO58" s="300">
        <v>0</v>
      </c>
      <c r="CP58" s="254">
        <v>1.75</v>
      </c>
      <c r="CQ58" s="254"/>
      <c r="CR58" s="254"/>
      <c r="CS58" s="254"/>
      <c r="CT58" s="254"/>
      <c r="CW58" s="301"/>
      <c r="CX58" s="301"/>
      <c r="CY58" s="301"/>
    </row>
    <row r="59" spans="1:103" x14ac:dyDescent="0.2">
      <c r="A59" s="254">
        <v>2</v>
      </c>
      <c r="B59" s="122">
        <f t="shared" si="1"/>
        <v>4.5463238203711981E-2</v>
      </c>
      <c r="C59" s="122">
        <f t="shared" si="2"/>
        <v>4.1225371837734844E-2</v>
      </c>
      <c r="D59" s="122">
        <f t="shared" si="3"/>
        <v>0.52881204226048739</v>
      </c>
      <c r="E59" s="122">
        <f t="shared" si="4"/>
        <v>0</v>
      </c>
      <c r="F59" s="122">
        <f t="shared" si="10"/>
        <v>0</v>
      </c>
      <c r="G59" s="299">
        <f>HLOOKUP('Input &amp; Summary'!$B$6,'AEP Input Output sheet'!$N$50:$CO$211,ROW(G59)-49,0)</f>
        <v>0</v>
      </c>
      <c r="H59" s="122">
        <f t="shared" si="5"/>
        <v>0</v>
      </c>
      <c r="I59" s="247">
        <f t="shared" si="6"/>
        <v>0</v>
      </c>
      <c r="J59" s="254">
        <f t="shared" si="7"/>
        <v>9.7407646478519201</v>
      </c>
      <c r="K59" s="122">
        <f t="shared" si="8"/>
        <v>0</v>
      </c>
      <c r="L59" s="122">
        <f t="shared" si="11"/>
        <v>1662.9519221382577</v>
      </c>
      <c r="M59" s="122"/>
      <c r="N59" s="254">
        <f t="shared" si="9"/>
        <v>0</v>
      </c>
      <c r="O59">
        <v>0</v>
      </c>
      <c r="P59">
        <v>0</v>
      </c>
      <c r="Q59">
        <v>0</v>
      </c>
      <c r="R59">
        <v>0</v>
      </c>
      <c r="S59">
        <v>0</v>
      </c>
      <c r="T59">
        <v>0</v>
      </c>
      <c r="U59">
        <v>0</v>
      </c>
      <c r="V59">
        <v>0</v>
      </c>
      <c r="W59">
        <v>0</v>
      </c>
      <c r="X59" s="300">
        <v>0</v>
      </c>
      <c r="Y59" s="300">
        <v>0</v>
      </c>
      <c r="Z59" s="300">
        <v>1</v>
      </c>
      <c r="AA59" s="300">
        <v>1</v>
      </c>
      <c r="AB59" s="301">
        <v>0</v>
      </c>
      <c r="AC59" s="300">
        <v>0</v>
      </c>
      <c r="AD59" s="300">
        <v>0</v>
      </c>
      <c r="AE59" s="300">
        <v>0</v>
      </c>
      <c r="AF59" s="300">
        <v>0</v>
      </c>
      <c r="AG59" s="300">
        <v>0</v>
      </c>
      <c r="AH59" s="300">
        <v>0</v>
      </c>
      <c r="AI59" s="300">
        <v>0</v>
      </c>
      <c r="AJ59" s="300">
        <v>0</v>
      </c>
      <c r="AK59" s="300">
        <v>0</v>
      </c>
      <c r="AL59" s="300">
        <v>0</v>
      </c>
      <c r="AM59" s="300">
        <v>0</v>
      </c>
      <c r="AN59" s="300">
        <v>0</v>
      </c>
      <c r="AO59" s="300">
        <v>0</v>
      </c>
      <c r="AP59" s="300">
        <v>0</v>
      </c>
      <c r="AQ59" s="300">
        <v>0</v>
      </c>
      <c r="AR59" s="300">
        <v>0</v>
      </c>
      <c r="AS59" s="300">
        <v>0</v>
      </c>
      <c r="AT59" s="300">
        <v>0</v>
      </c>
      <c r="AU59" s="300">
        <v>0</v>
      </c>
      <c r="AV59" s="300">
        <v>0</v>
      </c>
      <c r="AW59" s="300">
        <v>0</v>
      </c>
      <c r="AX59" s="300">
        <v>0</v>
      </c>
      <c r="AY59" s="300">
        <v>0</v>
      </c>
      <c r="AZ59" s="300">
        <v>0</v>
      </c>
      <c r="BA59" s="300">
        <v>0</v>
      </c>
      <c r="BB59" s="300">
        <v>0</v>
      </c>
      <c r="BC59" s="301">
        <v>0</v>
      </c>
      <c r="BD59" s="300">
        <v>0</v>
      </c>
      <c r="BE59" s="300">
        <v>0</v>
      </c>
      <c r="BF59" s="300">
        <v>0</v>
      </c>
      <c r="BG59" s="300">
        <v>0</v>
      </c>
      <c r="BH59" s="300">
        <v>0</v>
      </c>
      <c r="BI59" s="300">
        <v>0</v>
      </c>
      <c r="BJ59" s="300">
        <v>0</v>
      </c>
      <c r="BK59" s="300">
        <v>0</v>
      </c>
      <c r="BL59" s="300">
        <v>0</v>
      </c>
      <c r="BM59" s="300">
        <v>0</v>
      </c>
      <c r="BN59" s="300">
        <v>0</v>
      </c>
      <c r="BO59" s="300">
        <v>0</v>
      </c>
      <c r="BP59" s="300">
        <v>0</v>
      </c>
      <c r="BQ59" s="300">
        <v>0</v>
      </c>
      <c r="BR59" s="300">
        <v>0</v>
      </c>
      <c r="BS59" s="301">
        <v>0</v>
      </c>
      <c r="BT59" s="300">
        <v>0</v>
      </c>
      <c r="BU59">
        <v>0</v>
      </c>
      <c r="BV59" s="300">
        <v>0</v>
      </c>
      <c r="BW59" s="300">
        <v>0</v>
      </c>
      <c r="BX59" s="300">
        <v>0</v>
      </c>
      <c r="BY59" s="300">
        <v>0</v>
      </c>
      <c r="BZ59" s="300">
        <v>0</v>
      </c>
      <c r="CA59" s="300">
        <v>0</v>
      </c>
      <c r="CB59" s="300">
        <v>0</v>
      </c>
      <c r="CC59" s="300">
        <v>0</v>
      </c>
      <c r="CD59" s="300">
        <v>0</v>
      </c>
      <c r="CE59" s="300">
        <v>0</v>
      </c>
      <c r="CF59" s="300">
        <v>0</v>
      </c>
      <c r="CG59" s="300">
        <v>0</v>
      </c>
      <c r="CH59" s="300">
        <v>0</v>
      </c>
      <c r="CI59" s="300">
        <v>0</v>
      </c>
      <c r="CJ59" s="300">
        <v>0</v>
      </c>
      <c r="CK59" s="300">
        <v>0</v>
      </c>
      <c r="CL59" s="300">
        <v>0</v>
      </c>
      <c r="CM59" s="300">
        <v>0</v>
      </c>
      <c r="CN59" s="300">
        <v>0</v>
      </c>
      <c r="CO59" s="300">
        <v>0</v>
      </c>
      <c r="CP59" s="254">
        <v>2</v>
      </c>
      <c r="CQ59" s="254"/>
      <c r="CR59" s="254"/>
      <c r="CS59" s="254"/>
      <c r="CT59" s="254"/>
      <c r="CW59" s="301"/>
      <c r="CX59" s="301"/>
      <c r="CY59" s="301"/>
    </row>
    <row r="60" spans="1:103" x14ac:dyDescent="0.2">
      <c r="A60" s="254">
        <v>2.25</v>
      </c>
      <c r="B60" s="122">
        <f t="shared" si="1"/>
        <v>5.0502413416800805E-2</v>
      </c>
      <c r="C60" s="122">
        <f t="shared" si="2"/>
        <v>4.6392484051670374E-2</v>
      </c>
      <c r="D60" s="122">
        <f t="shared" si="3"/>
        <v>0.84730925358102127</v>
      </c>
      <c r="E60" s="122">
        <f t="shared" si="4"/>
        <v>0</v>
      </c>
      <c r="F60" s="122">
        <f t="shared" si="10"/>
        <v>0</v>
      </c>
      <c r="G60" s="299">
        <f>HLOOKUP('Input &amp; Summary'!$B$6,'AEP Input Output sheet'!$N$50:$CO$211,ROW(G60)-49,0)</f>
        <v>0</v>
      </c>
      <c r="H60" s="122">
        <f t="shared" si="5"/>
        <v>0</v>
      </c>
      <c r="I60" s="247">
        <f t="shared" si="6"/>
        <v>0</v>
      </c>
      <c r="J60" s="254">
        <f t="shared" si="7"/>
        <v>13.869174664617278</v>
      </c>
      <c r="K60" s="122">
        <f t="shared" si="8"/>
        <v>0</v>
      </c>
      <c r="L60" s="122">
        <f t="shared" si="11"/>
        <v>1662.9519221382577</v>
      </c>
      <c r="M60" s="122"/>
      <c r="N60" s="254">
        <f t="shared" si="9"/>
        <v>0</v>
      </c>
      <c r="O60">
        <v>0</v>
      </c>
      <c r="P60">
        <v>0</v>
      </c>
      <c r="Q60">
        <v>0</v>
      </c>
      <c r="R60">
        <v>0</v>
      </c>
      <c r="S60">
        <v>0</v>
      </c>
      <c r="T60">
        <v>0</v>
      </c>
      <c r="U60">
        <v>0</v>
      </c>
      <c r="V60">
        <v>0</v>
      </c>
      <c r="W60">
        <v>0</v>
      </c>
      <c r="X60" s="300">
        <v>0</v>
      </c>
      <c r="Y60" s="300">
        <v>0</v>
      </c>
      <c r="Z60" s="300">
        <v>2.75</v>
      </c>
      <c r="AA60" s="300">
        <v>3</v>
      </c>
      <c r="AB60" s="301">
        <v>0</v>
      </c>
      <c r="AC60" s="300">
        <v>0</v>
      </c>
      <c r="AD60" s="300">
        <v>0</v>
      </c>
      <c r="AE60" s="300">
        <v>0</v>
      </c>
      <c r="AF60" s="300">
        <v>0</v>
      </c>
      <c r="AG60" s="300">
        <v>0</v>
      </c>
      <c r="AH60" s="300">
        <v>0</v>
      </c>
      <c r="AI60" s="300">
        <v>0</v>
      </c>
      <c r="AJ60" s="300">
        <v>0</v>
      </c>
      <c r="AK60" s="300">
        <v>0</v>
      </c>
      <c r="AL60" s="300">
        <v>0</v>
      </c>
      <c r="AM60" s="300">
        <v>0</v>
      </c>
      <c r="AN60" s="300">
        <v>0</v>
      </c>
      <c r="AO60" s="300">
        <v>0</v>
      </c>
      <c r="AP60" s="300">
        <v>0</v>
      </c>
      <c r="AQ60" s="300">
        <v>0</v>
      </c>
      <c r="AR60" s="300">
        <v>0</v>
      </c>
      <c r="AS60" s="300">
        <v>0</v>
      </c>
      <c r="AT60" s="300">
        <v>0</v>
      </c>
      <c r="AU60" s="300">
        <v>0</v>
      </c>
      <c r="AV60" s="300">
        <v>0</v>
      </c>
      <c r="AW60" s="300">
        <v>0</v>
      </c>
      <c r="AX60" s="300">
        <v>0</v>
      </c>
      <c r="AY60" s="300">
        <v>0</v>
      </c>
      <c r="AZ60" s="300">
        <v>0</v>
      </c>
      <c r="BA60" s="300">
        <v>0</v>
      </c>
      <c r="BB60" s="300">
        <v>0</v>
      </c>
      <c r="BC60" s="301">
        <v>0</v>
      </c>
      <c r="BD60" s="300">
        <v>0</v>
      </c>
      <c r="BE60" s="300">
        <v>0</v>
      </c>
      <c r="BF60" s="300">
        <v>0</v>
      </c>
      <c r="BG60" s="300">
        <v>0</v>
      </c>
      <c r="BH60" s="300">
        <v>0</v>
      </c>
      <c r="BI60" s="300">
        <v>0</v>
      </c>
      <c r="BJ60" s="300">
        <v>0</v>
      </c>
      <c r="BK60" s="300">
        <v>0</v>
      </c>
      <c r="BL60" s="300">
        <v>0</v>
      </c>
      <c r="BM60" s="300">
        <v>0</v>
      </c>
      <c r="BN60" s="300">
        <v>0</v>
      </c>
      <c r="BO60" s="300">
        <v>0</v>
      </c>
      <c r="BP60" s="300">
        <v>0</v>
      </c>
      <c r="BQ60" s="300">
        <v>0</v>
      </c>
      <c r="BR60" s="300">
        <v>0</v>
      </c>
      <c r="BS60" s="301">
        <v>0</v>
      </c>
      <c r="BT60" s="300">
        <v>0</v>
      </c>
      <c r="BU60">
        <v>0</v>
      </c>
      <c r="BV60" s="300">
        <v>0</v>
      </c>
      <c r="BW60" s="300">
        <v>0</v>
      </c>
      <c r="BX60" s="300">
        <v>0</v>
      </c>
      <c r="BY60" s="300">
        <v>0</v>
      </c>
      <c r="BZ60" s="300">
        <v>0</v>
      </c>
      <c r="CA60" s="300">
        <v>0</v>
      </c>
      <c r="CB60" s="300">
        <v>0</v>
      </c>
      <c r="CC60" s="300">
        <v>0</v>
      </c>
      <c r="CD60" s="300">
        <v>0</v>
      </c>
      <c r="CE60" s="300">
        <v>0</v>
      </c>
      <c r="CF60" s="300">
        <v>0</v>
      </c>
      <c r="CG60" s="300">
        <v>0</v>
      </c>
      <c r="CH60" s="300">
        <v>0</v>
      </c>
      <c r="CI60" s="300">
        <v>0</v>
      </c>
      <c r="CJ60" s="300">
        <v>0</v>
      </c>
      <c r="CK60" s="300">
        <v>0</v>
      </c>
      <c r="CL60" s="300">
        <v>0</v>
      </c>
      <c r="CM60" s="300">
        <v>0</v>
      </c>
      <c r="CN60" s="300">
        <v>0</v>
      </c>
      <c r="CO60" s="300">
        <v>0</v>
      </c>
      <c r="CP60" s="254">
        <v>2.25</v>
      </c>
      <c r="CQ60" s="254"/>
      <c r="CR60" s="254"/>
      <c r="CS60" s="254"/>
      <c r="CT60" s="254"/>
      <c r="CW60" s="301"/>
      <c r="CX60" s="301"/>
      <c r="CY60" s="301"/>
    </row>
    <row r="61" spans="1:103" x14ac:dyDescent="0.2">
      <c r="A61" s="254">
        <v>2.5</v>
      </c>
      <c r="B61" s="122">
        <f t="shared" si="1"/>
        <v>5.5325037880500957E-2</v>
      </c>
      <c r="C61" s="122">
        <f t="shared" si="2"/>
        <v>5.1421821764068301E-2</v>
      </c>
      <c r="D61" s="122">
        <f t="shared" si="3"/>
        <v>1.2882918301635258</v>
      </c>
      <c r="E61" s="122">
        <f t="shared" si="4"/>
        <v>0</v>
      </c>
      <c r="F61" s="122">
        <f t="shared" si="10"/>
        <v>0</v>
      </c>
      <c r="G61" s="299">
        <f>HLOOKUP('Input &amp; Summary'!$B$6,'AEP Input Output sheet'!$N$50:$CO$211,ROW(G61)-49,0)</f>
        <v>0</v>
      </c>
      <c r="H61" s="122">
        <f t="shared" si="5"/>
        <v>0</v>
      </c>
      <c r="I61" s="247">
        <f t="shared" si="6"/>
        <v>0</v>
      </c>
      <c r="J61" s="254">
        <f t="shared" si="7"/>
        <v>19.024930952835774</v>
      </c>
      <c r="K61" s="122">
        <f t="shared" si="8"/>
        <v>0</v>
      </c>
      <c r="L61" s="122">
        <f t="shared" si="11"/>
        <v>1662.9519221382577</v>
      </c>
      <c r="M61" s="122"/>
      <c r="N61" s="254">
        <f t="shared" si="9"/>
        <v>0</v>
      </c>
      <c r="O61">
        <v>0</v>
      </c>
      <c r="P61">
        <v>0</v>
      </c>
      <c r="Q61">
        <v>0</v>
      </c>
      <c r="R61">
        <v>0</v>
      </c>
      <c r="S61">
        <v>0</v>
      </c>
      <c r="T61">
        <v>0</v>
      </c>
      <c r="U61">
        <v>0</v>
      </c>
      <c r="V61">
        <v>0</v>
      </c>
      <c r="W61">
        <v>0</v>
      </c>
      <c r="X61" s="300">
        <v>0</v>
      </c>
      <c r="Y61" s="300">
        <v>0</v>
      </c>
      <c r="Z61" s="300">
        <v>4.0625</v>
      </c>
      <c r="AA61" s="300">
        <v>4.5</v>
      </c>
      <c r="AB61" s="301">
        <v>0</v>
      </c>
      <c r="AC61" s="300">
        <v>0</v>
      </c>
      <c r="AD61" s="300">
        <v>0</v>
      </c>
      <c r="AE61" s="300">
        <v>0</v>
      </c>
      <c r="AF61" s="300">
        <v>0</v>
      </c>
      <c r="AG61" s="300">
        <v>0</v>
      </c>
      <c r="AH61" s="300">
        <v>0</v>
      </c>
      <c r="AI61" s="300">
        <v>0</v>
      </c>
      <c r="AJ61" s="300">
        <v>0</v>
      </c>
      <c r="AK61" s="300">
        <v>0</v>
      </c>
      <c r="AL61" s="300">
        <v>0</v>
      </c>
      <c r="AM61" s="300">
        <v>0</v>
      </c>
      <c r="AN61" s="300">
        <v>0</v>
      </c>
      <c r="AO61" s="300">
        <v>0</v>
      </c>
      <c r="AP61" s="300">
        <v>0</v>
      </c>
      <c r="AQ61" s="300">
        <v>0</v>
      </c>
      <c r="AR61" s="300">
        <v>0</v>
      </c>
      <c r="AS61" s="300">
        <v>0</v>
      </c>
      <c r="AT61" s="300">
        <v>0</v>
      </c>
      <c r="AU61" s="300">
        <v>0</v>
      </c>
      <c r="AV61" s="300">
        <v>0</v>
      </c>
      <c r="AW61" s="300">
        <v>0</v>
      </c>
      <c r="AX61" s="300">
        <v>0</v>
      </c>
      <c r="AY61" s="300">
        <v>0</v>
      </c>
      <c r="AZ61" s="300">
        <v>0</v>
      </c>
      <c r="BA61" s="300">
        <v>0</v>
      </c>
      <c r="BB61" s="300">
        <v>0</v>
      </c>
      <c r="BC61" s="301">
        <v>0</v>
      </c>
      <c r="BD61" s="300">
        <v>0</v>
      </c>
      <c r="BE61" s="300">
        <v>0</v>
      </c>
      <c r="BF61" s="300">
        <v>0</v>
      </c>
      <c r="BG61" s="300">
        <v>0</v>
      </c>
      <c r="BH61" s="300">
        <v>0</v>
      </c>
      <c r="BI61" s="300">
        <v>0</v>
      </c>
      <c r="BJ61" s="300">
        <v>0</v>
      </c>
      <c r="BK61" s="300">
        <v>0</v>
      </c>
      <c r="BL61" s="300">
        <v>0</v>
      </c>
      <c r="BM61" s="300">
        <v>0</v>
      </c>
      <c r="BN61" s="300">
        <v>0</v>
      </c>
      <c r="BO61" s="300">
        <v>0</v>
      </c>
      <c r="BP61" s="300">
        <v>0</v>
      </c>
      <c r="BQ61" s="300">
        <v>0</v>
      </c>
      <c r="BR61" s="300">
        <v>0</v>
      </c>
      <c r="BS61" s="301">
        <v>0</v>
      </c>
      <c r="BT61" s="300">
        <v>0</v>
      </c>
      <c r="BU61">
        <v>0</v>
      </c>
      <c r="BV61" s="300">
        <v>0</v>
      </c>
      <c r="BW61" s="300">
        <v>0</v>
      </c>
      <c r="BX61" s="300">
        <v>0</v>
      </c>
      <c r="BY61" s="300">
        <v>0</v>
      </c>
      <c r="BZ61" s="300">
        <v>0</v>
      </c>
      <c r="CA61" s="300">
        <v>0</v>
      </c>
      <c r="CB61" s="300">
        <v>0</v>
      </c>
      <c r="CC61" s="300">
        <v>0</v>
      </c>
      <c r="CD61" s="300">
        <v>0</v>
      </c>
      <c r="CE61" s="300">
        <v>0</v>
      </c>
      <c r="CF61" s="300">
        <v>0</v>
      </c>
      <c r="CG61" s="300">
        <v>0</v>
      </c>
      <c r="CH61" s="300">
        <v>0</v>
      </c>
      <c r="CI61" s="300">
        <v>0</v>
      </c>
      <c r="CJ61" s="300">
        <f>CJ64/4</f>
        <v>4.5949999999999998</v>
      </c>
      <c r="CK61" s="300">
        <v>0</v>
      </c>
      <c r="CL61" s="300">
        <v>0</v>
      </c>
      <c r="CM61" s="300">
        <v>0</v>
      </c>
      <c r="CN61" s="300">
        <v>0</v>
      </c>
      <c r="CO61" s="300">
        <v>0</v>
      </c>
      <c r="CP61" s="254">
        <v>2.5</v>
      </c>
      <c r="CQ61" s="254"/>
      <c r="CR61" s="254"/>
      <c r="CS61" s="254"/>
      <c r="CT61" s="254"/>
      <c r="CW61" s="301"/>
      <c r="CX61" s="301"/>
      <c r="CY61" s="301"/>
    </row>
    <row r="62" spans="1:103" x14ac:dyDescent="0.2">
      <c r="A62" s="254">
        <v>2.75</v>
      </c>
      <c r="B62" s="122">
        <f t="shared" si="1"/>
        <v>5.991276377431793E-2</v>
      </c>
      <c r="C62" s="122">
        <f t="shared" si="2"/>
        <v>5.6284711341596107E-2</v>
      </c>
      <c r="D62" s="122">
        <f t="shared" si="3"/>
        <v>1.8768747538733896</v>
      </c>
      <c r="E62" s="122">
        <f t="shared" si="4"/>
        <v>0</v>
      </c>
      <c r="F62" s="122">
        <f t="shared" si="10"/>
        <v>0</v>
      </c>
      <c r="G62" s="299">
        <f>HLOOKUP('Input &amp; Summary'!$B$6,'AEP Input Output sheet'!$N$50:$CO$211,ROW(G62)-49,0)</f>
        <v>0</v>
      </c>
      <c r="H62" s="122">
        <f t="shared" si="5"/>
        <v>0</v>
      </c>
      <c r="I62" s="247">
        <f t="shared" si="6"/>
        <v>0</v>
      </c>
      <c r="J62" s="254">
        <f t="shared" si="7"/>
        <v>25.322183098224418</v>
      </c>
      <c r="K62" s="122">
        <f t="shared" si="8"/>
        <v>0</v>
      </c>
      <c r="L62" s="122">
        <f t="shared" si="11"/>
        <v>1662.9519221382577</v>
      </c>
      <c r="M62" s="122"/>
      <c r="N62" s="254">
        <f t="shared" si="9"/>
        <v>0</v>
      </c>
      <c r="O62">
        <v>0</v>
      </c>
      <c r="P62">
        <v>0</v>
      </c>
      <c r="Q62">
        <v>0</v>
      </c>
      <c r="R62">
        <v>0</v>
      </c>
      <c r="S62">
        <v>0</v>
      </c>
      <c r="T62">
        <v>0</v>
      </c>
      <c r="U62">
        <v>0</v>
      </c>
      <c r="V62">
        <v>0</v>
      </c>
      <c r="W62">
        <v>0</v>
      </c>
      <c r="X62" s="300">
        <v>0</v>
      </c>
      <c r="Y62" s="300">
        <v>0</v>
      </c>
      <c r="Z62" s="300">
        <v>5.375</v>
      </c>
      <c r="AA62" s="300">
        <v>6</v>
      </c>
      <c r="AB62" s="301">
        <v>0</v>
      </c>
      <c r="AC62" s="300">
        <v>0</v>
      </c>
      <c r="AD62" s="300">
        <v>0</v>
      </c>
      <c r="AE62" s="300">
        <v>0</v>
      </c>
      <c r="AF62" s="300">
        <v>0</v>
      </c>
      <c r="AG62" s="300">
        <v>0</v>
      </c>
      <c r="AH62" s="300">
        <v>0</v>
      </c>
      <c r="AI62" s="300">
        <v>0</v>
      </c>
      <c r="AJ62" s="300">
        <v>0</v>
      </c>
      <c r="AK62" s="300">
        <v>0</v>
      </c>
      <c r="AL62" s="300">
        <v>0</v>
      </c>
      <c r="AM62" s="300">
        <v>0</v>
      </c>
      <c r="AN62" s="300">
        <v>0</v>
      </c>
      <c r="AO62" s="300">
        <v>0</v>
      </c>
      <c r="AP62" s="300">
        <v>0</v>
      </c>
      <c r="AQ62" s="300">
        <v>0</v>
      </c>
      <c r="AR62" s="300">
        <v>0</v>
      </c>
      <c r="AS62" s="300">
        <v>0</v>
      </c>
      <c r="AT62" s="300">
        <v>0</v>
      </c>
      <c r="AU62" s="300">
        <v>0</v>
      </c>
      <c r="AV62" s="300">
        <v>0</v>
      </c>
      <c r="AW62" s="300">
        <v>0</v>
      </c>
      <c r="AX62" s="300">
        <v>0</v>
      </c>
      <c r="AY62" s="300">
        <v>0</v>
      </c>
      <c r="AZ62" s="300">
        <v>0</v>
      </c>
      <c r="BA62" s="300">
        <v>0</v>
      </c>
      <c r="BB62" s="300">
        <v>0</v>
      </c>
      <c r="BC62" s="301">
        <v>0</v>
      </c>
      <c r="BD62" s="300">
        <v>0</v>
      </c>
      <c r="BE62" s="300">
        <v>0</v>
      </c>
      <c r="BF62" s="300">
        <v>0</v>
      </c>
      <c r="BG62" s="300">
        <v>0</v>
      </c>
      <c r="BH62" s="300">
        <v>0</v>
      </c>
      <c r="BI62" s="300">
        <v>0</v>
      </c>
      <c r="BJ62" s="300">
        <v>0</v>
      </c>
      <c r="BK62" s="300">
        <v>0</v>
      </c>
      <c r="BL62" s="300">
        <v>0</v>
      </c>
      <c r="BM62" s="300">
        <v>0</v>
      </c>
      <c r="BN62" s="300">
        <v>0</v>
      </c>
      <c r="BO62" s="300">
        <v>0</v>
      </c>
      <c r="BP62" s="300">
        <v>0</v>
      </c>
      <c r="BQ62" s="300">
        <v>0</v>
      </c>
      <c r="BR62" s="300">
        <v>0</v>
      </c>
      <c r="BS62" s="301">
        <v>0</v>
      </c>
      <c r="BT62" s="300">
        <v>0</v>
      </c>
      <c r="BU62">
        <v>0</v>
      </c>
      <c r="BV62" s="300">
        <v>0</v>
      </c>
      <c r="BW62" s="300">
        <v>0</v>
      </c>
      <c r="BX62" s="300">
        <v>0</v>
      </c>
      <c r="BY62" s="300">
        <v>0</v>
      </c>
      <c r="BZ62" s="300">
        <v>0</v>
      </c>
      <c r="CA62" s="300">
        <v>0</v>
      </c>
      <c r="CB62" s="300">
        <v>0</v>
      </c>
      <c r="CC62" s="300">
        <v>0</v>
      </c>
      <c r="CD62" s="300">
        <v>0</v>
      </c>
      <c r="CE62" s="300">
        <v>0</v>
      </c>
      <c r="CF62" s="300">
        <v>0</v>
      </c>
      <c r="CG62" s="300">
        <v>0</v>
      </c>
      <c r="CH62" s="300">
        <v>0</v>
      </c>
      <c r="CI62" s="300">
        <v>0</v>
      </c>
      <c r="CJ62" s="300">
        <f>CJ61+CJ61</f>
        <v>9.19</v>
      </c>
      <c r="CK62" s="300">
        <v>0</v>
      </c>
      <c r="CL62" s="300">
        <v>0</v>
      </c>
      <c r="CM62" s="300">
        <v>0</v>
      </c>
      <c r="CN62" s="300">
        <v>0</v>
      </c>
      <c r="CO62" s="300">
        <v>0</v>
      </c>
      <c r="CP62" s="254">
        <v>2.75</v>
      </c>
      <c r="CQ62" s="254"/>
      <c r="CR62" s="254"/>
      <c r="CS62" s="254"/>
      <c r="CT62" s="254"/>
      <c r="CW62" s="301"/>
      <c r="CX62" s="301"/>
      <c r="CY62" s="301"/>
    </row>
    <row r="63" spans="1:103" x14ac:dyDescent="0.2">
      <c r="A63" s="254">
        <v>3</v>
      </c>
      <c r="B63" s="122">
        <f t="shared" si="1"/>
        <v>6.4248902899380178E-2</v>
      </c>
      <c r="C63" s="122">
        <f t="shared" si="2"/>
        <v>6.0954678225436883E-2</v>
      </c>
      <c r="D63" s="122">
        <f t="shared" si="3"/>
        <v>2.6388674434645543</v>
      </c>
      <c r="E63" s="122">
        <f t="shared" si="4"/>
        <v>0</v>
      </c>
      <c r="F63" s="122">
        <f t="shared" si="10"/>
        <v>0</v>
      </c>
      <c r="G63" s="299">
        <f>HLOOKUP('Input &amp; Summary'!$B$6,'AEP Input Output sheet'!$N$50:$CO$211,ROW(G63)-49,0)</f>
        <v>0</v>
      </c>
      <c r="H63" s="122">
        <f t="shared" si="5"/>
        <v>0</v>
      </c>
      <c r="I63" s="247">
        <f t="shared" si="6"/>
        <v>0</v>
      </c>
      <c r="J63" s="254">
        <f t="shared" si="7"/>
        <v>32.875080686500226</v>
      </c>
      <c r="K63" s="122">
        <f t="shared" si="8"/>
        <v>0</v>
      </c>
      <c r="L63" s="122">
        <f t="shared" si="11"/>
        <v>1662.9519221382577</v>
      </c>
      <c r="M63" s="122"/>
      <c r="N63" s="254">
        <f t="shared" si="9"/>
        <v>0</v>
      </c>
      <c r="O63">
        <v>0</v>
      </c>
      <c r="P63">
        <v>0</v>
      </c>
      <c r="Q63">
        <v>0</v>
      </c>
      <c r="R63">
        <v>0</v>
      </c>
      <c r="S63">
        <v>0</v>
      </c>
      <c r="T63">
        <v>0</v>
      </c>
      <c r="U63">
        <v>9.0000000000000018</v>
      </c>
      <c r="V63">
        <v>21</v>
      </c>
      <c r="W63">
        <v>30</v>
      </c>
      <c r="X63" s="300">
        <v>0</v>
      </c>
      <c r="Y63" s="300">
        <v>0</v>
      </c>
      <c r="Z63" s="300">
        <v>8</v>
      </c>
      <c r="AA63" s="300">
        <v>9</v>
      </c>
      <c r="AB63" s="302">
        <v>0</v>
      </c>
      <c r="AC63" s="300">
        <v>0</v>
      </c>
      <c r="AD63" s="300">
        <v>0</v>
      </c>
      <c r="AE63" s="300">
        <v>0</v>
      </c>
      <c r="AF63" s="300">
        <v>0</v>
      </c>
      <c r="AG63" s="300">
        <v>0</v>
      </c>
      <c r="AH63" s="300">
        <v>3.6266666666666669</v>
      </c>
      <c r="AI63" s="300">
        <v>0</v>
      </c>
      <c r="AJ63" s="300">
        <v>0</v>
      </c>
      <c r="AK63" s="300">
        <v>10</v>
      </c>
      <c r="AL63" s="300">
        <v>10</v>
      </c>
      <c r="AM63" s="300">
        <v>0</v>
      </c>
      <c r="AN63" s="300">
        <v>0</v>
      </c>
      <c r="AO63" s="300">
        <v>0</v>
      </c>
      <c r="AP63" s="300">
        <v>0</v>
      </c>
      <c r="AQ63" s="300">
        <v>0</v>
      </c>
      <c r="AR63" s="300">
        <v>0</v>
      </c>
      <c r="AS63" s="300">
        <v>0</v>
      </c>
      <c r="AT63" s="300">
        <v>21.3</v>
      </c>
      <c r="AU63" s="300">
        <v>0</v>
      </c>
      <c r="AV63" s="300">
        <v>0</v>
      </c>
      <c r="AW63" s="300">
        <v>0</v>
      </c>
      <c r="AX63" s="300">
        <v>0</v>
      </c>
      <c r="AY63" s="300">
        <v>0</v>
      </c>
      <c r="AZ63" s="300">
        <v>0.78</v>
      </c>
      <c r="BA63" s="300">
        <v>0.78</v>
      </c>
      <c r="BB63" s="300">
        <v>0.78</v>
      </c>
      <c r="BC63" s="301">
        <v>0</v>
      </c>
      <c r="BD63" s="300">
        <v>0</v>
      </c>
      <c r="BE63" s="300">
        <v>0</v>
      </c>
      <c r="BF63" s="300">
        <v>0</v>
      </c>
      <c r="BG63" s="300">
        <v>0</v>
      </c>
      <c r="BH63" s="300">
        <v>0</v>
      </c>
      <c r="BI63" s="300">
        <v>1.56</v>
      </c>
      <c r="BJ63" s="300">
        <v>0</v>
      </c>
      <c r="BK63" s="300">
        <v>0</v>
      </c>
      <c r="BL63" s="300">
        <v>0</v>
      </c>
      <c r="BM63" s="300">
        <v>0</v>
      </c>
      <c r="BN63" s="300">
        <v>0</v>
      </c>
      <c r="BO63" s="300">
        <v>0</v>
      </c>
      <c r="BP63" s="300">
        <v>0</v>
      </c>
      <c r="BQ63" s="300">
        <v>4.4933333333333332</v>
      </c>
      <c r="BR63" s="300">
        <v>0</v>
      </c>
      <c r="BS63" s="301">
        <v>0</v>
      </c>
      <c r="BT63" s="300">
        <v>0</v>
      </c>
      <c r="BU63">
        <v>0</v>
      </c>
      <c r="BV63" s="300">
        <v>16</v>
      </c>
      <c r="BW63" s="300">
        <v>0</v>
      </c>
      <c r="BX63" s="300">
        <v>0</v>
      </c>
      <c r="BY63" s="300">
        <v>0</v>
      </c>
      <c r="BZ63" s="300">
        <v>0</v>
      </c>
      <c r="CA63" s="300">
        <v>12.8</v>
      </c>
      <c r="CB63" s="300">
        <v>0</v>
      </c>
      <c r="CC63" s="300">
        <v>0</v>
      </c>
      <c r="CD63" s="300">
        <v>0</v>
      </c>
      <c r="CE63" s="300">
        <v>0</v>
      </c>
      <c r="CF63" s="300">
        <v>0</v>
      </c>
      <c r="CG63" s="300">
        <v>0</v>
      </c>
      <c r="CH63" s="300">
        <v>0</v>
      </c>
      <c r="CI63" s="300">
        <v>0</v>
      </c>
      <c r="CJ63" s="300">
        <f>CJ62+CJ61</f>
        <v>13.785</v>
      </c>
      <c r="CK63" s="300">
        <v>0</v>
      </c>
      <c r="CL63" s="300">
        <v>0</v>
      </c>
      <c r="CM63" s="300">
        <v>72.12</v>
      </c>
      <c r="CN63" s="300">
        <v>0</v>
      </c>
      <c r="CO63" s="300">
        <v>0</v>
      </c>
      <c r="CP63" s="254">
        <v>3</v>
      </c>
      <c r="CQ63" s="254"/>
      <c r="CR63" s="254"/>
      <c r="CS63" s="254"/>
      <c r="CT63" s="254"/>
      <c r="CW63" s="277"/>
      <c r="CX63" s="277"/>
      <c r="CY63" s="277"/>
    </row>
    <row r="64" spans="1:103" x14ac:dyDescent="0.2">
      <c r="A64" s="254">
        <v>3.25</v>
      </c>
      <c r="B64" s="122">
        <f t="shared" si="1"/>
        <v>6.831852414273884E-2</v>
      </c>
      <c r="C64" s="122">
        <f t="shared" si="2"/>
        <v>6.5407402775796361E-2</v>
      </c>
      <c r="D64" s="122">
        <f t="shared" si="3"/>
        <v>3.6001761890839408</v>
      </c>
      <c r="E64" s="122">
        <f t="shared" si="4"/>
        <v>0</v>
      </c>
      <c r="F64" s="122">
        <f t="shared" si="10"/>
        <v>0</v>
      </c>
      <c r="G64" s="299">
        <f>HLOOKUP('Input &amp; Summary'!$B$6,'AEP Input Output sheet'!$N$50:$CO$211,ROW(G64)-49,0)</f>
        <v>0</v>
      </c>
      <c r="H64" s="122">
        <f t="shared" si="5"/>
        <v>0</v>
      </c>
      <c r="I64" s="247">
        <f t="shared" si="6"/>
        <v>0</v>
      </c>
      <c r="J64" s="254">
        <f t="shared" si="7"/>
        <v>41.797773303380197</v>
      </c>
      <c r="K64" s="122">
        <f t="shared" si="8"/>
        <v>0</v>
      </c>
      <c r="L64" s="122">
        <f t="shared" si="11"/>
        <v>1662.9519221382577</v>
      </c>
      <c r="M64" s="122"/>
      <c r="N64" s="254">
        <f t="shared" si="9"/>
        <v>0</v>
      </c>
      <c r="O64">
        <v>0</v>
      </c>
      <c r="P64">
        <v>0</v>
      </c>
      <c r="Q64">
        <v>0</v>
      </c>
      <c r="R64">
        <v>0</v>
      </c>
      <c r="S64">
        <v>0</v>
      </c>
      <c r="T64">
        <v>0</v>
      </c>
      <c r="U64" s="452">
        <v>22.125000000000004</v>
      </c>
      <c r="V64" s="452">
        <v>51.625000000000007</v>
      </c>
      <c r="W64" s="452">
        <v>73.750000000000014</v>
      </c>
      <c r="X64" s="300">
        <v>8.5</v>
      </c>
      <c r="Y64" s="300">
        <v>10</v>
      </c>
      <c r="Z64" s="300">
        <v>13.75</v>
      </c>
      <c r="AA64" s="300">
        <v>15</v>
      </c>
      <c r="AB64" s="254">
        <f>(AB67-AB63)/4+AB63</f>
        <v>15</v>
      </c>
      <c r="AC64" s="300">
        <v>0</v>
      </c>
      <c r="AD64" s="300">
        <v>0</v>
      </c>
      <c r="AE64" s="300">
        <v>0</v>
      </c>
      <c r="AF64" s="300">
        <v>0</v>
      </c>
      <c r="AG64" s="300">
        <v>0</v>
      </c>
      <c r="AH64" s="300">
        <v>7.2533333333333339</v>
      </c>
      <c r="AI64" s="300">
        <v>0</v>
      </c>
      <c r="AJ64" s="300">
        <v>0</v>
      </c>
      <c r="AK64" s="300">
        <v>21.91</v>
      </c>
      <c r="AL64" s="300">
        <v>21.91</v>
      </c>
      <c r="AM64" s="300">
        <v>0</v>
      </c>
      <c r="AN64" s="300">
        <v>0</v>
      </c>
      <c r="AO64" s="300">
        <v>0</v>
      </c>
      <c r="AP64" s="300">
        <v>0</v>
      </c>
      <c r="AQ64" s="300">
        <v>0</v>
      </c>
      <c r="AR64" s="300">
        <v>0</v>
      </c>
      <c r="AS64" s="300">
        <v>0</v>
      </c>
      <c r="AT64" s="300">
        <v>37.200000000000003</v>
      </c>
      <c r="AU64" s="300">
        <v>0</v>
      </c>
      <c r="AV64" s="300">
        <v>0</v>
      </c>
      <c r="AW64" s="300">
        <v>0</v>
      </c>
      <c r="AX64" s="300">
        <v>0</v>
      </c>
      <c r="AY64" s="300">
        <v>0</v>
      </c>
      <c r="AZ64" s="300">
        <v>14.75</v>
      </c>
      <c r="BA64" s="300">
        <v>34.619999999999997</v>
      </c>
      <c r="BB64" s="300">
        <v>12.56</v>
      </c>
      <c r="BC64" s="301">
        <v>0</v>
      </c>
      <c r="BD64" s="300">
        <v>0</v>
      </c>
      <c r="BE64" s="300">
        <v>0</v>
      </c>
      <c r="BF64" s="300">
        <v>0</v>
      </c>
      <c r="BG64" s="300">
        <v>0</v>
      </c>
      <c r="BH64" s="300">
        <v>0</v>
      </c>
      <c r="BI64" s="300">
        <v>5.46</v>
      </c>
      <c r="BJ64" s="300">
        <v>7.25</v>
      </c>
      <c r="BK64" s="300">
        <v>8.75</v>
      </c>
      <c r="BL64" s="300">
        <v>3.75</v>
      </c>
      <c r="BM64" s="300">
        <v>0</v>
      </c>
      <c r="BN64" s="300">
        <v>0</v>
      </c>
      <c r="BO64" s="300">
        <v>12.5</v>
      </c>
      <c r="BP64" s="300">
        <v>0</v>
      </c>
      <c r="BQ64" s="300">
        <v>8.9866666666666664</v>
      </c>
      <c r="BR64" s="300">
        <v>0</v>
      </c>
      <c r="BS64" s="301">
        <v>0</v>
      </c>
      <c r="BT64" s="300">
        <v>0</v>
      </c>
      <c r="BU64">
        <v>0</v>
      </c>
      <c r="BV64" s="300">
        <v>21.25</v>
      </c>
      <c r="BW64" s="300">
        <v>0</v>
      </c>
      <c r="BX64" s="300">
        <v>0</v>
      </c>
      <c r="BY64" s="300">
        <v>0</v>
      </c>
      <c r="BZ64" s="300">
        <v>0</v>
      </c>
      <c r="CA64" s="300">
        <v>12.8</v>
      </c>
      <c r="CB64" s="300">
        <v>0</v>
      </c>
      <c r="CC64" s="300">
        <v>0</v>
      </c>
      <c r="CD64" s="300">
        <v>0</v>
      </c>
      <c r="CE64" s="300">
        <v>0</v>
      </c>
      <c r="CF64" s="300">
        <v>0</v>
      </c>
      <c r="CG64" s="300">
        <v>0</v>
      </c>
      <c r="CH64" s="300">
        <v>0</v>
      </c>
      <c r="CI64" s="300">
        <v>0</v>
      </c>
      <c r="CJ64" s="300">
        <v>18.38</v>
      </c>
      <c r="CK64" s="300">
        <v>0</v>
      </c>
      <c r="CL64" s="300">
        <v>0</v>
      </c>
      <c r="CM64" s="300">
        <v>83.65</v>
      </c>
      <c r="CN64" s="300">
        <v>0</v>
      </c>
      <c r="CO64" s="300">
        <v>0</v>
      </c>
      <c r="CP64" s="254">
        <v>3.25</v>
      </c>
      <c r="CQ64" s="254"/>
      <c r="CR64" s="254"/>
      <c r="CS64" s="254"/>
      <c r="CT64" s="254"/>
      <c r="CW64" s="277"/>
      <c r="CX64" s="277"/>
      <c r="CY64" s="277"/>
    </row>
    <row r="65" spans="1:103" x14ac:dyDescent="0.2">
      <c r="A65" s="254">
        <v>3.5</v>
      </c>
      <c r="B65" s="122">
        <f t="shared" si="1"/>
        <v>7.2108533799730617E-2</v>
      </c>
      <c r="C65" s="122">
        <f t="shared" si="2"/>
        <v>6.9620732998124948E-2</v>
      </c>
      <c r="D65" s="122">
        <f t="shared" si="3"/>
        <v>4.7861851221762528</v>
      </c>
      <c r="E65" s="122">
        <f t="shared" si="4"/>
        <v>0</v>
      </c>
      <c r="F65" s="122">
        <f t="shared" si="10"/>
        <v>0</v>
      </c>
      <c r="G65" s="299">
        <f>HLOOKUP('Input &amp; Summary'!$B$6,'AEP Input Output sheet'!$N$50:$CO$211,ROW(G65)-49,0)</f>
        <v>0</v>
      </c>
      <c r="H65" s="122">
        <f t="shared" si="5"/>
        <v>0</v>
      </c>
      <c r="I65" s="247">
        <f t="shared" si="6"/>
        <v>0</v>
      </c>
      <c r="J65" s="254">
        <f t="shared" si="7"/>
        <v>52.20441053458137</v>
      </c>
      <c r="K65" s="122">
        <f t="shared" si="8"/>
        <v>0</v>
      </c>
      <c r="L65" s="122">
        <f t="shared" si="11"/>
        <v>1662.9519221382577</v>
      </c>
      <c r="M65" s="122"/>
      <c r="N65" s="254">
        <f t="shared" si="9"/>
        <v>0</v>
      </c>
      <c r="O65">
        <v>0</v>
      </c>
      <c r="P65">
        <v>0</v>
      </c>
      <c r="Q65">
        <v>0</v>
      </c>
      <c r="R65">
        <v>0</v>
      </c>
      <c r="S65">
        <v>0</v>
      </c>
      <c r="T65">
        <v>0</v>
      </c>
      <c r="U65" s="452">
        <v>35.25</v>
      </c>
      <c r="V65" s="452">
        <v>82.25</v>
      </c>
      <c r="W65" s="452">
        <v>117.5</v>
      </c>
      <c r="X65" s="300">
        <v>17</v>
      </c>
      <c r="Y65" s="300">
        <v>20</v>
      </c>
      <c r="Z65" s="300">
        <v>18.0625</v>
      </c>
      <c r="AA65" s="300">
        <v>19.5</v>
      </c>
      <c r="AB65" s="254">
        <f>(AB67-AB63)/4+AB64</f>
        <v>30</v>
      </c>
      <c r="AC65" s="300">
        <v>0</v>
      </c>
      <c r="AD65" s="300">
        <v>0</v>
      </c>
      <c r="AE65" s="300">
        <v>0</v>
      </c>
      <c r="AF65" s="300">
        <v>0</v>
      </c>
      <c r="AG65" s="300">
        <v>0</v>
      </c>
      <c r="AH65" s="300">
        <v>10.88</v>
      </c>
      <c r="AI65" s="300">
        <v>0</v>
      </c>
      <c r="AJ65" s="300">
        <v>0</v>
      </c>
      <c r="AK65" s="300">
        <v>29.8</v>
      </c>
      <c r="AL65" s="300">
        <v>29.8</v>
      </c>
      <c r="AM65" s="300">
        <v>0</v>
      </c>
      <c r="AN65" s="300">
        <v>0</v>
      </c>
      <c r="AO65" s="300">
        <v>32.69</v>
      </c>
      <c r="AP65" s="300">
        <v>0</v>
      </c>
      <c r="AQ65" s="300">
        <v>0</v>
      </c>
      <c r="AR65" s="300">
        <v>0</v>
      </c>
      <c r="AS65" s="300">
        <v>0</v>
      </c>
      <c r="AT65" s="300">
        <v>53.100000000000009</v>
      </c>
      <c r="AU65" s="300">
        <v>0</v>
      </c>
      <c r="AV65" s="300">
        <v>21.32</v>
      </c>
      <c r="AW65" s="300">
        <v>13.98</v>
      </c>
      <c r="AX65" s="300">
        <v>25.71</v>
      </c>
      <c r="AY65" s="300">
        <v>0</v>
      </c>
      <c r="AZ65" s="300">
        <v>27.17</v>
      </c>
      <c r="BA65" s="300">
        <v>64.72</v>
      </c>
      <c r="BB65" s="300">
        <v>41.92</v>
      </c>
      <c r="BC65" s="302">
        <v>0</v>
      </c>
      <c r="BD65" s="300">
        <v>0</v>
      </c>
      <c r="BE65" s="300">
        <v>0</v>
      </c>
      <c r="BF65" s="300">
        <v>16.02</v>
      </c>
      <c r="BG65" s="300">
        <v>0</v>
      </c>
      <c r="BH65" s="300">
        <v>0</v>
      </c>
      <c r="BI65" s="300">
        <v>9.36</v>
      </c>
      <c r="BJ65" s="300">
        <v>14.5</v>
      </c>
      <c r="BK65" s="300">
        <v>17.5</v>
      </c>
      <c r="BL65" s="300">
        <v>7.5</v>
      </c>
      <c r="BM65" s="300">
        <v>5</v>
      </c>
      <c r="BN65" s="300">
        <v>5</v>
      </c>
      <c r="BO65" s="300">
        <v>25</v>
      </c>
      <c r="BP65" s="300">
        <v>13.48</v>
      </c>
      <c r="BQ65" s="300">
        <v>13.48</v>
      </c>
      <c r="BR65" s="300">
        <v>47.35</v>
      </c>
      <c r="BS65" s="302">
        <v>0</v>
      </c>
      <c r="BT65" s="300">
        <v>38.515000000000001</v>
      </c>
      <c r="BU65">
        <v>0</v>
      </c>
      <c r="BV65" s="300">
        <v>26.5</v>
      </c>
      <c r="BW65" s="300">
        <v>8.75</v>
      </c>
      <c r="BX65" s="300">
        <v>0</v>
      </c>
      <c r="BY65" s="300">
        <v>0</v>
      </c>
      <c r="BZ65" s="300">
        <v>0</v>
      </c>
      <c r="CA65" s="300">
        <v>16.46</v>
      </c>
      <c r="CB65" s="300">
        <v>0</v>
      </c>
      <c r="CC65" s="300">
        <v>0</v>
      </c>
      <c r="CD65" s="300">
        <v>0</v>
      </c>
      <c r="CE65" s="300">
        <v>0</v>
      </c>
      <c r="CF65" s="300">
        <v>18.920000000000002</v>
      </c>
      <c r="CG65" s="300">
        <v>0</v>
      </c>
      <c r="CH65" s="300">
        <v>0</v>
      </c>
      <c r="CI65" s="300">
        <v>18.559999999999999</v>
      </c>
      <c r="CJ65" s="300">
        <v>29.56</v>
      </c>
      <c r="CK65" s="300">
        <v>26.442499999999999</v>
      </c>
      <c r="CL65" s="300">
        <v>0</v>
      </c>
      <c r="CM65" s="300">
        <v>106.73</v>
      </c>
      <c r="CN65" s="300">
        <v>0</v>
      </c>
      <c r="CO65" s="300">
        <v>0</v>
      </c>
      <c r="CP65" s="254">
        <v>3.5</v>
      </c>
      <c r="CQ65" s="254"/>
      <c r="CR65" s="254"/>
      <c r="CS65" s="254"/>
      <c r="CT65" s="254"/>
      <c r="CW65" s="277"/>
      <c r="CX65" s="277"/>
      <c r="CY65" s="277"/>
    </row>
    <row r="66" spans="1:103" x14ac:dyDescent="0.2">
      <c r="A66" s="254">
        <v>3.75</v>
      </c>
      <c r="B66" s="122">
        <f t="shared" si="1"/>
        <v>7.56077382161843E-2</v>
      </c>
      <c r="C66" s="122">
        <f t="shared" si="2"/>
        <v>7.3574725970558863E-2</v>
      </c>
      <c r="D66" s="122">
        <f t="shared" si="3"/>
        <v>6.2211292509497582</v>
      </c>
      <c r="E66" s="122">
        <f t="shared" si="4"/>
        <v>0</v>
      </c>
      <c r="F66" s="122">
        <f t="shared" si="10"/>
        <v>0</v>
      </c>
      <c r="G66" s="299">
        <f>HLOOKUP('Input &amp; Summary'!$B$6,'AEP Input Output sheet'!$N$50:$CO$211,ROW(G66)-49,0)</f>
        <v>0</v>
      </c>
      <c r="H66" s="122">
        <f t="shared" si="5"/>
        <v>0</v>
      </c>
      <c r="I66" s="247">
        <f t="shared" si="6"/>
        <v>0</v>
      </c>
      <c r="J66" s="254">
        <f t="shared" si="7"/>
        <v>64.209141965820749</v>
      </c>
      <c r="K66" s="122">
        <f t="shared" si="8"/>
        <v>0</v>
      </c>
      <c r="L66" s="122">
        <f t="shared" si="11"/>
        <v>1662.9519221382577</v>
      </c>
      <c r="M66" s="122"/>
      <c r="N66" s="254">
        <f t="shared" si="9"/>
        <v>0</v>
      </c>
      <c r="O66">
        <v>0</v>
      </c>
      <c r="P66">
        <v>0</v>
      </c>
      <c r="Q66">
        <v>0</v>
      </c>
      <c r="R66">
        <v>0</v>
      </c>
      <c r="S66">
        <v>0</v>
      </c>
      <c r="T66">
        <v>0</v>
      </c>
      <c r="U66" s="452">
        <v>48.375</v>
      </c>
      <c r="V66" s="452">
        <v>112.875</v>
      </c>
      <c r="W66" s="452">
        <v>161.25</v>
      </c>
      <c r="X66" s="300">
        <v>25.5</v>
      </c>
      <c r="Y66" s="300">
        <v>30</v>
      </c>
      <c r="Z66" s="300">
        <v>22.375</v>
      </c>
      <c r="AA66" s="300">
        <v>24</v>
      </c>
      <c r="AB66" s="254">
        <f>(AB67-AB63)/4+AB65</f>
        <v>45</v>
      </c>
      <c r="AC66" s="300">
        <v>0</v>
      </c>
      <c r="AD66" s="300">
        <v>0</v>
      </c>
      <c r="AE66" s="300">
        <v>0</v>
      </c>
      <c r="AF66" s="300">
        <v>0</v>
      </c>
      <c r="AG66" s="300">
        <v>0</v>
      </c>
      <c r="AH66" s="300">
        <v>14.9</v>
      </c>
      <c r="AI66" s="300">
        <v>0</v>
      </c>
      <c r="AJ66" s="300">
        <v>0</v>
      </c>
      <c r="AK66" s="300">
        <v>37.69</v>
      </c>
      <c r="AL66" s="300">
        <v>37.69</v>
      </c>
      <c r="AM66" s="300">
        <v>0</v>
      </c>
      <c r="AN66" s="300">
        <v>0</v>
      </c>
      <c r="AO66" s="300">
        <v>53.89</v>
      </c>
      <c r="AP66" s="300">
        <v>0</v>
      </c>
      <c r="AQ66" s="300">
        <v>0</v>
      </c>
      <c r="AR66" s="300">
        <v>0</v>
      </c>
      <c r="AS66" s="300">
        <v>0</v>
      </c>
      <c r="AT66" s="300">
        <v>69.000000000000014</v>
      </c>
      <c r="AU66" s="300">
        <v>0</v>
      </c>
      <c r="AV66" s="300">
        <v>33.51</v>
      </c>
      <c r="AW66" s="300">
        <v>45.74</v>
      </c>
      <c r="AX66" s="300">
        <v>37.14</v>
      </c>
      <c r="AY66" s="300">
        <v>0</v>
      </c>
      <c r="AZ66" s="300">
        <v>39.6</v>
      </c>
      <c r="BA66" s="300">
        <v>94.81</v>
      </c>
      <c r="BB66" s="300">
        <v>51.78</v>
      </c>
      <c r="BC66" s="302">
        <v>25</v>
      </c>
      <c r="BD66" s="300">
        <v>0</v>
      </c>
      <c r="BE66" s="300">
        <v>0</v>
      </c>
      <c r="BF66" s="300">
        <v>26.1</v>
      </c>
      <c r="BG66" s="300">
        <v>0</v>
      </c>
      <c r="BH66" s="300">
        <v>0</v>
      </c>
      <c r="BI66" s="300">
        <v>13.26</v>
      </c>
      <c r="BJ66" s="300">
        <v>21.75</v>
      </c>
      <c r="BK66" s="300">
        <v>26.25</v>
      </c>
      <c r="BL66" s="300">
        <v>11.25</v>
      </c>
      <c r="BM66" s="300">
        <v>22.5</v>
      </c>
      <c r="BN66" s="300">
        <v>20</v>
      </c>
      <c r="BO66" s="300">
        <v>37.5</v>
      </c>
      <c r="BP66" s="300">
        <v>18.100000000000001</v>
      </c>
      <c r="BQ66" s="300">
        <v>34.5</v>
      </c>
      <c r="BR66" s="300">
        <v>94.7</v>
      </c>
      <c r="BS66" s="302">
        <v>20</v>
      </c>
      <c r="BT66" s="300">
        <v>77.03</v>
      </c>
      <c r="BU66" s="300">
        <v>63.7</v>
      </c>
      <c r="BV66" s="300">
        <v>31.75</v>
      </c>
      <c r="BW66" s="300">
        <v>17.5</v>
      </c>
      <c r="BX66" s="300">
        <v>0</v>
      </c>
      <c r="BY66" s="300">
        <v>0</v>
      </c>
      <c r="BZ66" s="300">
        <v>0</v>
      </c>
      <c r="CA66" s="300">
        <v>20.12</v>
      </c>
      <c r="CB66" s="300">
        <v>0</v>
      </c>
      <c r="CC66" s="300">
        <v>0</v>
      </c>
      <c r="CD66" s="300">
        <v>0</v>
      </c>
      <c r="CE66" s="300">
        <v>0</v>
      </c>
      <c r="CF66" s="300">
        <v>46.54</v>
      </c>
      <c r="CG66" s="300">
        <v>0</v>
      </c>
      <c r="CH66" s="300">
        <v>0</v>
      </c>
      <c r="CI66" s="300">
        <v>35.39</v>
      </c>
      <c r="CJ66" s="300">
        <v>40.880000000000003</v>
      </c>
      <c r="CK66" s="300">
        <v>52.884999999999998</v>
      </c>
      <c r="CL66" s="300">
        <v>0</v>
      </c>
      <c r="CM66" s="300">
        <v>135.58000000000001</v>
      </c>
      <c r="CN66" s="300">
        <v>0</v>
      </c>
      <c r="CO66" s="300">
        <v>0</v>
      </c>
      <c r="CP66" s="254">
        <v>3.75</v>
      </c>
      <c r="CQ66" s="254"/>
      <c r="CR66" s="254"/>
      <c r="CS66" s="254"/>
      <c r="CT66" s="254"/>
      <c r="CW66" s="277"/>
      <c r="CX66" s="277"/>
      <c r="CY66" s="277"/>
    </row>
    <row r="67" spans="1:103" x14ac:dyDescent="0.2">
      <c r="A67" s="254">
        <v>4</v>
      </c>
      <c r="B67" s="122">
        <f t="shared" si="1"/>
        <v>7.8806888430259736E-2</v>
      </c>
      <c r="C67" s="122">
        <f t="shared" si="2"/>
        <v>7.7251700598145748E-2</v>
      </c>
      <c r="D67" s="122">
        <f t="shared" si="3"/>
        <v>7.9274733476646873</v>
      </c>
      <c r="E67" s="122">
        <f t="shared" si="4"/>
        <v>0</v>
      </c>
      <c r="F67" s="122">
        <f t="shared" si="10"/>
        <v>0</v>
      </c>
      <c r="G67" s="299">
        <f>HLOOKUP('Input &amp; Summary'!$B$6,'AEP Input Output sheet'!$N$50:$CO$211,ROW(G67)-49,0)</f>
        <v>0</v>
      </c>
      <c r="H67" s="122">
        <f t="shared" si="5"/>
        <v>0</v>
      </c>
      <c r="I67" s="247">
        <f t="shared" si="6"/>
        <v>0</v>
      </c>
      <c r="J67" s="254">
        <f t="shared" si="7"/>
        <v>77.926117182815361</v>
      </c>
      <c r="K67" s="122">
        <f t="shared" si="8"/>
        <v>0</v>
      </c>
      <c r="L67" s="122">
        <f t="shared" si="11"/>
        <v>1662.9519221382577</v>
      </c>
      <c r="M67" s="122"/>
      <c r="N67" s="254">
        <f t="shared" si="9"/>
        <v>0</v>
      </c>
      <c r="O67" s="452">
        <v>28.499999999999996</v>
      </c>
      <c r="P67" s="452">
        <v>66.5</v>
      </c>
      <c r="Q67" s="452">
        <v>95</v>
      </c>
      <c r="R67" s="452">
        <v>42</v>
      </c>
      <c r="S67" s="452">
        <v>98</v>
      </c>
      <c r="T67" s="452">
        <v>140</v>
      </c>
      <c r="U67" s="452">
        <v>61.5</v>
      </c>
      <c r="V67" s="452">
        <v>143.50000000000003</v>
      </c>
      <c r="W67" s="452">
        <v>205.00000000000003</v>
      </c>
      <c r="X67" s="300">
        <v>34</v>
      </c>
      <c r="Y67" s="300">
        <v>40</v>
      </c>
      <c r="Z67" s="300">
        <v>31</v>
      </c>
      <c r="AA67" s="300">
        <v>33</v>
      </c>
      <c r="AB67" s="302">
        <v>60</v>
      </c>
      <c r="AC67" s="300">
        <v>32</v>
      </c>
      <c r="AD67" s="300">
        <v>24.62</v>
      </c>
      <c r="AE67" s="300">
        <v>24.62</v>
      </c>
      <c r="AF67" s="300">
        <v>24.56</v>
      </c>
      <c r="AG67" s="300">
        <v>14.89</v>
      </c>
      <c r="AH67" s="300">
        <v>26.75</v>
      </c>
      <c r="AI67" s="300">
        <v>1.67</v>
      </c>
      <c r="AJ67" s="300">
        <v>8.2899999999999991</v>
      </c>
      <c r="AK67" s="300">
        <v>45.58</v>
      </c>
      <c r="AL67" s="300">
        <v>45.58</v>
      </c>
      <c r="AM67" s="300">
        <v>30</v>
      </c>
      <c r="AN67" s="300">
        <v>30</v>
      </c>
      <c r="AO67" s="300">
        <v>75.09</v>
      </c>
      <c r="AP67" s="300">
        <v>16.600000000000001</v>
      </c>
      <c r="AQ67" s="300">
        <v>27.9</v>
      </c>
      <c r="AR67" s="300">
        <v>66.3</v>
      </c>
      <c r="AS67" s="300">
        <v>78.599999999999994</v>
      </c>
      <c r="AT67" s="300">
        <v>84.9</v>
      </c>
      <c r="AU67" s="300">
        <v>36</v>
      </c>
      <c r="AV67" s="300">
        <v>45.69</v>
      </c>
      <c r="AW67" s="300">
        <v>114.19</v>
      </c>
      <c r="AX67" s="300">
        <v>54.29</v>
      </c>
      <c r="AY67" s="300">
        <v>1.03</v>
      </c>
      <c r="AZ67" s="300">
        <v>53.56</v>
      </c>
      <c r="BA67" s="300">
        <v>105.09</v>
      </c>
      <c r="BB67" s="300">
        <v>81.14</v>
      </c>
      <c r="BC67" s="302">
        <v>50</v>
      </c>
      <c r="BD67" s="300">
        <v>9.11</v>
      </c>
      <c r="BE67" s="300">
        <v>9.11</v>
      </c>
      <c r="BF67" s="300">
        <v>36.19</v>
      </c>
      <c r="BG67" s="300">
        <v>0</v>
      </c>
      <c r="BH67" s="300">
        <v>28</v>
      </c>
      <c r="BI67" s="300">
        <v>17.16</v>
      </c>
      <c r="BJ67" s="300">
        <v>29</v>
      </c>
      <c r="BK67" s="300">
        <v>35</v>
      </c>
      <c r="BL67" s="300">
        <v>15</v>
      </c>
      <c r="BM67" s="300">
        <v>40</v>
      </c>
      <c r="BN67" s="300">
        <v>35</v>
      </c>
      <c r="BO67" s="300">
        <v>50</v>
      </c>
      <c r="BP67" s="300">
        <v>28.26</v>
      </c>
      <c r="BQ67" s="300">
        <v>55.19</v>
      </c>
      <c r="BR67" s="300">
        <v>125</v>
      </c>
      <c r="BS67" s="302">
        <v>50</v>
      </c>
      <c r="BT67" s="300">
        <v>95.4</v>
      </c>
      <c r="BU67" s="300">
        <v>83.23</v>
      </c>
      <c r="BV67" s="300">
        <v>37</v>
      </c>
      <c r="BW67" s="300">
        <v>35</v>
      </c>
      <c r="BX67" s="300">
        <v>14</v>
      </c>
      <c r="BY67" s="300">
        <v>1</v>
      </c>
      <c r="BZ67" s="300">
        <v>1</v>
      </c>
      <c r="CA67" s="300">
        <v>23.78</v>
      </c>
      <c r="CB67" s="300">
        <v>22.5</v>
      </c>
      <c r="CC67" s="300">
        <v>0</v>
      </c>
      <c r="CD67" s="300">
        <v>0</v>
      </c>
      <c r="CE67" s="300">
        <v>3.27</v>
      </c>
      <c r="CF67" s="300">
        <v>73.81</v>
      </c>
      <c r="CG67" s="300">
        <v>3</v>
      </c>
      <c r="CH67" s="300">
        <v>58.85</v>
      </c>
      <c r="CI67" s="300">
        <v>52.21</v>
      </c>
      <c r="CJ67" s="300">
        <v>57.7</v>
      </c>
      <c r="CK67" s="300">
        <v>88.141666666666666</v>
      </c>
      <c r="CL67" s="300">
        <v>119.31</v>
      </c>
      <c r="CM67" s="300">
        <v>170.19</v>
      </c>
      <c r="CN67" s="300">
        <v>9.11</v>
      </c>
      <c r="CO67" s="300">
        <v>7.5</v>
      </c>
      <c r="CP67" s="254">
        <v>4</v>
      </c>
      <c r="CQ67" s="254"/>
      <c r="CR67" s="254"/>
      <c r="CS67" s="254"/>
      <c r="CT67" s="254"/>
      <c r="CW67" s="277"/>
      <c r="CX67" s="277"/>
      <c r="CY67" s="277"/>
    </row>
    <row r="68" spans="1:103" x14ac:dyDescent="0.2">
      <c r="A68" s="254">
        <v>4.25</v>
      </c>
      <c r="B68" s="122">
        <f t="shared" si="1"/>
        <v>8.1698706711941418E-2</v>
      </c>
      <c r="C68" s="122">
        <f t="shared" si="2"/>
        <v>8.0636290511040834E-2</v>
      </c>
      <c r="D68" s="122">
        <f t="shared" si="3"/>
        <v>9.9253104310396143</v>
      </c>
      <c r="E68" s="122">
        <f t="shared" si="4"/>
        <v>5.1666183142915481</v>
      </c>
      <c r="F68" s="122">
        <f t="shared" si="10"/>
        <v>5.1666183142915463</v>
      </c>
      <c r="G68" s="299">
        <f>HLOOKUP('Input &amp; Summary'!$B$6,'AEP Input Output sheet'!$N$50:$CO$211,ROW(G68)-49,0)</f>
        <v>64.073114990131216</v>
      </c>
      <c r="H68" s="122">
        <f t="shared" si="5"/>
        <v>93.469485771282137</v>
      </c>
      <c r="I68" s="247">
        <f t="shared" si="6"/>
        <v>0.68549767297229791</v>
      </c>
      <c r="J68" s="254">
        <f t="shared" si="7"/>
        <v>93.469485771282137</v>
      </c>
      <c r="K68" s="122">
        <f t="shared" si="8"/>
        <v>0</v>
      </c>
      <c r="L68" s="122">
        <f t="shared" si="11"/>
        <v>1662.9519221382577</v>
      </c>
      <c r="M68" s="122"/>
      <c r="N68" s="254">
        <f t="shared" si="9"/>
        <v>64.073114990131216</v>
      </c>
      <c r="O68" s="452">
        <v>46.875</v>
      </c>
      <c r="P68" s="452">
        <v>109.375</v>
      </c>
      <c r="Q68" s="452">
        <v>156.25</v>
      </c>
      <c r="R68" s="452">
        <v>64.5</v>
      </c>
      <c r="S68" s="452">
        <v>150.5</v>
      </c>
      <c r="T68" s="452">
        <v>214.99999999999997</v>
      </c>
      <c r="U68" s="452">
        <v>84.375</v>
      </c>
      <c r="V68" s="452">
        <v>196.875</v>
      </c>
      <c r="W68" s="452">
        <v>281.25</v>
      </c>
      <c r="X68" s="300">
        <v>50.25</v>
      </c>
      <c r="Y68" s="300">
        <v>59.5</v>
      </c>
      <c r="Z68" s="300">
        <v>40.5</v>
      </c>
      <c r="AA68" s="300">
        <v>43</v>
      </c>
      <c r="AB68" s="254">
        <f>(AB71-AB67)/4+AB67</f>
        <v>103.75</v>
      </c>
      <c r="AC68" s="300">
        <v>46.5</v>
      </c>
      <c r="AD68" s="300">
        <v>34.159999999999997</v>
      </c>
      <c r="AE68" s="300">
        <v>43.81</v>
      </c>
      <c r="AF68" s="300">
        <v>38.979999999999997</v>
      </c>
      <c r="AG68" s="300">
        <v>29.34</v>
      </c>
      <c r="AH68" s="300">
        <v>34.69</v>
      </c>
      <c r="AI68" s="300">
        <v>3.42</v>
      </c>
      <c r="AJ68" s="300">
        <v>15.09</v>
      </c>
      <c r="AK68" s="300">
        <v>66.7</v>
      </c>
      <c r="AL68" s="300">
        <v>66.7</v>
      </c>
      <c r="AM68" s="300">
        <v>69.790000000000006</v>
      </c>
      <c r="AN68" s="300">
        <v>69.790000000000006</v>
      </c>
      <c r="AO68" s="300">
        <v>122.79</v>
      </c>
      <c r="AP68" s="300">
        <v>24.875</v>
      </c>
      <c r="AQ68" s="300">
        <v>37.225000000000001</v>
      </c>
      <c r="AR68" s="300">
        <v>87.724999999999994</v>
      </c>
      <c r="AS68" s="300">
        <v>104.25</v>
      </c>
      <c r="AT68" s="300">
        <v>113</v>
      </c>
      <c r="AU68" s="300">
        <v>51</v>
      </c>
      <c r="AV68" s="300">
        <v>65.209999999999994</v>
      </c>
      <c r="AW68" s="300">
        <v>145.94</v>
      </c>
      <c r="AX68" s="300">
        <v>77.14</v>
      </c>
      <c r="AY68" s="300">
        <v>5.17</v>
      </c>
      <c r="AZ68" s="300">
        <v>69.099999999999994</v>
      </c>
      <c r="BA68" s="300">
        <v>154.79</v>
      </c>
      <c r="BB68" s="300">
        <v>120.21</v>
      </c>
      <c r="BC68" s="254">
        <f>(BC71-BC67)/4+BC67</f>
        <v>107.5</v>
      </c>
      <c r="BD68" s="300">
        <v>9.17</v>
      </c>
      <c r="BE68" s="300">
        <v>16.75</v>
      </c>
      <c r="BF68" s="300">
        <v>46.26</v>
      </c>
      <c r="BG68" s="300">
        <v>0</v>
      </c>
      <c r="BH68" s="300">
        <v>57</v>
      </c>
      <c r="BI68" s="300">
        <v>24.032499999999999</v>
      </c>
      <c r="BJ68" s="300">
        <v>40</v>
      </c>
      <c r="BK68" s="300">
        <v>70</v>
      </c>
      <c r="BL68" s="300">
        <v>41.5</v>
      </c>
      <c r="BM68" s="300">
        <v>71.5</v>
      </c>
      <c r="BN68" s="300">
        <v>66.5</v>
      </c>
      <c r="BO68" s="300">
        <v>92.75</v>
      </c>
      <c r="BP68" s="300">
        <v>48.48</v>
      </c>
      <c r="BQ68" s="300">
        <v>75.8</v>
      </c>
      <c r="BR68" s="300">
        <v>162.88</v>
      </c>
      <c r="BS68" s="254">
        <f>(BS71-BS67)/4+BS67</f>
        <v>93.75</v>
      </c>
      <c r="BT68" s="300">
        <v>109.39</v>
      </c>
      <c r="BU68" s="300">
        <v>112.97</v>
      </c>
      <c r="BV68" s="300">
        <v>52.75</v>
      </c>
      <c r="BW68" s="300">
        <v>48.5</v>
      </c>
      <c r="BX68" s="300">
        <v>45</v>
      </c>
      <c r="BY68" s="300">
        <v>9.25</v>
      </c>
      <c r="BZ68" s="300">
        <v>25.5</v>
      </c>
      <c r="CA68" s="300">
        <v>31.1</v>
      </c>
      <c r="CB68" s="300">
        <v>28.875</v>
      </c>
      <c r="CC68" s="300">
        <v>0</v>
      </c>
      <c r="CD68" s="300">
        <v>0</v>
      </c>
      <c r="CE68" s="300">
        <v>6.89</v>
      </c>
      <c r="CF68" s="300">
        <v>108.85</v>
      </c>
      <c r="CG68" s="300">
        <v>27</v>
      </c>
      <c r="CH68" s="300">
        <v>62.25</v>
      </c>
      <c r="CI68" s="300">
        <v>74.56</v>
      </c>
      <c r="CJ68" s="300">
        <v>80.06</v>
      </c>
      <c r="CK68" s="300">
        <v>105.77</v>
      </c>
      <c r="CL68" s="300">
        <v>139.91</v>
      </c>
      <c r="CM68" s="300">
        <v>204.81</v>
      </c>
      <c r="CN68" s="300">
        <v>13.19</v>
      </c>
      <c r="CO68" s="300">
        <v>22.324999999999999</v>
      </c>
      <c r="CP68" s="254">
        <v>4.25</v>
      </c>
      <c r="CQ68" s="254"/>
      <c r="CR68" s="254"/>
      <c r="CS68" s="254"/>
      <c r="CT68" s="254"/>
      <c r="CW68" s="277"/>
      <c r="CX68" s="277"/>
      <c r="CY68" s="277"/>
    </row>
    <row r="69" spans="1:103" x14ac:dyDescent="0.2">
      <c r="A69" s="254">
        <v>4.5</v>
      </c>
      <c r="B69" s="122">
        <f t="shared" si="1"/>
        <v>8.4277895113451851E-2</v>
      </c>
      <c r="C69" s="122">
        <f t="shared" si="2"/>
        <v>8.3715489686480238E-2</v>
      </c>
      <c r="D69" s="122">
        <f t="shared" si="3"/>
        <v>12.231793236235179</v>
      </c>
      <c r="E69" s="122">
        <f t="shared" si="4"/>
        <v>6.7030346428084542</v>
      </c>
      <c r="F69" s="122">
        <f t="shared" si="10"/>
        <v>6.7030346428084533</v>
      </c>
      <c r="G69" s="299">
        <f>HLOOKUP('Input &amp; Summary'!$B$6,'AEP Input Output sheet'!$N$50:$CO$211,ROW(G69)-49,0)</f>
        <v>80.069228142984514</v>
      </c>
      <c r="H69" s="122">
        <f t="shared" si="5"/>
        <v>110.95339731693822</v>
      </c>
      <c r="I69" s="247">
        <f t="shared" si="6"/>
        <v>0.72164737699979453</v>
      </c>
      <c r="J69" s="254">
        <f t="shared" si="7"/>
        <v>110.95339731693822</v>
      </c>
      <c r="K69" s="122">
        <f t="shared" si="8"/>
        <v>0</v>
      </c>
      <c r="L69" s="122">
        <f t="shared" si="11"/>
        <v>1662.9519221382577</v>
      </c>
      <c r="M69" s="122"/>
      <c r="N69" s="254">
        <f t="shared" si="9"/>
        <v>80.069228142984514</v>
      </c>
      <c r="O69" s="452">
        <v>65.25</v>
      </c>
      <c r="P69" s="452">
        <v>152.25</v>
      </c>
      <c r="Q69" s="452">
        <v>217.49999999999997</v>
      </c>
      <c r="R69" s="452">
        <v>87</v>
      </c>
      <c r="S69" s="452">
        <v>203</v>
      </c>
      <c r="T69" s="452">
        <v>290</v>
      </c>
      <c r="U69" s="452">
        <v>107.24999999999999</v>
      </c>
      <c r="V69" s="452">
        <v>250.24999999999997</v>
      </c>
      <c r="W69" s="452">
        <v>357.5</v>
      </c>
      <c r="X69" s="300">
        <v>66.5</v>
      </c>
      <c r="Y69" s="300">
        <v>79</v>
      </c>
      <c r="Z69" s="300">
        <v>47.625</v>
      </c>
      <c r="AA69" s="300">
        <v>50.5</v>
      </c>
      <c r="AB69" s="254">
        <f>(AB71-AB67)/4+AB68</f>
        <v>147.5</v>
      </c>
      <c r="AC69" s="300">
        <v>57.375</v>
      </c>
      <c r="AD69" s="300">
        <v>72.64</v>
      </c>
      <c r="AE69" s="300">
        <v>67.81</v>
      </c>
      <c r="AF69" s="300">
        <v>58.17</v>
      </c>
      <c r="AG69" s="300">
        <v>53.34</v>
      </c>
      <c r="AH69" s="300">
        <v>50.48</v>
      </c>
      <c r="AI69" s="300">
        <v>10.58</v>
      </c>
      <c r="AJ69" s="300">
        <v>28</v>
      </c>
      <c r="AK69" s="300">
        <v>87.83</v>
      </c>
      <c r="AL69" s="300">
        <v>90.47</v>
      </c>
      <c r="AM69" s="300">
        <v>96.29</v>
      </c>
      <c r="AN69" s="300">
        <v>96.29</v>
      </c>
      <c r="AO69" s="300">
        <v>159.88999999999999</v>
      </c>
      <c r="AP69" s="300">
        <v>33.15</v>
      </c>
      <c r="AQ69" s="300">
        <v>46.550000000000004</v>
      </c>
      <c r="AR69" s="300">
        <v>109.14999999999999</v>
      </c>
      <c r="AS69" s="300">
        <v>129.9</v>
      </c>
      <c r="AT69" s="300">
        <v>141.1</v>
      </c>
      <c r="AU69" s="300">
        <v>66</v>
      </c>
      <c r="AV69" s="300">
        <v>79.83</v>
      </c>
      <c r="AW69" s="300">
        <v>177.69</v>
      </c>
      <c r="AX69" s="300">
        <v>111.43</v>
      </c>
      <c r="AY69" s="300">
        <v>11.35</v>
      </c>
      <c r="AZ69" s="300">
        <v>90.83</v>
      </c>
      <c r="BA69" s="300">
        <v>184.89</v>
      </c>
      <c r="BB69" s="300">
        <v>139.78</v>
      </c>
      <c r="BC69" s="254">
        <f>(BC71-BC67)/4+BC68</f>
        <v>165</v>
      </c>
      <c r="BD69" s="300">
        <v>16.89</v>
      </c>
      <c r="BE69" s="300">
        <v>19.690000000000001</v>
      </c>
      <c r="BF69" s="300">
        <v>58.35</v>
      </c>
      <c r="BG69" s="300">
        <v>0</v>
      </c>
      <c r="BH69" s="300">
        <v>86</v>
      </c>
      <c r="BI69" s="300">
        <v>30.904999999999998</v>
      </c>
      <c r="BJ69" s="300">
        <v>51</v>
      </c>
      <c r="BK69" s="300">
        <v>105</v>
      </c>
      <c r="BL69" s="300">
        <v>68</v>
      </c>
      <c r="BM69" s="300">
        <v>103</v>
      </c>
      <c r="BN69" s="300">
        <v>98</v>
      </c>
      <c r="BO69" s="300">
        <v>135.5</v>
      </c>
      <c r="BP69" s="300">
        <v>63.65</v>
      </c>
      <c r="BQ69" s="300">
        <v>96.4</v>
      </c>
      <c r="BR69" s="300">
        <v>208.33</v>
      </c>
      <c r="BS69" s="254">
        <f>(BS71-BS67)/4+BS68</f>
        <v>137.5</v>
      </c>
      <c r="BT69" s="300">
        <v>123.38</v>
      </c>
      <c r="BU69" s="300">
        <v>132.5</v>
      </c>
      <c r="BV69" s="300">
        <v>68.5</v>
      </c>
      <c r="BW69" s="300">
        <v>62</v>
      </c>
      <c r="BX69" s="300">
        <v>76</v>
      </c>
      <c r="BY69" s="300">
        <v>17.5</v>
      </c>
      <c r="BZ69" s="300">
        <v>50</v>
      </c>
      <c r="CA69" s="300">
        <v>38.409999999999997</v>
      </c>
      <c r="CB69" s="300">
        <v>35.25</v>
      </c>
      <c r="CC69" s="300">
        <v>0</v>
      </c>
      <c r="CD69" s="300">
        <v>0</v>
      </c>
      <c r="CE69" s="300">
        <v>13.13</v>
      </c>
      <c r="CF69" s="300">
        <v>147.79</v>
      </c>
      <c r="CG69" s="300">
        <v>51</v>
      </c>
      <c r="CH69" s="300">
        <v>72.48</v>
      </c>
      <c r="CI69" s="300">
        <v>96.88</v>
      </c>
      <c r="CJ69" s="300">
        <v>102.37</v>
      </c>
      <c r="CK69" s="300">
        <v>129.41</v>
      </c>
      <c r="CL69" s="300">
        <v>181.12</v>
      </c>
      <c r="CM69" s="300">
        <v>245.19</v>
      </c>
      <c r="CN69" s="300">
        <v>22.48</v>
      </c>
      <c r="CO69" s="300">
        <v>37.15</v>
      </c>
      <c r="CP69" s="254">
        <v>4.5</v>
      </c>
      <c r="CQ69" s="254"/>
      <c r="CR69" s="254"/>
      <c r="CS69" s="254"/>
      <c r="CT69" s="254"/>
      <c r="CW69" s="277"/>
      <c r="CX69" s="277"/>
      <c r="CY69" s="277"/>
    </row>
    <row r="70" spans="1:103" x14ac:dyDescent="0.2">
      <c r="A70" s="254">
        <v>4.75</v>
      </c>
      <c r="B70" s="122">
        <f t="shared" si="1"/>
        <v>8.6541126352996892E-2</v>
      </c>
      <c r="C70" s="122">
        <f t="shared" si="2"/>
        <v>8.6478685794837917E-2</v>
      </c>
      <c r="D70" s="122">
        <f t="shared" si="3"/>
        <v>14.860611408442251</v>
      </c>
      <c r="E70" s="122">
        <f t="shared" si="4"/>
        <v>8.4701712416212214</v>
      </c>
      <c r="F70" s="122">
        <f t="shared" si="10"/>
        <v>8.4701712416212214</v>
      </c>
      <c r="G70" s="299">
        <f>HLOOKUP('Input &amp; Summary'!$B$6,'AEP Input Output sheet'!$N$50:$CO$211,ROW(G70)-49,0)</f>
        <v>97.945189196281973</v>
      </c>
      <c r="H70" s="122">
        <f t="shared" si="5"/>
        <v>130.49200140550062</v>
      </c>
      <c r="I70" s="247">
        <f t="shared" si="6"/>
        <v>0.75058385296674057</v>
      </c>
      <c r="J70" s="254">
        <f t="shared" si="7"/>
        <v>130.49200140550062</v>
      </c>
      <c r="K70" s="122">
        <f t="shared" si="8"/>
        <v>0</v>
      </c>
      <c r="L70" s="122">
        <f t="shared" si="11"/>
        <v>1662.9519221382577</v>
      </c>
      <c r="M70" s="122"/>
      <c r="N70" s="254">
        <f t="shared" si="9"/>
        <v>97.945189196281973</v>
      </c>
      <c r="O70" s="452">
        <v>83.624999999999986</v>
      </c>
      <c r="P70" s="452">
        <v>195.125</v>
      </c>
      <c r="Q70" s="452">
        <v>278.74999999999994</v>
      </c>
      <c r="R70" s="452">
        <v>109.49999999999999</v>
      </c>
      <c r="S70" s="452">
        <v>255.5</v>
      </c>
      <c r="T70" s="452">
        <v>365</v>
      </c>
      <c r="U70" s="452">
        <v>130.125</v>
      </c>
      <c r="V70" s="452">
        <v>303.625</v>
      </c>
      <c r="W70" s="452">
        <v>433.74999999999994</v>
      </c>
      <c r="X70" s="300">
        <v>82.75</v>
      </c>
      <c r="Y70" s="300">
        <v>98.5</v>
      </c>
      <c r="Z70" s="300">
        <v>54.75</v>
      </c>
      <c r="AA70" s="300">
        <v>58</v>
      </c>
      <c r="AB70" s="254">
        <f>(AB71-AB67)/4+AB69</f>
        <v>191.25</v>
      </c>
      <c r="AC70" s="300">
        <v>68.25</v>
      </c>
      <c r="AD70" s="300">
        <v>106.29</v>
      </c>
      <c r="AE70" s="300">
        <v>96.64</v>
      </c>
      <c r="AF70" s="300">
        <v>82.17</v>
      </c>
      <c r="AG70" s="300">
        <v>72.53</v>
      </c>
      <c r="AH70" s="300">
        <v>66.27</v>
      </c>
      <c r="AI70" s="300">
        <v>19.55</v>
      </c>
      <c r="AJ70" s="300">
        <v>40.54</v>
      </c>
      <c r="AK70" s="300">
        <v>108.95</v>
      </c>
      <c r="AL70" s="300">
        <v>119.53</v>
      </c>
      <c r="AM70" s="300">
        <v>122.79</v>
      </c>
      <c r="AN70" s="300">
        <v>122.79</v>
      </c>
      <c r="AO70" s="300">
        <v>202.3</v>
      </c>
      <c r="AP70" s="300">
        <v>41.424999999999997</v>
      </c>
      <c r="AQ70" s="300">
        <v>55.875000000000007</v>
      </c>
      <c r="AR70" s="300">
        <v>130.57499999999999</v>
      </c>
      <c r="AS70" s="300">
        <v>155.55000000000001</v>
      </c>
      <c r="AT70" s="300">
        <v>169.2</v>
      </c>
      <c r="AU70" s="300">
        <v>85</v>
      </c>
      <c r="AV70" s="300">
        <v>104.25</v>
      </c>
      <c r="AW70" s="300">
        <v>211.89</v>
      </c>
      <c r="AX70" s="300">
        <v>145.71</v>
      </c>
      <c r="AY70" s="300">
        <v>19.63</v>
      </c>
      <c r="AZ70" s="300">
        <v>107.92</v>
      </c>
      <c r="BA70" s="300">
        <v>214.76</v>
      </c>
      <c r="BB70" s="300">
        <v>188.55</v>
      </c>
      <c r="BC70" s="254">
        <f>(BC71-BC67)/4+BC69</f>
        <v>222.5</v>
      </c>
      <c r="BD70" s="300">
        <v>24.6</v>
      </c>
      <c r="BE70" s="300">
        <v>28.37</v>
      </c>
      <c r="BF70" s="300">
        <v>68.44</v>
      </c>
      <c r="BG70" s="300">
        <v>0</v>
      </c>
      <c r="BH70" s="300">
        <v>115</v>
      </c>
      <c r="BI70" s="300">
        <v>37.777499999999996</v>
      </c>
      <c r="BJ70" s="300">
        <v>62</v>
      </c>
      <c r="BK70" s="300">
        <v>140</v>
      </c>
      <c r="BL70" s="300">
        <v>94.5</v>
      </c>
      <c r="BM70" s="300">
        <v>136.5</v>
      </c>
      <c r="BN70" s="300">
        <v>136.5</v>
      </c>
      <c r="BO70" s="300">
        <v>178.25</v>
      </c>
      <c r="BP70" s="300">
        <v>88.88</v>
      </c>
      <c r="BQ70" s="300">
        <v>122.03</v>
      </c>
      <c r="BR70" s="300">
        <v>253.79</v>
      </c>
      <c r="BS70" s="254">
        <f>(BS71-BS67)/4+BS69</f>
        <v>181.25</v>
      </c>
      <c r="BT70" s="300">
        <v>141.56</v>
      </c>
      <c r="BU70" s="300">
        <v>172.44</v>
      </c>
      <c r="BV70" s="300">
        <v>84.25</v>
      </c>
      <c r="BW70" s="300">
        <v>75.5</v>
      </c>
      <c r="BX70" s="300">
        <v>107</v>
      </c>
      <c r="BY70" s="300">
        <v>25.75</v>
      </c>
      <c r="BZ70" s="300">
        <v>74.5</v>
      </c>
      <c r="CA70" s="300">
        <v>49.39</v>
      </c>
      <c r="CB70" s="300">
        <v>41.625</v>
      </c>
      <c r="CC70" s="300">
        <v>0</v>
      </c>
      <c r="CD70" s="300">
        <v>0</v>
      </c>
      <c r="CE70" s="300">
        <v>22.4</v>
      </c>
      <c r="CF70" s="300">
        <v>194.49</v>
      </c>
      <c r="CG70" s="300">
        <v>75</v>
      </c>
      <c r="CH70" s="300">
        <v>89.6</v>
      </c>
      <c r="CI70" s="300">
        <v>124.69</v>
      </c>
      <c r="CJ70" s="300">
        <v>130.18</v>
      </c>
      <c r="CK70" s="300">
        <v>153.12</v>
      </c>
      <c r="CL70" s="300">
        <v>222.32</v>
      </c>
      <c r="CM70" s="300">
        <v>297.12</v>
      </c>
      <c r="CN70" s="300">
        <v>28.74</v>
      </c>
      <c r="CO70" s="300">
        <v>51.974999999999994</v>
      </c>
      <c r="CP70" s="254">
        <v>4.75</v>
      </c>
      <c r="CQ70" s="254"/>
      <c r="CR70" s="254"/>
      <c r="CS70" s="254"/>
      <c r="CT70" s="254"/>
      <c r="CW70" s="277"/>
      <c r="CX70" s="277"/>
      <c r="CY70" s="277"/>
    </row>
    <row r="71" spans="1:103" x14ac:dyDescent="0.2">
      <c r="A71" s="254">
        <v>5</v>
      </c>
      <c r="B71" s="122">
        <f t="shared" si="1"/>
        <v>8.8487017554366776E-2</v>
      </c>
      <c r="C71" s="122">
        <f t="shared" si="2"/>
        <v>8.8917677916564214E-2</v>
      </c>
      <c r="D71" s="122">
        <f t="shared" si="3"/>
        <v>17.821526206147158</v>
      </c>
      <c r="E71" s="122">
        <f t="shared" si="4"/>
        <v>10.474985650081015</v>
      </c>
      <c r="F71" s="122">
        <f t="shared" si="10"/>
        <v>10.474985650081013</v>
      </c>
      <c r="G71" s="299">
        <f>HLOOKUP('Input &amp; Summary'!$B$6,'AEP Input Output sheet'!$N$50:$CO$211,ROW(G71)-49,0)</f>
        <v>117.80543414449264</v>
      </c>
      <c r="H71" s="122">
        <f t="shared" si="5"/>
        <v>152.19944762268619</v>
      </c>
      <c r="I71" s="247">
        <f t="shared" si="6"/>
        <v>0.77402011626573775</v>
      </c>
      <c r="J71" s="254">
        <f t="shared" si="7"/>
        <v>152.19944762268619</v>
      </c>
      <c r="K71" s="122">
        <f t="shared" si="8"/>
        <v>0</v>
      </c>
      <c r="L71" s="122">
        <f t="shared" si="11"/>
        <v>1662.9519221382577</v>
      </c>
      <c r="M71" s="122"/>
      <c r="N71" s="254">
        <f t="shared" si="9"/>
        <v>117.80543414449264</v>
      </c>
      <c r="O71" s="452">
        <v>101.99999999999999</v>
      </c>
      <c r="P71" s="452">
        <v>237.99999999999997</v>
      </c>
      <c r="Q71" s="452">
        <v>339.99999999999994</v>
      </c>
      <c r="R71" s="452">
        <v>132</v>
      </c>
      <c r="S71" s="452">
        <v>308</v>
      </c>
      <c r="T71" s="452">
        <v>439.99999999999994</v>
      </c>
      <c r="U71" s="452">
        <v>153</v>
      </c>
      <c r="V71" s="452">
        <v>357</v>
      </c>
      <c r="W71" s="452">
        <v>510</v>
      </c>
      <c r="X71" s="300">
        <v>99</v>
      </c>
      <c r="Y71" s="300">
        <v>118</v>
      </c>
      <c r="Z71" s="300">
        <v>69</v>
      </c>
      <c r="AA71" s="300">
        <v>73</v>
      </c>
      <c r="AB71" s="302">
        <v>235</v>
      </c>
      <c r="AC71" s="300">
        <v>90</v>
      </c>
      <c r="AD71" s="300">
        <v>135.12</v>
      </c>
      <c r="AE71" s="300">
        <v>120.65</v>
      </c>
      <c r="AF71" s="300">
        <v>111.01</v>
      </c>
      <c r="AG71" s="300">
        <v>96.54</v>
      </c>
      <c r="AH71" s="300">
        <v>85.97</v>
      </c>
      <c r="AI71" s="300">
        <v>26.72</v>
      </c>
      <c r="AJ71" s="300">
        <v>53.39</v>
      </c>
      <c r="AK71" s="300">
        <v>124.77</v>
      </c>
      <c r="AL71" s="300">
        <v>143.29</v>
      </c>
      <c r="AM71" s="300">
        <v>149.29</v>
      </c>
      <c r="AN71" s="300">
        <v>165.19</v>
      </c>
      <c r="AO71" s="300">
        <v>239.4</v>
      </c>
      <c r="AP71" s="300">
        <v>49.7</v>
      </c>
      <c r="AQ71" s="300">
        <v>65.2</v>
      </c>
      <c r="AR71" s="300">
        <v>152</v>
      </c>
      <c r="AS71" s="300">
        <v>181.2</v>
      </c>
      <c r="AT71" s="300">
        <v>197.3</v>
      </c>
      <c r="AU71" s="300">
        <v>104</v>
      </c>
      <c r="AV71" s="300">
        <v>128.66</v>
      </c>
      <c r="AW71" s="300">
        <v>248.54</v>
      </c>
      <c r="AX71" s="300">
        <v>185.71</v>
      </c>
      <c r="AY71" s="300">
        <v>34.090000000000003</v>
      </c>
      <c r="AZ71" s="300">
        <v>131.21</v>
      </c>
      <c r="BA71" s="300">
        <v>264.47000000000003</v>
      </c>
      <c r="BB71" s="300">
        <v>237.33</v>
      </c>
      <c r="BC71" s="302">
        <v>280</v>
      </c>
      <c r="BD71" s="300">
        <v>32.340000000000003</v>
      </c>
      <c r="BE71" s="300">
        <v>34.17</v>
      </c>
      <c r="BF71" s="300">
        <v>80.53</v>
      </c>
      <c r="BG71" s="300">
        <v>74</v>
      </c>
      <c r="BH71" s="300">
        <v>144</v>
      </c>
      <c r="BI71" s="300">
        <v>44.65</v>
      </c>
      <c r="BJ71" s="300">
        <v>73</v>
      </c>
      <c r="BK71" s="300">
        <v>175</v>
      </c>
      <c r="BL71" s="300">
        <v>121</v>
      </c>
      <c r="BM71" s="300">
        <v>170</v>
      </c>
      <c r="BN71" s="300">
        <v>175</v>
      </c>
      <c r="BO71" s="300">
        <v>221</v>
      </c>
      <c r="BP71" s="300">
        <v>109.08</v>
      </c>
      <c r="BQ71" s="300">
        <v>152.76</v>
      </c>
      <c r="BR71" s="300">
        <v>299.24</v>
      </c>
      <c r="BS71" s="302">
        <v>225</v>
      </c>
      <c r="BT71" s="300">
        <v>173.08</v>
      </c>
      <c r="BU71" s="300">
        <v>222.35</v>
      </c>
      <c r="BV71" s="300">
        <v>100</v>
      </c>
      <c r="BW71" s="300">
        <v>89</v>
      </c>
      <c r="BX71" s="300">
        <v>138</v>
      </c>
      <c r="BY71" s="300">
        <v>34</v>
      </c>
      <c r="BZ71" s="300">
        <v>99</v>
      </c>
      <c r="CA71" s="300">
        <v>56.71</v>
      </c>
      <c r="CB71" s="300">
        <v>48</v>
      </c>
      <c r="CC71" s="300">
        <v>21.5</v>
      </c>
      <c r="CD71" s="300">
        <v>30.4</v>
      </c>
      <c r="CE71" s="300">
        <v>30.15</v>
      </c>
      <c r="CF71" s="300">
        <v>237.3</v>
      </c>
      <c r="CG71" s="300">
        <v>99</v>
      </c>
      <c r="CH71" s="300">
        <v>106.71</v>
      </c>
      <c r="CI71" s="300">
        <v>157.99</v>
      </c>
      <c r="CJ71" s="300">
        <v>157.99</v>
      </c>
      <c r="CK71" s="300">
        <v>182.53</v>
      </c>
      <c r="CL71" s="300">
        <v>266.95</v>
      </c>
      <c r="CM71" s="300">
        <v>337.5</v>
      </c>
      <c r="CN71" s="300">
        <v>37.99</v>
      </c>
      <c r="CO71" s="300">
        <v>66.8</v>
      </c>
      <c r="CP71" s="254">
        <v>5</v>
      </c>
      <c r="CQ71" s="254"/>
      <c r="CR71" s="254"/>
      <c r="CS71" s="254"/>
      <c r="CT71" s="254"/>
      <c r="CW71" s="277"/>
      <c r="CX71" s="277"/>
      <c r="CY71" s="277"/>
    </row>
    <row r="72" spans="1:103" x14ac:dyDescent="0.2">
      <c r="A72" s="254">
        <v>5.25</v>
      </c>
      <c r="B72" s="122">
        <f t="shared" si="1"/>
        <v>9.0116087553266444E-2</v>
      </c>
      <c r="C72" s="122">
        <f t="shared" si="2"/>
        <v>9.1026676458614106E-2</v>
      </c>
      <c r="D72" s="122">
        <f t="shared" si="3"/>
        <v>21.119973277528906</v>
      </c>
      <c r="E72" s="122">
        <f t="shared" si="4"/>
        <v>12.721378459810381</v>
      </c>
      <c r="F72" s="122">
        <f t="shared" si="10"/>
        <v>12.721378459810383</v>
      </c>
      <c r="G72" s="299">
        <f>HLOOKUP('Input &amp; Summary'!$B$6,'AEP Input Output sheet'!$N$50:$CO$211,ROW(G72)-49,0)</f>
        <v>139.75439898208569</v>
      </c>
      <c r="H72" s="122">
        <f t="shared" si="5"/>
        <v>176.18988555421214</v>
      </c>
      <c r="I72" s="247">
        <f t="shared" si="6"/>
        <v>0.79320330189490051</v>
      </c>
      <c r="J72" s="254">
        <f t="shared" si="7"/>
        <v>176.18988555421214</v>
      </c>
      <c r="K72" s="122">
        <f t="shared" si="8"/>
        <v>0</v>
      </c>
      <c r="L72" s="122">
        <f t="shared" si="11"/>
        <v>1662.9519221382577</v>
      </c>
      <c r="M72" s="122"/>
      <c r="N72" s="254">
        <f t="shared" si="9"/>
        <v>139.75439898208569</v>
      </c>
      <c r="O72" s="452">
        <v>129</v>
      </c>
      <c r="P72" s="452">
        <v>301</v>
      </c>
      <c r="Q72" s="452">
        <v>429.99999999999994</v>
      </c>
      <c r="R72" s="452">
        <v>164.24999999999997</v>
      </c>
      <c r="S72" s="452">
        <v>383.25</v>
      </c>
      <c r="T72" s="452">
        <v>547.49999999999989</v>
      </c>
      <c r="U72" s="452">
        <v>185.62499999999997</v>
      </c>
      <c r="V72" s="452">
        <v>433.125</v>
      </c>
      <c r="W72" s="452">
        <v>618.75</v>
      </c>
      <c r="X72" s="300">
        <v>122.5</v>
      </c>
      <c r="Y72" s="300">
        <v>146.5</v>
      </c>
      <c r="Z72" s="300">
        <v>82.75</v>
      </c>
      <c r="AA72" s="300">
        <v>88</v>
      </c>
      <c r="AB72" s="254">
        <f>(AB75-AB71)/4+AB71</f>
        <v>308.75</v>
      </c>
      <c r="AC72" s="300">
        <v>110.5</v>
      </c>
      <c r="AD72" s="300">
        <v>159.12</v>
      </c>
      <c r="AE72" s="300">
        <v>149.47999999999999</v>
      </c>
      <c r="AF72" s="300">
        <v>139.83000000000001</v>
      </c>
      <c r="AG72" s="300">
        <v>125.35</v>
      </c>
      <c r="AH72" s="300">
        <v>113.52</v>
      </c>
      <c r="AI72" s="300">
        <v>32.07</v>
      </c>
      <c r="AJ72" s="300">
        <v>66.239999999999995</v>
      </c>
      <c r="AK72" s="300">
        <v>148.54</v>
      </c>
      <c r="AL72" s="300">
        <v>169.7</v>
      </c>
      <c r="AM72" s="300">
        <v>175.8</v>
      </c>
      <c r="AN72" s="300">
        <v>218.2</v>
      </c>
      <c r="AO72" s="300">
        <v>292.39999999999998</v>
      </c>
      <c r="AP72" s="300">
        <v>63.400000000000006</v>
      </c>
      <c r="AQ72" s="300">
        <v>79.674999999999997</v>
      </c>
      <c r="AR72" s="300">
        <v>184</v>
      </c>
      <c r="AS72" s="300">
        <v>219.75</v>
      </c>
      <c r="AT72" s="300">
        <v>238.92500000000001</v>
      </c>
      <c r="AU72" s="300">
        <v>127</v>
      </c>
      <c r="AV72" s="300">
        <v>157.97</v>
      </c>
      <c r="AW72" s="300">
        <v>285.18</v>
      </c>
      <c r="AX72" s="300">
        <v>231.43</v>
      </c>
      <c r="AY72" s="300">
        <v>46.49</v>
      </c>
      <c r="AZ72" s="300">
        <v>156.06</v>
      </c>
      <c r="BA72" s="300">
        <v>314.18</v>
      </c>
      <c r="BB72" s="300">
        <v>276.32</v>
      </c>
      <c r="BC72" s="254">
        <f>(BC75-BC71)/4+BC71</f>
        <v>345</v>
      </c>
      <c r="BD72" s="300">
        <v>40.06</v>
      </c>
      <c r="BE72" s="300">
        <v>42.85</v>
      </c>
      <c r="BF72" s="300">
        <v>90.6</v>
      </c>
      <c r="BG72" s="300">
        <v>106</v>
      </c>
      <c r="BH72" s="300">
        <v>185.25</v>
      </c>
      <c r="BI72" s="300">
        <v>51.4925</v>
      </c>
      <c r="BJ72" s="300">
        <v>87.5</v>
      </c>
      <c r="BK72" s="300">
        <v>219.25</v>
      </c>
      <c r="BL72" s="300">
        <v>153.5</v>
      </c>
      <c r="BM72" s="300">
        <v>209.5</v>
      </c>
      <c r="BN72" s="300">
        <v>217.5</v>
      </c>
      <c r="BO72" s="300">
        <v>273.5</v>
      </c>
      <c r="BP72" s="300">
        <v>139.35</v>
      </c>
      <c r="BQ72" s="300">
        <v>188.44</v>
      </c>
      <c r="BR72" s="300">
        <v>352.27</v>
      </c>
      <c r="BS72" s="254">
        <f>(BS75-BS71)/4+BS71</f>
        <v>301.25</v>
      </c>
      <c r="BT72" s="300">
        <v>213.35</v>
      </c>
      <c r="BU72" s="300">
        <v>272.49</v>
      </c>
      <c r="BV72" s="300">
        <v>120.25</v>
      </c>
      <c r="BW72" s="300">
        <v>103.75</v>
      </c>
      <c r="BX72" s="300">
        <v>181.5</v>
      </c>
      <c r="BY72" s="300">
        <v>49.5</v>
      </c>
      <c r="BZ72" s="300">
        <v>140</v>
      </c>
      <c r="CA72" s="300">
        <v>64.02</v>
      </c>
      <c r="CB72" s="300">
        <v>57.55</v>
      </c>
      <c r="CC72" s="300">
        <v>32.424999999999997</v>
      </c>
      <c r="CD72" s="300">
        <v>42.125</v>
      </c>
      <c r="CE72" s="300">
        <v>43.96</v>
      </c>
      <c r="CF72" s="300">
        <v>287.89</v>
      </c>
      <c r="CG72" s="300">
        <v>139.25</v>
      </c>
      <c r="CH72" s="300">
        <v>127.26</v>
      </c>
      <c r="CI72" s="300">
        <v>191.29</v>
      </c>
      <c r="CJ72" s="300">
        <v>191.29</v>
      </c>
      <c r="CK72" s="300">
        <v>211.94</v>
      </c>
      <c r="CL72" s="300">
        <v>308.14999999999998</v>
      </c>
      <c r="CM72" s="300">
        <v>389.42</v>
      </c>
      <c r="CN72" s="300">
        <v>47.29</v>
      </c>
      <c r="CO72" s="300">
        <v>86.1</v>
      </c>
      <c r="CP72" s="254">
        <v>5.25</v>
      </c>
      <c r="CQ72" s="254"/>
      <c r="CR72" s="254"/>
      <c r="CS72" s="254"/>
      <c r="CT72" s="254"/>
      <c r="CW72" s="277"/>
      <c r="CX72" s="277"/>
      <c r="CY72" s="277"/>
    </row>
    <row r="73" spans="1:103" x14ac:dyDescent="0.2">
      <c r="A73" s="254">
        <v>5.5</v>
      </c>
      <c r="B73" s="122">
        <f t="shared" si="1"/>
        <v>9.1430698655365281E-2</v>
      </c>
      <c r="C73" s="122">
        <f t="shared" si="2"/>
        <v>9.2802283990167989E-2</v>
      </c>
      <c r="D73" s="122">
        <f t="shared" si="3"/>
        <v>24.756742606827508</v>
      </c>
      <c r="E73" s="122">
        <f t="shared" si="4"/>
        <v>15.209971366527178</v>
      </c>
      <c r="F73" s="122">
        <f t="shared" si="10"/>
        <v>15.209971366527173</v>
      </c>
      <c r="G73" s="299">
        <f>HLOOKUP('Input &amp; Summary'!$B$6,'AEP Input Output sheet'!$N$50:$CO$211,ROW(G73)-49,0)</f>
        <v>163.8965197035302</v>
      </c>
      <c r="H73" s="122">
        <f t="shared" si="5"/>
        <v>202.57746478579534</v>
      </c>
      <c r="I73" s="247">
        <f t="shared" si="6"/>
        <v>0.80905603136476101</v>
      </c>
      <c r="J73" s="254">
        <f t="shared" si="7"/>
        <v>202.57746478579534</v>
      </c>
      <c r="K73" s="122">
        <f t="shared" si="8"/>
        <v>0</v>
      </c>
      <c r="L73" s="122">
        <f t="shared" si="11"/>
        <v>1662.9519221382577</v>
      </c>
      <c r="M73" s="122"/>
      <c r="N73" s="254">
        <f t="shared" si="9"/>
        <v>163.8965197035302</v>
      </c>
      <c r="O73" s="452">
        <v>156</v>
      </c>
      <c r="P73" s="452">
        <v>364</v>
      </c>
      <c r="Q73" s="452">
        <v>520</v>
      </c>
      <c r="R73" s="452">
        <v>196.49999999999994</v>
      </c>
      <c r="S73" s="452">
        <v>458.49999999999989</v>
      </c>
      <c r="T73" s="452">
        <v>654.99999999999989</v>
      </c>
      <c r="U73" s="452">
        <v>218.25</v>
      </c>
      <c r="V73" s="452">
        <v>509.25</v>
      </c>
      <c r="W73" s="452">
        <v>727.49999999999989</v>
      </c>
      <c r="X73" s="300">
        <v>146</v>
      </c>
      <c r="Y73" s="300">
        <v>175</v>
      </c>
      <c r="Z73" s="300">
        <v>93.0625</v>
      </c>
      <c r="AA73" s="300">
        <v>99.25</v>
      </c>
      <c r="AB73" s="254">
        <f>(AB75-AB71)/4+AB72</f>
        <v>382.5</v>
      </c>
      <c r="AC73" s="300">
        <v>125.875</v>
      </c>
      <c r="AD73" s="300">
        <v>187.96</v>
      </c>
      <c r="AE73" s="300">
        <v>178.31</v>
      </c>
      <c r="AF73" s="300">
        <v>173.49</v>
      </c>
      <c r="AG73" s="300">
        <v>149.37</v>
      </c>
      <c r="AH73" s="300">
        <v>141.07</v>
      </c>
      <c r="AI73" s="300">
        <v>37.43</v>
      </c>
      <c r="AJ73" s="300">
        <v>78.83</v>
      </c>
      <c r="AK73" s="300">
        <v>180.24</v>
      </c>
      <c r="AL73" s="300">
        <v>185.54</v>
      </c>
      <c r="AM73" s="300">
        <v>197</v>
      </c>
      <c r="AN73" s="300">
        <v>255.3</v>
      </c>
      <c r="AO73" s="300">
        <v>345.41</v>
      </c>
      <c r="AP73" s="300">
        <v>77.100000000000009</v>
      </c>
      <c r="AQ73" s="300">
        <v>94.149999999999991</v>
      </c>
      <c r="AR73" s="300">
        <v>216</v>
      </c>
      <c r="AS73" s="300">
        <v>258.3</v>
      </c>
      <c r="AT73" s="300">
        <v>280.55</v>
      </c>
      <c r="AU73" s="300">
        <v>150</v>
      </c>
      <c r="AV73" s="300">
        <v>187.27</v>
      </c>
      <c r="AW73" s="300">
        <v>324.27999999999997</v>
      </c>
      <c r="AX73" s="300">
        <v>300</v>
      </c>
      <c r="AY73" s="300">
        <v>69.209999999999994</v>
      </c>
      <c r="AZ73" s="300">
        <v>182.45</v>
      </c>
      <c r="BA73" s="300">
        <v>344.05</v>
      </c>
      <c r="BB73" s="300">
        <v>334.81</v>
      </c>
      <c r="BC73" s="254">
        <f>(BC75-BC71)/4+BC72</f>
        <v>410</v>
      </c>
      <c r="BD73" s="300">
        <v>51.6</v>
      </c>
      <c r="BE73" s="300">
        <v>54.41</v>
      </c>
      <c r="BF73" s="300">
        <v>104.71</v>
      </c>
      <c r="BG73" s="300">
        <v>138</v>
      </c>
      <c r="BH73" s="300">
        <v>226.5</v>
      </c>
      <c r="BI73" s="300">
        <v>58.335000000000001</v>
      </c>
      <c r="BJ73" s="300">
        <v>102</v>
      </c>
      <c r="BK73" s="300">
        <v>263.5</v>
      </c>
      <c r="BL73" s="300">
        <v>186</v>
      </c>
      <c r="BM73" s="300">
        <v>249</v>
      </c>
      <c r="BN73" s="300">
        <v>260</v>
      </c>
      <c r="BO73" s="300">
        <v>326</v>
      </c>
      <c r="BP73" s="300">
        <v>164.56</v>
      </c>
      <c r="BQ73" s="300">
        <v>224.11</v>
      </c>
      <c r="BR73" s="300">
        <v>405.3</v>
      </c>
      <c r="BS73" s="254">
        <f>(BS75-BS71)/4+BS72</f>
        <v>377.5</v>
      </c>
      <c r="BT73" s="300">
        <v>258</v>
      </c>
      <c r="BU73" s="300">
        <v>322.63</v>
      </c>
      <c r="BV73" s="300">
        <v>140.5</v>
      </c>
      <c r="BW73" s="300">
        <v>118.5</v>
      </c>
      <c r="BX73" s="300">
        <v>225</v>
      </c>
      <c r="BY73" s="300">
        <v>65</v>
      </c>
      <c r="BZ73" s="300">
        <v>181</v>
      </c>
      <c r="CA73" s="300">
        <v>75</v>
      </c>
      <c r="CB73" s="300">
        <v>67.099999999999994</v>
      </c>
      <c r="CC73" s="300">
        <v>43.349999999999994</v>
      </c>
      <c r="CD73" s="300">
        <v>53.85</v>
      </c>
      <c r="CE73" s="300">
        <v>56.26</v>
      </c>
      <c r="CF73" s="300">
        <v>338.47</v>
      </c>
      <c r="CG73" s="300">
        <v>179.5</v>
      </c>
      <c r="CH73" s="300">
        <v>154.66999999999999</v>
      </c>
      <c r="CI73" s="300">
        <v>241.12</v>
      </c>
      <c r="CJ73" s="300">
        <v>241.12</v>
      </c>
      <c r="CK73" s="300">
        <v>247.12</v>
      </c>
      <c r="CL73" s="300">
        <v>359.66</v>
      </c>
      <c r="CM73" s="300">
        <v>441.35</v>
      </c>
      <c r="CN73" s="300">
        <v>59.6</v>
      </c>
      <c r="CO73" s="300">
        <v>105.39999999999999</v>
      </c>
      <c r="CP73" s="254">
        <v>5.5</v>
      </c>
      <c r="CQ73" s="254"/>
      <c r="CR73" s="254"/>
      <c r="CS73" s="254"/>
      <c r="CT73" s="254"/>
      <c r="CW73" s="277"/>
      <c r="CX73" s="277"/>
      <c r="CY73" s="277"/>
    </row>
    <row r="74" spans="1:103" x14ac:dyDescent="0.2">
      <c r="A74" s="254">
        <v>5.75</v>
      </c>
      <c r="B74" s="122">
        <f t="shared" si="1"/>
        <v>9.2434983888763131E-2</v>
      </c>
      <c r="C74" s="122">
        <f t="shared" si="2"/>
        <v>9.4243456418530172E-2</v>
      </c>
      <c r="D74" s="122">
        <f t="shared" si="3"/>
        <v>28.727743052334336</v>
      </c>
      <c r="E74" s="122">
        <f t="shared" si="4"/>
        <v>17.937944413942851</v>
      </c>
      <c r="F74" s="122">
        <f t="shared" si="10"/>
        <v>17.937944413942841</v>
      </c>
      <c r="G74" s="299">
        <f>HLOOKUP('Input &amp; Summary'!$B$6,'AEP Input Output sheet'!$N$50:$CO$211,ROW(G74)-49,0)</f>
        <v>190.33623230329525</v>
      </c>
      <c r="H74" s="122">
        <f t="shared" si="5"/>
        <v>231.4763349031528</v>
      </c>
      <c r="I74" s="247">
        <f t="shared" si="6"/>
        <v>0.82227080527661656</v>
      </c>
      <c r="J74" s="254">
        <f t="shared" si="7"/>
        <v>231.4763349031528</v>
      </c>
      <c r="K74" s="122">
        <f t="shared" si="8"/>
        <v>0</v>
      </c>
      <c r="L74" s="122">
        <f t="shared" si="11"/>
        <v>1662.9519221382577</v>
      </c>
      <c r="M74" s="122"/>
      <c r="N74" s="254">
        <f t="shared" si="9"/>
        <v>190.33623230329525</v>
      </c>
      <c r="O74" s="452">
        <v>183</v>
      </c>
      <c r="P74" s="452">
        <v>427</v>
      </c>
      <c r="Q74" s="452">
        <v>610</v>
      </c>
      <c r="R74" s="452">
        <v>228.74999999999994</v>
      </c>
      <c r="S74" s="452">
        <v>533.75</v>
      </c>
      <c r="T74" s="452">
        <v>762.49999999999989</v>
      </c>
      <c r="U74" s="452">
        <v>250.87499999999997</v>
      </c>
      <c r="V74" s="452">
        <v>585.375</v>
      </c>
      <c r="W74" s="452">
        <v>836.24999999999989</v>
      </c>
      <c r="X74" s="300">
        <v>169.5</v>
      </c>
      <c r="Y74" s="300">
        <v>203.5</v>
      </c>
      <c r="Z74" s="300">
        <v>103.375</v>
      </c>
      <c r="AA74" s="300">
        <v>110.5</v>
      </c>
      <c r="AB74" s="254">
        <f>(AB75-AB71)/4+AB73</f>
        <v>456.25</v>
      </c>
      <c r="AC74" s="300">
        <v>141.25</v>
      </c>
      <c r="AD74" s="300">
        <v>240.89</v>
      </c>
      <c r="AE74" s="300">
        <v>231.25</v>
      </c>
      <c r="AF74" s="300">
        <v>216.78</v>
      </c>
      <c r="AG74" s="300">
        <v>197.49</v>
      </c>
      <c r="AH74" s="300">
        <v>180.39</v>
      </c>
      <c r="AI74" s="300">
        <v>42.79</v>
      </c>
      <c r="AJ74" s="300">
        <v>97.47</v>
      </c>
      <c r="AK74" s="300">
        <v>214.58</v>
      </c>
      <c r="AL74" s="300">
        <v>214.58</v>
      </c>
      <c r="AM74" s="300">
        <v>228.8</v>
      </c>
      <c r="AN74" s="300">
        <v>303</v>
      </c>
      <c r="AO74" s="300">
        <v>403.71</v>
      </c>
      <c r="AP74" s="300">
        <v>90.800000000000011</v>
      </c>
      <c r="AQ74" s="300">
        <v>108.62499999999999</v>
      </c>
      <c r="AR74" s="300">
        <v>248</v>
      </c>
      <c r="AS74" s="300">
        <v>296.85000000000002</v>
      </c>
      <c r="AT74" s="300">
        <v>322.17500000000001</v>
      </c>
      <c r="AU74" s="300">
        <v>177.5</v>
      </c>
      <c r="AV74" s="300">
        <v>216.58</v>
      </c>
      <c r="AW74" s="300">
        <v>363.37</v>
      </c>
      <c r="AX74" s="300">
        <v>334.29</v>
      </c>
      <c r="AY74" s="300">
        <v>85.74</v>
      </c>
      <c r="AZ74" s="300">
        <v>218.17</v>
      </c>
      <c r="BA74" s="300">
        <v>403.55</v>
      </c>
      <c r="BB74" s="300">
        <v>373.8</v>
      </c>
      <c r="BC74" s="254">
        <f>(BC75-BC71)/4+BC73</f>
        <v>475</v>
      </c>
      <c r="BD74" s="300">
        <v>63.12</v>
      </c>
      <c r="BE74" s="300">
        <v>65.959999999999994</v>
      </c>
      <c r="BF74" s="300">
        <v>120.81</v>
      </c>
      <c r="BG74" s="300">
        <v>170</v>
      </c>
      <c r="BH74" s="300">
        <v>267.75</v>
      </c>
      <c r="BI74" s="300">
        <v>65.177499999999995</v>
      </c>
      <c r="BJ74" s="300">
        <v>116.5</v>
      </c>
      <c r="BK74" s="300">
        <v>307.75</v>
      </c>
      <c r="BL74" s="300">
        <v>218.5</v>
      </c>
      <c r="BM74" s="300">
        <v>295</v>
      </c>
      <c r="BN74" s="300">
        <v>306</v>
      </c>
      <c r="BO74" s="300">
        <v>378.5</v>
      </c>
      <c r="BP74" s="300">
        <v>194.81</v>
      </c>
      <c r="BQ74" s="300">
        <v>259.79000000000002</v>
      </c>
      <c r="BR74" s="300">
        <v>465.91</v>
      </c>
      <c r="BS74" s="254">
        <f>(BS75-BS71)/4+BS73</f>
        <v>453.75</v>
      </c>
      <c r="BT74" s="300">
        <v>298.10000000000002</v>
      </c>
      <c r="BU74" s="300">
        <v>403.15</v>
      </c>
      <c r="BV74" s="300">
        <v>160.75</v>
      </c>
      <c r="BW74" s="300">
        <v>133.25</v>
      </c>
      <c r="BX74" s="300">
        <v>268.5</v>
      </c>
      <c r="BY74" s="300">
        <v>80.5</v>
      </c>
      <c r="BZ74" s="300">
        <v>222</v>
      </c>
      <c r="CA74" s="300">
        <v>85.98</v>
      </c>
      <c r="CB74" s="300">
        <v>76.649999999999991</v>
      </c>
      <c r="CC74" s="300">
        <v>54.274999999999991</v>
      </c>
      <c r="CD74" s="300">
        <v>65.575000000000003</v>
      </c>
      <c r="CE74" s="300">
        <v>67.010000000000005</v>
      </c>
      <c r="CF74" s="300">
        <v>389.05</v>
      </c>
      <c r="CG74" s="300">
        <v>219.75</v>
      </c>
      <c r="CH74" s="300">
        <v>178.66</v>
      </c>
      <c r="CI74" s="300">
        <v>279.92</v>
      </c>
      <c r="CJ74" s="300">
        <v>279.92</v>
      </c>
      <c r="CK74" s="300">
        <v>282.3</v>
      </c>
      <c r="CL74" s="300">
        <v>411.16</v>
      </c>
      <c r="CM74" s="300">
        <v>504.81</v>
      </c>
      <c r="CN74" s="300">
        <v>65.83</v>
      </c>
      <c r="CO74" s="300">
        <v>124.69999999999999</v>
      </c>
      <c r="CP74" s="254">
        <v>5.75</v>
      </c>
      <c r="CQ74" s="254"/>
      <c r="CR74" s="254"/>
      <c r="CS74" s="254"/>
      <c r="CT74" s="254"/>
      <c r="CW74" s="277"/>
      <c r="CX74" s="277"/>
      <c r="CY74" s="277"/>
    </row>
    <row r="75" spans="1:103" x14ac:dyDescent="0.2">
      <c r="A75" s="254">
        <v>6</v>
      </c>
      <c r="B75" s="122">
        <f t="shared" si="1"/>
        <v>9.3134760933011942E-2</v>
      </c>
      <c r="C75" s="122">
        <f t="shared" si="2"/>
        <v>9.5351444496179716E-2</v>
      </c>
      <c r="D75" s="122">
        <f t="shared" si="3"/>
        <v>33.023857054933394</v>
      </c>
      <c r="E75" s="122">
        <f t="shared" si="4"/>
        <v>20.898936305921666</v>
      </c>
      <c r="F75" s="122">
        <f t="shared" si="10"/>
        <v>20.898936305921669</v>
      </c>
      <c r="G75" s="299">
        <f>HLOOKUP('Input &amp; Summary'!$B$6,'AEP Input Output sheet'!$N$50:$CO$211,ROW(G75)-49,0)</f>
        <v>219.17797277585021</v>
      </c>
      <c r="H75" s="122">
        <f t="shared" si="5"/>
        <v>263.00064549200181</v>
      </c>
      <c r="I75" s="247">
        <f t="shared" si="6"/>
        <v>0.83337427695596933</v>
      </c>
      <c r="J75" s="254">
        <f t="shared" si="7"/>
        <v>263.00064549200181</v>
      </c>
      <c r="K75" s="122">
        <f t="shared" si="8"/>
        <v>0</v>
      </c>
      <c r="L75" s="122">
        <f t="shared" si="11"/>
        <v>1662.9519221382577</v>
      </c>
      <c r="M75" s="122"/>
      <c r="N75" s="254">
        <f t="shared" si="9"/>
        <v>219.17797277585021</v>
      </c>
      <c r="O75" s="452">
        <v>210.00000000000003</v>
      </c>
      <c r="P75" s="452">
        <v>490.00000000000006</v>
      </c>
      <c r="Q75" s="452">
        <v>700.00000000000011</v>
      </c>
      <c r="R75" s="452">
        <v>260.99999999999994</v>
      </c>
      <c r="S75" s="452">
        <v>608.99999999999989</v>
      </c>
      <c r="T75" s="452">
        <v>869.99999999999977</v>
      </c>
      <c r="U75" s="452">
        <v>283.5</v>
      </c>
      <c r="V75" s="452">
        <v>661.49999999999989</v>
      </c>
      <c r="W75" s="452">
        <v>944.99999999999989</v>
      </c>
      <c r="X75" s="300">
        <v>193</v>
      </c>
      <c r="Y75" s="300">
        <v>232</v>
      </c>
      <c r="Z75" s="300">
        <v>124</v>
      </c>
      <c r="AA75" s="300">
        <v>133</v>
      </c>
      <c r="AB75" s="302">
        <v>530</v>
      </c>
      <c r="AC75" s="300">
        <v>172</v>
      </c>
      <c r="AD75" s="300">
        <v>289.02</v>
      </c>
      <c r="AE75" s="300">
        <v>264.89999999999998</v>
      </c>
      <c r="AF75" s="300">
        <v>255.26</v>
      </c>
      <c r="AG75" s="300">
        <v>231.14</v>
      </c>
      <c r="AH75" s="300">
        <v>215.77</v>
      </c>
      <c r="AI75" s="300">
        <v>55.38</v>
      </c>
      <c r="AJ75" s="300">
        <v>116.11</v>
      </c>
      <c r="AK75" s="300">
        <v>241</v>
      </c>
      <c r="AL75" s="300">
        <v>241</v>
      </c>
      <c r="AM75" s="300">
        <v>265.89999999999998</v>
      </c>
      <c r="AN75" s="300">
        <v>361.31</v>
      </c>
      <c r="AO75" s="300">
        <v>472.6</v>
      </c>
      <c r="AP75" s="300">
        <v>104.5</v>
      </c>
      <c r="AQ75" s="300">
        <v>123.1</v>
      </c>
      <c r="AR75" s="300">
        <v>280</v>
      </c>
      <c r="AS75" s="300">
        <v>335.4</v>
      </c>
      <c r="AT75" s="300">
        <v>363.8</v>
      </c>
      <c r="AU75" s="300">
        <v>205</v>
      </c>
      <c r="AV75" s="300">
        <v>250.78</v>
      </c>
      <c r="AW75" s="300">
        <v>409.81</v>
      </c>
      <c r="AX75" s="300">
        <v>391.43</v>
      </c>
      <c r="AY75" s="300">
        <v>104.34</v>
      </c>
      <c r="AZ75" s="300">
        <v>246.12</v>
      </c>
      <c r="BA75" s="300">
        <v>463.06</v>
      </c>
      <c r="BB75" s="300">
        <v>432.28</v>
      </c>
      <c r="BC75" s="302">
        <v>540</v>
      </c>
      <c r="BD75" s="300">
        <v>74.66</v>
      </c>
      <c r="BE75" s="300">
        <v>80.39</v>
      </c>
      <c r="BF75" s="300">
        <v>136.91999999999999</v>
      </c>
      <c r="BG75" s="300">
        <v>202</v>
      </c>
      <c r="BH75" s="300">
        <v>309</v>
      </c>
      <c r="BI75" s="300">
        <v>72.02</v>
      </c>
      <c r="BJ75" s="300">
        <v>131</v>
      </c>
      <c r="BK75" s="300">
        <v>352</v>
      </c>
      <c r="BL75" s="300">
        <v>251</v>
      </c>
      <c r="BM75" s="300">
        <v>341</v>
      </c>
      <c r="BN75" s="300">
        <v>352</v>
      </c>
      <c r="BO75" s="300">
        <v>431</v>
      </c>
      <c r="BP75" s="300">
        <v>225.07</v>
      </c>
      <c r="BQ75" s="300">
        <v>305.58</v>
      </c>
      <c r="BR75" s="300">
        <v>541.66999999999996</v>
      </c>
      <c r="BS75" s="302">
        <v>530</v>
      </c>
      <c r="BT75" s="300">
        <v>355.89</v>
      </c>
      <c r="BU75" s="300">
        <v>463.48</v>
      </c>
      <c r="BV75" s="300">
        <v>181</v>
      </c>
      <c r="BW75" s="300">
        <v>148</v>
      </c>
      <c r="BX75" s="300">
        <v>312</v>
      </c>
      <c r="BY75" s="300">
        <v>96</v>
      </c>
      <c r="BZ75" s="300">
        <v>263</v>
      </c>
      <c r="CA75" s="300">
        <v>100.6</v>
      </c>
      <c r="CB75" s="300">
        <v>86.2</v>
      </c>
      <c r="CC75" s="300">
        <v>65.2</v>
      </c>
      <c r="CD75" s="300">
        <v>77.3</v>
      </c>
      <c r="CE75" s="300">
        <v>82.34</v>
      </c>
      <c r="CF75" s="300">
        <v>451.29</v>
      </c>
      <c r="CG75" s="300">
        <v>260</v>
      </c>
      <c r="CH75" s="300">
        <v>223.26</v>
      </c>
      <c r="CI75" s="300">
        <v>335.2</v>
      </c>
      <c r="CJ75" s="300">
        <v>329.71</v>
      </c>
      <c r="CK75" s="300">
        <v>317.48</v>
      </c>
      <c r="CL75" s="300">
        <v>469.53</v>
      </c>
      <c r="CM75" s="300">
        <v>568.27</v>
      </c>
      <c r="CN75" s="300">
        <v>81.180000000000007</v>
      </c>
      <c r="CO75" s="300">
        <v>144</v>
      </c>
      <c r="CP75" s="254">
        <v>6</v>
      </c>
      <c r="CQ75" s="254"/>
      <c r="CR75" s="254"/>
      <c r="CS75" s="254"/>
      <c r="CT75" s="254"/>
      <c r="CW75" s="277"/>
      <c r="CX75" s="277"/>
      <c r="CY75" s="277"/>
    </row>
    <row r="76" spans="1:103" x14ac:dyDescent="0.2">
      <c r="A76" s="254">
        <v>6.25</v>
      </c>
      <c r="B76" s="122">
        <f t="shared" si="1"/>
        <v>9.3537434026504204E-2</v>
      </c>
      <c r="C76" s="122">
        <f t="shared" si="2"/>
        <v>9.6129716124250308E-2</v>
      </c>
      <c r="D76" s="122">
        <f t="shared" si="3"/>
        <v>37.630889131266791</v>
      </c>
      <c r="E76" s="122">
        <f t="shared" si="4"/>
        <v>24.083010287822429</v>
      </c>
      <c r="F76" s="122">
        <f t="shared" si="10"/>
        <v>24.083010287822422</v>
      </c>
      <c r="G76" s="299">
        <f>HLOOKUP('Input &amp; Summary'!$B$6,'AEP Input Output sheet'!$N$50:$CO$211,ROW(G76)-49,0)</f>
        <v>250.52617711566387</v>
      </c>
      <c r="H76" s="122">
        <f t="shared" si="5"/>
        <v>297.26454613805896</v>
      </c>
      <c r="I76" s="247">
        <f t="shared" si="6"/>
        <v>0.84277180165074805</v>
      </c>
      <c r="J76" s="254">
        <f t="shared" si="7"/>
        <v>297.26454613805896</v>
      </c>
      <c r="K76" s="122">
        <f t="shared" si="8"/>
        <v>0</v>
      </c>
      <c r="L76" s="122">
        <f t="shared" si="11"/>
        <v>1662.9519221382577</v>
      </c>
      <c r="M76" s="122"/>
      <c r="N76" s="254">
        <f t="shared" si="9"/>
        <v>250.52617711566387</v>
      </c>
      <c r="O76" s="452">
        <v>246.375</v>
      </c>
      <c r="P76" s="452">
        <v>574.875</v>
      </c>
      <c r="Q76" s="452">
        <v>821.25</v>
      </c>
      <c r="R76" s="452">
        <v>303.37499999999994</v>
      </c>
      <c r="S76" s="452">
        <v>707.87499999999977</v>
      </c>
      <c r="T76" s="452">
        <v>1011.2499999999998</v>
      </c>
      <c r="U76" s="452">
        <v>329.24999999999994</v>
      </c>
      <c r="V76" s="452">
        <v>768.24999999999989</v>
      </c>
      <c r="W76" s="452">
        <v>1097.5</v>
      </c>
      <c r="X76" s="300">
        <v>227</v>
      </c>
      <c r="Y76" s="300">
        <v>272.75</v>
      </c>
      <c r="Z76" s="300">
        <v>142.75</v>
      </c>
      <c r="AA76" s="300">
        <v>153</v>
      </c>
      <c r="AB76" s="254">
        <f>(AB79-AB75)/4+AB75</f>
        <v>632.5</v>
      </c>
      <c r="AC76" s="300">
        <v>200.5</v>
      </c>
      <c r="AD76" s="300">
        <v>327.5</v>
      </c>
      <c r="AE76" s="300">
        <v>308.20999999999998</v>
      </c>
      <c r="AF76" s="300">
        <v>298.56</v>
      </c>
      <c r="AG76" s="300">
        <v>264.79000000000002</v>
      </c>
      <c r="AH76" s="300">
        <v>255.09</v>
      </c>
      <c r="AI76" s="300">
        <v>66.16</v>
      </c>
      <c r="AJ76" s="300">
        <v>128.71</v>
      </c>
      <c r="AK76" s="300">
        <v>277.99</v>
      </c>
      <c r="AL76" s="300">
        <v>277.99</v>
      </c>
      <c r="AM76" s="300">
        <v>313.60000000000002</v>
      </c>
      <c r="AN76" s="300">
        <v>403.71</v>
      </c>
      <c r="AO76" s="300">
        <v>530.91999999999996</v>
      </c>
      <c r="AP76" s="300">
        <v>125.72499999999999</v>
      </c>
      <c r="AQ76" s="300">
        <v>143.07499999999999</v>
      </c>
      <c r="AR76" s="300">
        <v>324.25</v>
      </c>
      <c r="AS76" s="300">
        <v>389</v>
      </c>
      <c r="AT76" s="300">
        <v>421.57499999999999</v>
      </c>
      <c r="AU76" s="300">
        <v>237</v>
      </c>
      <c r="AV76" s="300">
        <v>292.32</v>
      </c>
      <c r="AW76" s="300">
        <v>463.58</v>
      </c>
      <c r="AX76" s="300">
        <v>454.29</v>
      </c>
      <c r="AY76" s="300">
        <v>127.07</v>
      </c>
      <c r="AZ76" s="300">
        <v>275.62</v>
      </c>
      <c r="BA76" s="300">
        <v>512.53</v>
      </c>
      <c r="BB76" s="300">
        <v>500.48</v>
      </c>
      <c r="BC76" s="254">
        <f>(BC79-BC75)/4+BC75</f>
        <v>622.5</v>
      </c>
      <c r="BD76" s="300">
        <v>90.02</v>
      </c>
      <c r="BE76" s="300">
        <v>97.7</v>
      </c>
      <c r="BF76" s="300">
        <v>155.03</v>
      </c>
      <c r="BG76" s="300">
        <v>240.5</v>
      </c>
      <c r="BH76" s="300">
        <v>359.5</v>
      </c>
      <c r="BI76" s="300">
        <v>84.942499999999995</v>
      </c>
      <c r="BJ76" s="300">
        <v>158.5</v>
      </c>
      <c r="BK76" s="300">
        <v>409</v>
      </c>
      <c r="BL76" s="300">
        <v>296.5</v>
      </c>
      <c r="BM76" s="300">
        <v>394.5</v>
      </c>
      <c r="BN76" s="300">
        <v>407</v>
      </c>
      <c r="BO76" s="300">
        <v>503.25</v>
      </c>
      <c r="BP76" s="300">
        <v>265.37</v>
      </c>
      <c r="BQ76" s="300">
        <v>351.31</v>
      </c>
      <c r="BR76" s="300">
        <v>602.27</v>
      </c>
      <c r="BS76" s="254">
        <f>(BS79-BS75)/4+BS75</f>
        <v>632.5</v>
      </c>
      <c r="BT76" s="300">
        <v>418.06</v>
      </c>
      <c r="BU76" s="300">
        <v>544</v>
      </c>
      <c r="BV76" s="300">
        <v>207.5</v>
      </c>
      <c r="BW76" s="300">
        <v>179.75</v>
      </c>
      <c r="BX76" s="300">
        <v>370.5</v>
      </c>
      <c r="BY76" s="300">
        <v>115.25</v>
      </c>
      <c r="BZ76" s="300">
        <v>313.75</v>
      </c>
      <c r="CA76" s="300">
        <v>111.58</v>
      </c>
      <c r="CB76" s="300">
        <v>99.174999999999997</v>
      </c>
      <c r="CC76" s="300">
        <v>78.900000000000006</v>
      </c>
      <c r="CD76" s="300">
        <v>91.724999999999994</v>
      </c>
      <c r="CE76" s="300">
        <v>94</v>
      </c>
      <c r="CF76" s="300">
        <v>505.76</v>
      </c>
      <c r="CG76" s="300">
        <v>311.25</v>
      </c>
      <c r="CH76" s="300">
        <v>264.42</v>
      </c>
      <c r="CI76" s="300">
        <v>368.5</v>
      </c>
      <c r="CJ76" s="300">
        <v>379.49</v>
      </c>
      <c r="CK76" s="300">
        <v>370.05</v>
      </c>
      <c r="CL76" s="300">
        <v>527.9</v>
      </c>
      <c r="CM76" s="300">
        <v>643.27</v>
      </c>
      <c r="CN76" s="300">
        <v>96.54</v>
      </c>
      <c r="CO76" s="300">
        <v>170.35</v>
      </c>
      <c r="CP76" s="254">
        <v>6.25</v>
      </c>
      <c r="CQ76" s="254"/>
      <c r="CR76" s="254"/>
      <c r="CS76" s="254"/>
      <c r="CT76" s="254"/>
      <c r="CW76" s="277"/>
      <c r="CX76" s="277"/>
      <c r="CY76" s="277"/>
    </row>
    <row r="77" spans="1:103" x14ac:dyDescent="0.2">
      <c r="A77" s="254">
        <v>6.5</v>
      </c>
      <c r="B77" s="122">
        <f t="shared" si="1"/>
        <v>9.3651885252798481E-2</v>
      </c>
      <c r="C77" s="122">
        <f t="shared" si="2"/>
        <v>9.6583860317301706E-2</v>
      </c>
      <c r="D77" s="122">
        <f t="shared" si="3"/>
        <v>42.5296097270299</v>
      </c>
      <c r="E77" s="122">
        <f t="shared" si="4"/>
        <v>27.476686673069263</v>
      </c>
      <c r="F77" s="122">
        <f t="shared" si="10"/>
        <v>27.476686673069256</v>
      </c>
      <c r="G77" s="299">
        <f>HLOOKUP('Input &amp; Summary'!$B$6,'AEP Input Output sheet'!$N$50:$CO$211,ROW(G77)-49,0)</f>
        <v>284.48528131720548</v>
      </c>
      <c r="H77" s="122">
        <f t="shared" si="5"/>
        <v>334.38218642704157</v>
      </c>
      <c r="I77" s="247">
        <f t="shared" si="6"/>
        <v>0.85077881796576194</v>
      </c>
      <c r="J77" s="254">
        <f t="shared" si="7"/>
        <v>334.38218642704157</v>
      </c>
      <c r="K77" s="122">
        <f t="shared" si="8"/>
        <v>0</v>
      </c>
      <c r="L77" s="122">
        <f t="shared" si="11"/>
        <v>1662.9519221382577</v>
      </c>
      <c r="M77" s="122"/>
      <c r="N77" s="254">
        <f t="shared" si="9"/>
        <v>284.48528131720548</v>
      </c>
      <c r="O77" s="452">
        <v>282.75</v>
      </c>
      <c r="P77" s="452">
        <v>659.75000000000011</v>
      </c>
      <c r="Q77" s="452">
        <v>942.5</v>
      </c>
      <c r="R77" s="452">
        <v>345.74999999999994</v>
      </c>
      <c r="S77" s="452">
        <v>806.74999999999989</v>
      </c>
      <c r="T77" s="452">
        <v>1152.4999999999998</v>
      </c>
      <c r="U77" s="452">
        <v>374.99999999999994</v>
      </c>
      <c r="V77" s="452">
        <v>874.99999999999989</v>
      </c>
      <c r="W77" s="452">
        <v>1249.9999999999998</v>
      </c>
      <c r="X77" s="300">
        <v>261</v>
      </c>
      <c r="Y77" s="300">
        <v>313.5</v>
      </c>
      <c r="Z77" s="300">
        <v>156.8125</v>
      </c>
      <c r="AA77" s="300">
        <v>168</v>
      </c>
      <c r="AB77" s="254">
        <f>(AB79-AB75)/4+AB76</f>
        <v>735</v>
      </c>
      <c r="AC77" s="300">
        <v>221.875</v>
      </c>
      <c r="AD77" s="300">
        <v>390.08</v>
      </c>
      <c r="AE77" s="300">
        <v>365.97</v>
      </c>
      <c r="AF77" s="300">
        <v>356.32</v>
      </c>
      <c r="AG77" s="300">
        <v>312.92</v>
      </c>
      <c r="AH77" s="300">
        <v>298.32</v>
      </c>
      <c r="AI77" s="300">
        <v>82.35</v>
      </c>
      <c r="AJ77" s="300">
        <v>147.34</v>
      </c>
      <c r="AK77" s="300">
        <v>312.33999999999997</v>
      </c>
      <c r="AL77" s="300">
        <v>309.7</v>
      </c>
      <c r="AM77" s="300">
        <v>350.71</v>
      </c>
      <c r="AN77" s="300">
        <v>462.01</v>
      </c>
      <c r="AO77" s="300">
        <v>594.52</v>
      </c>
      <c r="AP77" s="300">
        <v>146.94999999999999</v>
      </c>
      <c r="AQ77" s="300">
        <v>163.04999999999998</v>
      </c>
      <c r="AR77" s="300">
        <v>368.5</v>
      </c>
      <c r="AS77" s="300">
        <v>442.6</v>
      </c>
      <c r="AT77" s="300">
        <v>479.34999999999997</v>
      </c>
      <c r="AU77" s="300">
        <v>269</v>
      </c>
      <c r="AV77" s="300">
        <v>333.85</v>
      </c>
      <c r="AW77" s="300">
        <v>522.24</v>
      </c>
      <c r="AX77" s="300">
        <v>511.43</v>
      </c>
      <c r="AY77" s="300">
        <v>145.66</v>
      </c>
      <c r="AZ77" s="300">
        <v>305.12</v>
      </c>
      <c r="BA77" s="300">
        <v>601.45000000000005</v>
      </c>
      <c r="BB77" s="300">
        <v>549.17999999999995</v>
      </c>
      <c r="BC77" s="254">
        <f>(BC79-BC75)/4+BC76</f>
        <v>705</v>
      </c>
      <c r="BD77" s="300">
        <v>105.38</v>
      </c>
      <c r="BE77" s="300">
        <v>115</v>
      </c>
      <c r="BF77" s="300">
        <v>173.15</v>
      </c>
      <c r="BG77" s="300">
        <v>279</v>
      </c>
      <c r="BH77" s="300">
        <v>410</v>
      </c>
      <c r="BI77" s="300">
        <v>97.864999999999995</v>
      </c>
      <c r="BJ77" s="300">
        <v>186</v>
      </c>
      <c r="BK77" s="300">
        <v>466</v>
      </c>
      <c r="BL77" s="300">
        <v>342</v>
      </c>
      <c r="BM77" s="300">
        <v>448</v>
      </c>
      <c r="BN77" s="300">
        <v>462</v>
      </c>
      <c r="BO77" s="300">
        <v>575.5</v>
      </c>
      <c r="BP77" s="300">
        <v>305.68</v>
      </c>
      <c r="BQ77" s="300">
        <v>386.99</v>
      </c>
      <c r="BR77" s="300">
        <v>678.03</v>
      </c>
      <c r="BS77" s="254">
        <f>(BS79-BS75)/4+BS76</f>
        <v>735</v>
      </c>
      <c r="BT77" s="300">
        <v>475.85</v>
      </c>
      <c r="BU77" s="300">
        <v>614.54</v>
      </c>
      <c r="BV77" s="300">
        <v>234</v>
      </c>
      <c r="BW77" s="300">
        <v>211.5</v>
      </c>
      <c r="BX77" s="300">
        <v>429</v>
      </c>
      <c r="BY77" s="300">
        <v>134.5</v>
      </c>
      <c r="BZ77" s="300">
        <v>364.5</v>
      </c>
      <c r="CA77" s="300">
        <v>137.19999999999999</v>
      </c>
      <c r="CB77" s="300">
        <v>112.14999999999999</v>
      </c>
      <c r="CC77" s="300">
        <v>92.600000000000009</v>
      </c>
      <c r="CD77" s="300">
        <v>106.14999999999999</v>
      </c>
      <c r="CE77" s="300">
        <v>106.94</v>
      </c>
      <c r="CF77" s="300">
        <v>567.99</v>
      </c>
      <c r="CG77" s="300">
        <v>362.5</v>
      </c>
      <c r="CH77" s="300">
        <v>309.02999999999997</v>
      </c>
      <c r="CI77" s="300">
        <v>423.78</v>
      </c>
      <c r="CJ77" s="300">
        <v>429.28</v>
      </c>
      <c r="CK77" s="300">
        <v>422.54</v>
      </c>
      <c r="CL77" s="300">
        <v>600</v>
      </c>
      <c r="CM77" s="300">
        <v>729.81</v>
      </c>
      <c r="CN77" s="300">
        <v>105.83</v>
      </c>
      <c r="CO77" s="300">
        <v>196.7</v>
      </c>
      <c r="CP77" s="254">
        <v>6.5</v>
      </c>
      <c r="CQ77" s="254"/>
      <c r="CR77" s="254"/>
      <c r="CS77" s="254"/>
      <c r="CT77" s="254"/>
      <c r="CW77" s="277"/>
      <c r="CX77" s="277"/>
      <c r="CY77" s="277"/>
    </row>
    <row r="78" spans="1:103" x14ac:dyDescent="0.2">
      <c r="A78" s="254">
        <v>6.75</v>
      </c>
      <c r="B78" s="122">
        <f t="shared" si="1"/>
        <v>9.3488356683526744E-2</v>
      </c>
      <c r="C78" s="122">
        <f t="shared" si="2"/>
        <v>9.6721474031764343E-2</v>
      </c>
      <c r="D78" s="122">
        <f t="shared" si="3"/>
        <v>47.695893943672324</v>
      </c>
      <c r="E78" s="122">
        <f t="shared" si="4"/>
        <v>31.063041651015343</v>
      </c>
      <c r="F78" s="122">
        <f t="shared" si="10"/>
        <v>31.06304165101534</v>
      </c>
      <c r="G78" s="299">
        <f>HLOOKUP('Input &amp; Summary'!$B$6,'AEP Input Output sheet'!$N$50:$CO$211,ROW(G78)-49,0)</f>
        <v>321.15972137494424</v>
      </c>
      <c r="H78" s="122">
        <f t="shared" si="5"/>
        <v>374.46771594466651</v>
      </c>
      <c r="I78" s="247">
        <f t="shared" si="6"/>
        <v>0.85764328325275607</v>
      </c>
      <c r="J78" s="254">
        <f t="shared" si="7"/>
        <v>374.46771594466651</v>
      </c>
      <c r="K78" s="122">
        <f t="shared" si="8"/>
        <v>0</v>
      </c>
      <c r="L78" s="122">
        <f t="shared" si="11"/>
        <v>1662.9519221382577</v>
      </c>
      <c r="M78" s="122"/>
      <c r="N78" s="254">
        <f t="shared" si="9"/>
        <v>321.15972137494424</v>
      </c>
      <c r="O78" s="452">
        <v>319.125</v>
      </c>
      <c r="P78" s="452">
        <v>744.625</v>
      </c>
      <c r="Q78" s="452">
        <v>1063.75</v>
      </c>
      <c r="R78" s="452">
        <v>388.12499999999994</v>
      </c>
      <c r="S78" s="452">
        <v>905.62499999999989</v>
      </c>
      <c r="T78" s="452">
        <v>1293.75</v>
      </c>
      <c r="U78" s="452">
        <v>420.74999999999994</v>
      </c>
      <c r="V78" s="452">
        <v>981.74999999999989</v>
      </c>
      <c r="W78" s="452">
        <v>1402.4999999999998</v>
      </c>
      <c r="X78" s="300">
        <v>295</v>
      </c>
      <c r="Y78" s="300">
        <v>354.25</v>
      </c>
      <c r="Z78" s="300">
        <v>170.875</v>
      </c>
      <c r="AA78" s="300">
        <v>183</v>
      </c>
      <c r="AB78" s="254">
        <f>(AB79-AB75)/4+AB77</f>
        <v>837.5</v>
      </c>
      <c r="AC78" s="300">
        <v>243.25</v>
      </c>
      <c r="AD78" s="300">
        <v>452.68</v>
      </c>
      <c r="AE78" s="300">
        <v>418.92</v>
      </c>
      <c r="AF78" s="300">
        <v>394.8</v>
      </c>
      <c r="AG78" s="300">
        <v>365.87</v>
      </c>
      <c r="AH78" s="300">
        <v>353.33</v>
      </c>
      <c r="AI78" s="300">
        <v>94.94</v>
      </c>
      <c r="AJ78" s="300">
        <v>171.77</v>
      </c>
      <c r="AK78" s="300">
        <v>336.11</v>
      </c>
      <c r="AL78" s="300">
        <v>336.11</v>
      </c>
      <c r="AM78" s="300">
        <v>398.41</v>
      </c>
      <c r="AN78" s="300">
        <v>509.72</v>
      </c>
      <c r="AO78" s="300">
        <v>668.73</v>
      </c>
      <c r="AP78" s="300">
        <v>168.17499999999998</v>
      </c>
      <c r="AQ78" s="300">
        <v>183.02499999999998</v>
      </c>
      <c r="AR78" s="300">
        <v>412.75</v>
      </c>
      <c r="AS78" s="300">
        <v>496.20000000000005</v>
      </c>
      <c r="AT78" s="300">
        <v>537.125</v>
      </c>
      <c r="AU78" s="300">
        <v>306.5</v>
      </c>
      <c r="AV78" s="300">
        <v>375.4</v>
      </c>
      <c r="AW78" s="300">
        <v>588.24</v>
      </c>
      <c r="AX78" s="300">
        <v>602.85</v>
      </c>
      <c r="AY78" s="300">
        <v>174.58</v>
      </c>
      <c r="AZ78" s="300">
        <v>334.63</v>
      </c>
      <c r="BA78" s="300">
        <v>680.56</v>
      </c>
      <c r="BB78" s="300">
        <v>636.79</v>
      </c>
      <c r="BC78" s="254">
        <f>(BC79-BC75)/4+BC77</f>
        <v>787.5</v>
      </c>
      <c r="BD78" s="300">
        <v>120.73</v>
      </c>
      <c r="BE78" s="300">
        <v>135.16999999999999</v>
      </c>
      <c r="BF78" s="300">
        <v>193.27</v>
      </c>
      <c r="BG78" s="300">
        <v>317.5</v>
      </c>
      <c r="BH78" s="300">
        <v>460.5</v>
      </c>
      <c r="BI78" s="300">
        <v>110.78749999999999</v>
      </c>
      <c r="BJ78" s="300">
        <v>213.5</v>
      </c>
      <c r="BK78" s="300">
        <v>523</v>
      </c>
      <c r="BL78" s="300">
        <v>387.5</v>
      </c>
      <c r="BM78" s="300">
        <v>510</v>
      </c>
      <c r="BN78" s="300">
        <v>521</v>
      </c>
      <c r="BO78" s="300">
        <v>647.75</v>
      </c>
      <c r="BP78" s="300">
        <v>345.98</v>
      </c>
      <c r="BQ78" s="300">
        <v>437.73</v>
      </c>
      <c r="BR78" s="300">
        <v>761.35</v>
      </c>
      <c r="BS78" s="254">
        <f>(BS79-BS75)/4+BS77</f>
        <v>837.5</v>
      </c>
      <c r="BT78" s="300">
        <v>533.47</v>
      </c>
      <c r="BU78" s="300">
        <v>705.26</v>
      </c>
      <c r="BV78" s="300">
        <v>260.5</v>
      </c>
      <c r="BW78" s="300">
        <v>243.25</v>
      </c>
      <c r="BX78" s="300">
        <v>487.5</v>
      </c>
      <c r="BY78" s="300">
        <v>153.75</v>
      </c>
      <c r="BZ78" s="300">
        <v>415.25</v>
      </c>
      <c r="CA78" s="300">
        <v>155.49</v>
      </c>
      <c r="CB78" s="300">
        <v>125.12499999999999</v>
      </c>
      <c r="CC78" s="300">
        <v>106.30000000000001</v>
      </c>
      <c r="CD78" s="300">
        <v>120.57499999999999</v>
      </c>
      <c r="CE78" s="300">
        <v>122.27</v>
      </c>
      <c r="CF78" s="300">
        <v>618.55999999999995</v>
      </c>
      <c r="CG78" s="300">
        <v>413.75</v>
      </c>
      <c r="CH78" s="300">
        <v>360.5</v>
      </c>
      <c r="CI78" s="300">
        <v>490.05</v>
      </c>
      <c r="CJ78" s="300">
        <v>490.05</v>
      </c>
      <c r="CK78" s="300">
        <v>469.26</v>
      </c>
      <c r="CL78" s="300">
        <v>665.24</v>
      </c>
      <c r="CM78" s="300">
        <v>816.35</v>
      </c>
      <c r="CN78" s="300">
        <v>115.08</v>
      </c>
      <c r="CO78" s="300">
        <v>223.04999999999998</v>
      </c>
      <c r="CP78" s="254">
        <v>6.75</v>
      </c>
      <c r="CQ78" s="254"/>
      <c r="CR78" s="254"/>
      <c r="CS78" s="254"/>
      <c r="CT78" s="254"/>
      <c r="CW78" s="277"/>
      <c r="CX78" s="277"/>
      <c r="CY78" s="277"/>
    </row>
    <row r="79" spans="1:103" x14ac:dyDescent="0.2">
      <c r="A79" s="254">
        <v>7</v>
      </c>
      <c r="B79" s="122">
        <f t="shared" si="1"/>
        <v>9.305832491052321E-2</v>
      </c>
      <c r="C79" s="122">
        <f t="shared" si="2"/>
        <v>9.6552033343458299E-2</v>
      </c>
      <c r="D79" s="122">
        <f t="shared" si="3"/>
        <v>53.100952616143395</v>
      </c>
      <c r="E79" s="122">
        <f t="shared" si="4"/>
        <v>34.82187059182332</v>
      </c>
      <c r="F79" s="122">
        <f t="shared" si="10"/>
        <v>34.82187059182332</v>
      </c>
      <c r="G79" s="299">
        <f>HLOOKUP('Input &amp; Summary'!$B$6,'AEP Input Output sheet'!$N$50:$CO$211,ROW(G79)-49,0)</f>
        <v>360.6539332833492</v>
      </c>
      <c r="H79" s="122">
        <f t="shared" si="5"/>
        <v>417.63528427665096</v>
      </c>
      <c r="I79" s="247">
        <f t="shared" si="6"/>
        <v>0.86356193277109206</v>
      </c>
      <c r="J79" s="254">
        <f t="shared" si="7"/>
        <v>417.63528427665096</v>
      </c>
      <c r="K79" s="122">
        <f t="shared" si="8"/>
        <v>0</v>
      </c>
      <c r="L79" s="122">
        <f t="shared" si="11"/>
        <v>1662.9519221382577</v>
      </c>
      <c r="M79" s="122"/>
      <c r="N79" s="254">
        <f t="shared" si="9"/>
        <v>360.6539332833492</v>
      </c>
      <c r="O79" s="452">
        <v>355.5</v>
      </c>
      <c r="P79" s="452">
        <v>829.49999999999989</v>
      </c>
      <c r="Q79" s="452">
        <v>1185</v>
      </c>
      <c r="R79" s="452">
        <v>430.5</v>
      </c>
      <c r="S79" s="452">
        <v>1004.5</v>
      </c>
      <c r="T79" s="452">
        <v>1434.9999999999998</v>
      </c>
      <c r="U79" s="452">
        <v>466.5</v>
      </c>
      <c r="V79" s="452">
        <v>1088.5</v>
      </c>
      <c r="W79" s="452">
        <v>1555</v>
      </c>
      <c r="X79" s="300">
        <v>329</v>
      </c>
      <c r="Y79" s="300">
        <v>395</v>
      </c>
      <c r="Z79" s="300">
        <v>199</v>
      </c>
      <c r="AA79" s="300">
        <v>213</v>
      </c>
      <c r="AB79" s="302">
        <v>940</v>
      </c>
      <c r="AC79" s="300">
        <v>286</v>
      </c>
      <c r="AD79" s="300">
        <v>510.45</v>
      </c>
      <c r="AE79" s="300">
        <v>481.51</v>
      </c>
      <c r="AF79" s="300">
        <v>462.22</v>
      </c>
      <c r="AG79" s="300">
        <v>423.62</v>
      </c>
      <c r="AH79" s="300">
        <v>396.56</v>
      </c>
      <c r="AI79" s="300">
        <v>111.14</v>
      </c>
      <c r="AJ79" s="300">
        <v>190.16</v>
      </c>
      <c r="AK79" s="300">
        <v>383.68</v>
      </c>
      <c r="AL79" s="300">
        <v>383.68</v>
      </c>
      <c r="AM79" s="300">
        <v>446.11</v>
      </c>
      <c r="AN79" s="300">
        <v>568.02</v>
      </c>
      <c r="AO79" s="300">
        <v>727.03</v>
      </c>
      <c r="AP79" s="300">
        <v>189.4</v>
      </c>
      <c r="AQ79" s="300">
        <v>203</v>
      </c>
      <c r="AR79" s="300">
        <v>457</v>
      </c>
      <c r="AS79" s="300">
        <v>549.79999999999995</v>
      </c>
      <c r="AT79" s="300">
        <v>594.9</v>
      </c>
      <c r="AU79" s="300">
        <v>344</v>
      </c>
      <c r="AV79" s="300">
        <v>426.72</v>
      </c>
      <c r="AW79" s="300">
        <v>659.14</v>
      </c>
      <c r="AX79" s="300">
        <v>654.29</v>
      </c>
      <c r="AY79" s="300">
        <v>201.45</v>
      </c>
      <c r="AZ79" s="300">
        <v>365.68</v>
      </c>
      <c r="BA79" s="300">
        <v>739.83</v>
      </c>
      <c r="BB79" s="300">
        <v>685.49</v>
      </c>
      <c r="BC79" s="302">
        <v>870</v>
      </c>
      <c r="BD79" s="300">
        <v>136.09</v>
      </c>
      <c r="BE79" s="300">
        <v>155.34</v>
      </c>
      <c r="BF79" s="300">
        <v>213.39</v>
      </c>
      <c r="BG79" s="300">
        <v>356</v>
      </c>
      <c r="BH79" s="300">
        <v>511</v>
      </c>
      <c r="BI79" s="300">
        <v>123.71</v>
      </c>
      <c r="BJ79" s="300">
        <v>241</v>
      </c>
      <c r="BK79" s="300">
        <v>580</v>
      </c>
      <c r="BL79" s="300">
        <v>433</v>
      </c>
      <c r="BM79" s="300">
        <v>572</v>
      </c>
      <c r="BN79" s="300">
        <v>580</v>
      </c>
      <c r="BO79" s="300">
        <v>720</v>
      </c>
      <c r="BP79" s="300">
        <v>386.28</v>
      </c>
      <c r="BQ79" s="300">
        <v>508.66</v>
      </c>
      <c r="BR79" s="300">
        <v>844.7</v>
      </c>
      <c r="BS79" s="302">
        <v>940</v>
      </c>
      <c r="BT79" s="300">
        <v>608.78</v>
      </c>
      <c r="BU79" s="300">
        <v>775.8</v>
      </c>
      <c r="BV79" s="300">
        <v>287</v>
      </c>
      <c r="BW79" s="300">
        <v>275</v>
      </c>
      <c r="BX79" s="300">
        <v>546</v>
      </c>
      <c r="BY79" s="300">
        <v>173</v>
      </c>
      <c r="BZ79" s="300">
        <v>466</v>
      </c>
      <c r="CA79" s="300">
        <v>173.78</v>
      </c>
      <c r="CB79" s="300">
        <v>138.1</v>
      </c>
      <c r="CC79" s="300">
        <v>120</v>
      </c>
      <c r="CD79" s="300">
        <v>135</v>
      </c>
      <c r="CE79" s="300">
        <v>139.11000000000001</v>
      </c>
      <c r="CF79" s="300">
        <v>680.81</v>
      </c>
      <c r="CG79" s="300">
        <v>465</v>
      </c>
      <c r="CH79" s="300">
        <v>411.98</v>
      </c>
      <c r="CI79" s="300">
        <v>556.37</v>
      </c>
      <c r="CJ79" s="300">
        <v>556.37</v>
      </c>
      <c r="CK79" s="300">
        <v>515.98</v>
      </c>
      <c r="CL79" s="300">
        <v>747.64</v>
      </c>
      <c r="CM79" s="300">
        <v>925.96</v>
      </c>
      <c r="CN79" s="300">
        <v>130.43</v>
      </c>
      <c r="CO79" s="300">
        <v>249.4</v>
      </c>
      <c r="CP79" s="254">
        <v>7</v>
      </c>
      <c r="CQ79" s="254"/>
      <c r="CR79" s="254"/>
      <c r="CS79" s="254"/>
      <c r="CT79" s="254"/>
      <c r="CW79" s="277"/>
      <c r="CX79" s="277"/>
      <c r="CY79" s="277"/>
    </row>
    <row r="80" spans="1:103" x14ac:dyDescent="0.2">
      <c r="A80" s="254">
        <v>7.25</v>
      </c>
      <c r="B80" s="122">
        <f t="shared" si="1"/>
        <v>9.2374369532699591E-2</v>
      </c>
      <c r="C80" s="122">
        <f t="shared" si="2"/>
        <v>9.6086750692719616E-2</v>
      </c>
      <c r="D80" s="122">
        <f t="shared" si="3"/>
        <v>58.711651259344947</v>
      </c>
      <c r="E80" s="122">
        <f t="shared" si="4"/>
        <v>38.729912697383462</v>
      </c>
      <c r="F80" s="122">
        <f t="shared" si="10"/>
        <v>38.729912697383455</v>
      </c>
      <c r="G80" s="299">
        <f>HLOOKUP('Input &amp; Summary'!$B$6,'AEP Input Output sheet'!$N$50:$CO$211,ROW(G80)-49,0)</f>
        <v>403.07235303688935</v>
      </c>
      <c r="H80" s="122">
        <f t="shared" si="5"/>
        <v>463.99904100871163</v>
      </c>
      <c r="I80" s="247">
        <f t="shared" si="6"/>
        <v>0.86869221143351805</v>
      </c>
      <c r="J80" s="254">
        <f t="shared" si="7"/>
        <v>463.99904100871163</v>
      </c>
      <c r="K80" s="122">
        <f t="shared" si="8"/>
        <v>0</v>
      </c>
      <c r="L80" s="122">
        <f t="shared" si="11"/>
        <v>1662.9519221382577</v>
      </c>
      <c r="M80" s="122"/>
      <c r="N80" s="254">
        <f t="shared" si="9"/>
        <v>403.07235303688935</v>
      </c>
      <c r="O80" s="452">
        <v>403.875</v>
      </c>
      <c r="P80" s="452">
        <v>942.375</v>
      </c>
      <c r="Q80" s="452">
        <v>1346.25</v>
      </c>
      <c r="R80" s="452">
        <v>485.625</v>
      </c>
      <c r="S80" s="452">
        <v>1133.125</v>
      </c>
      <c r="T80" s="452">
        <v>1618.75</v>
      </c>
      <c r="U80" s="452">
        <v>526.875</v>
      </c>
      <c r="V80" s="452">
        <v>1229.375</v>
      </c>
      <c r="W80" s="452">
        <v>1756.25</v>
      </c>
      <c r="X80" s="300">
        <v>373.5</v>
      </c>
      <c r="Y80" s="300">
        <v>448.25</v>
      </c>
      <c r="Z80" s="300">
        <v>223.5</v>
      </c>
      <c r="AA80" s="300">
        <v>239.25</v>
      </c>
      <c r="AB80" s="254">
        <f>(AB83-AB79)/4+AB79</f>
        <v>1072.5</v>
      </c>
      <c r="AC80" s="300">
        <v>324.75</v>
      </c>
      <c r="AD80" s="300">
        <v>573.04999999999995</v>
      </c>
      <c r="AE80" s="300">
        <v>548.91999999999996</v>
      </c>
      <c r="AF80" s="300">
        <v>519.98</v>
      </c>
      <c r="AG80" s="300">
        <v>476.56</v>
      </c>
      <c r="AH80" s="300">
        <v>459.41</v>
      </c>
      <c r="AI80" s="300">
        <v>123.73</v>
      </c>
      <c r="AJ80" s="300">
        <v>214.58</v>
      </c>
      <c r="AK80" s="300">
        <v>433.9</v>
      </c>
      <c r="AL80" s="300">
        <v>433.9</v>
      </c>
      <c r="AM80" s="300">
        <v>499.12</v>
      </c>
      <c r="AN80" s="300">
        <v>652.83000000000004</v>
      </c>
      <c r="AO80" s="300">
        <v>838.34</v>
      </c>
      <c r="AP80" s="300">
        <v>213.45000000000002</v>
      </c>
      <c r="AQ80" s="300">
        <v>229</v>
      </c>
      <c r="AR80" s="300">
        <v>515.25</v>
      </c>
      <c r="AS80" s="300">
        <v>620.22499999999991</v>
      </c>
      <c r="AT80" s="300">
        <v>671.375</v>
      </c>
      <c r="AU80" s="300">
        <v>386</v>
      </c>
      <c r="AV80" s="300">
        <v>475.6</v>
      </c>
      <c r="AW80" s="300">
        <v>727.58</v>
      </c>
      <c r="AX80" s="300">
        <v>734.29</v>
      </c>
      <c r="AY80" s="300">
        <v>228.31</v>
      </c>
      <c r="AZ80" s="300">
        <v>407.6</v>
      </c>
      <c r="BA80" s="300">
        <v>818.94</v>
      </c>
      <c r="BB80" s="300">
        <v>773.1</v>
      </c>
      <c r="BC80" s="254">
        <f>(BC83-BC79)/4+BC79</f>
        <v>986.25</v>
      </c>
      <c r="BD80" s="300">
        <v>151.43</v>
      </c>
      <c r="BE80" s="300">
        <v>184.14</v>
      </c>
      <c r="BF80" s="300">
        <v>235.52</v>
      </c>
      <c r="BG80" s="300">
        <v>411</v>
      </c>
      <c r="BH80" s="300">
        <v>572.75</v>
      </c>
      <c r="BI80" s="300">
        <v>141.845</v>
      </c>
      <c r="BJ80" s="300">
        <v>274.75</v>
      </c>
      <c r="BK80" s="300">
        <v>652.5</v>
      </c>
      <c r="BL80" s="300">
        <v>491.5</v>
      </c>
      <c r="BM80" s="300">
        <v>644</v>
      </c>
      <c r="BN80" s="300">
        <v>648.5</v>
      </c>
      <c r="BO80" s="300">
        <v>815.5</v>
      </c>
      <c r="BP80" s="300">
        <v>426.56</v>
      </c>
      <c r="BQ80" s="300">
        <v>554.38</v>
      </c>
      <c r="BR80" s="300">
        <v>943.18</v>
      </c>
      <c r="BS80" s="254">
        <f>(BS83-BS79)/4+BS79</f>
        <v>1072.5</v>
      </c>
      <c r="BT80" s="300">
        <v>675.33</v>
      </c>
      <c r="BU80" s="300">
        <v>876.72</v>
      </c>
      <c r="BV80" s="300">
        <v>328.25</v>
      </c>
      <c r="BW80" s="300">
        <v>317.75</v>
      </c>
      <c r="BX80" s="300">
        <v>619.5</v>
      </c>
      <c r="BY80" s="300">
        <v>197</v>
      </c>
      <c r="BZ80" s="300">
        <v>526.75</v>
      </c>
      <c r="CA80" s="300">
        <v>188.41</v>
      </c>
      <c r="CB80" s="300">
        <v>156.02500000000001</v>
      </c>
      <c r="CC80" s="300">
        <v>137</v>
      </c>
      <c r="CD80" s="300">
        <v>152.75</v>
      </c>
      <c r="CE80" s="300">
        <v>160.47</v>
      </c>
      <c r="CF80" s="300">
        <v>739.16</v>
      </c>
      <c r="CG80" s="300">
        <v>532.5</v>
      </c>
      <c r="CH80" s="300">
        <v>470.32</v>
      </c>
      <c r="CI80" s="300">
        <v>622.64</v>
      </c>
      <c r="CJ80" s="300">
        <v>617.14</v>
      </c>
      <c r="CK80" s="300">
        <v>580.01</v>
      </c>
      <c r="CL80" s="300">
        <v>826.6</v>
      </c>
      <c r="CM80" s="300">
        <v>1050</v>
      </c>
      <c r="CN80" s="300">
        <v>148.81</v>
      </c>
      <c r="CO80" s="300">
        <v>284.10000000000002</v>
      </c>
      <c r="CP80" s="254">
        <v>7.25</v>
      </c>
      <c r="CQ80" s="254"/>
      <c r="CR80" s="254"/>
      <c r="CS80" s="254"/>
      <c r="CT80" s="254"/>
      <c r="CW80" s="277"/>
      <c r="CX80" s="277"/>
      <c r="CY80" s="277"/>
    </row>
    <row r="81" spans="1:103" x14ac:dyDescent="0.2">
      <c r="A81" s="254">
        <v>7.5</v>
      </c>
      <c r="B81" s="122">
        <f t="shared" si="1"/>
        <v>9.1450037174298171E-2</v>
      </c>
      <c r="C81" s="122">
        <f t="shared" si="2"/>
        <v>9.5338420101792248E-2</v>
      </c>
      <c r="D81" s="122">
        <f t="shared" si="3"/>
        <v>64.490910563166153</v>
      </c>
      <c r="E81" s="122">
        <f t="shared" si="4"/>
        <v>42.761132566484974</v>
      </c>
      <c r="F81" s="122">
        <f t="shared" si="10"/>
        <v>42.761132566484974</v>
      </c>
      <c r="G81" s="299">
        <f>HLOOKUP('Input &amp; Summary'!$B$6,'AEP Input Output sheet'!$N$50:$CO$211,ROW(G81)-49,0)</f>
        <v>448.51941663003407</v>
      </c>
      <c r="H81" s="122">
        <f t="shared" si="5"/>
        <v>513.67313572656599</v>
      </c>
      <c r="I81" s="247">
        <f t="shared" si="6"/>
        <v>0.87316113192414646</v>
      </c>
      <c r="J81" s="254">
        <f t="shared" si="7"/>
        <v>513.67313572656599</v>
      </c>
      <c r="K81" s="122">
        <f t="shared" si="8"/>
        <v>0</v>
      </c>
      <c r="L81" s="122">
        <f t="shared" si="11"/>
        <v>1662.9519221382577</v>
      </c>
      <c r="M81" s="122"/>
      <c r="N81" s="254">
        <f t="shared" si="9"/>
        <v>448.51941663003407</v>
      </c>
      <c r="O81" s="452">
        <v>452.25</v>
      </c>
      <c r="P81" s="452">
        <v>1055.25</v>
      </c>
      <c r="Q81" s="452">
        <v>1507.4999999999998</v>
      </c>
      <c r="R81" s="452">
        <v>540.75</v>
      </c>
      <c r="S81" s="452">
        <v>1261.75</v>
      </c>
      <c r="T81" s="452">
        <v>1802.5</v>
      </c>
      <c r="U81" s="452">
        <v>587.25</v>
      </c>
      <c r="V81" s="452">
        <v>1370.25</v>
      </c>
      <c r="W81" s="452">
        <v>1957.5</v>
      </c>
      <c r="X81" s="300">
        <v>418</v>
      </c>
      <c r="Y81" s="300">
        <v>501.5</v>
      </c>
      <c r="Z81" s="300">
        <v>241.875</v>
      </c>
      <c r="AA81" s="300">
        <v>258.9375</v>
      </c>
      <c r="AB81" s="254">
        <f>(AB83-AB79)/4+AB80</f>
        <v>1205</v>
      </c>
      <c r="AC81" s="300">
        <v>353.8125</v>
      </c>
      <c r="AD81" s="300">
        <v>654.91999999999996</v>
      </c>
      <c r="AE81" s="300">
        <v>621.16</v>
      </c>
      <c r="AF81" s="300">
        <v>572.92999999999995</v>
      </c>
      <c r="AG81" s="300">
        <v>529.52</v>
      </c>
      <c r="AH81" s="300">
        <v>518.32000000000005</v>
      </c>
      <c r="AI81" s="300">
        <v>136.31</v>
      </c>
      <c r="AJ81" s="300">
        <v>244.81</v>
      </c>
      <c r="AK81" s="300">
        <v>484.12</v>
      </c>
      <c r="AL81" s="300">
        <v>484.12</v>
      </c>
      <c r="AM81" s="300">
        <v>552.12</v>
      </c>
      <c r="AN81" s="300">
        <v>727.03</v>
      </c>
      <c r="AO81" s="300">
        <v>933.75</v>
      </c>
      <c r="AP81" s="300">
        <v>237.50000000000003</v>
      </c>
      <c r="AQ81" s="300">
        <v>255</v>
      </c>
      <c r="AR81" s="300">
        <v>573.5</v>
      </c>
      <c r="AS81" s="300">
        <v>690.64999999999986</v>
      </c>
      <c r="AT81" s="300">
        <v>747.85</v>
      </c>
      <c r="AU81" s="300">
        <v>428</v>
      </c>
      <c r="AV81" s="300">
        <v>534.27</v>
      </c>
      <c r="AW81" s="300">
        <v>800.94</v>
      </c>
      <c r="AX81" s="300">
        <v>820</v>
      </c>
      <c r="AY81" s="300">
        <v>265.5</v>
      </c>
      <c r="AZ81" s="300">
        <v>444.88</v>
      </c>
      <c r="BA81" s="300">
        <v>917.65</v>
      </c>
      <c r="BB81" s="300">
        <v>860.72</v>
      </c>
      <c r="BC81" s="254">
        <f>(BC83-BC79)/4+BC80</f>
        <v>1102.5</v>
      </c>
      <c r="BD81" s="300">
        <v>170.6</v>
      </c>
      <c r="BE81" s="300">
        <v>207.19</v>
      </c>
      <c r="BF81" s="300">
        <v>257.66000000000003</v>
      </c>
      <c r="BG81" s="300">
        <v>466</v>
      </c>
      <c r="BH81" s="300">
        <v>634.5</v>
      </c>
      <c r="BI81" s="300">
        <v>159.97999999999999</v>
      </c>
      <c r="BJ81" s="300">
        <v>308.5</v>
      </c>
      <c r="BK81" s="300">
        <v>725</v>
      </c>
      <c r="BL81" s="300">
        <v>550</v>
      </c>
      <c r="BM81" s="300">
        <v>716</v>
      </c>
      <c r="BN81" s="300">
        <v>717</v>
      </c>
      <c r="BO81" s="300">
        <v>911</v>
      </c>
      <c r="BP81" s="300">
        <v>466.87</v>
      </c>
      <c r="BQ81" s="300">
        <v>610.15</v>
      </c>
      <c r="BR81" s="300">
        <v>1040</v>
      </c>
      <c r="BS81" s="254">
        <f>(BS83-BS79)/4+BS80</f>
        <v>1205</v>
      </c>
      <c r="BT81" s="300">
        <v>746.26</v>
      </c>
      <c r="BU81" s="300">
        <v>957.46</v>
      </c>
      <c r="BV81" s="300">
        <v>369.5</v>
      </c>
      <c r="BW81" s="300">
        <v>360.5</v>
      </c>
      <c r="BX81" s="300">
        <v>693</v>
      </c>
      <c r="BY81" s="300">
        <v>221</v>
      </c>
      <c r="BZ81" s="300">
        <v>587.5</v>
      </c>
      <c r="CA81" s="300">
        <v>210.37</v>
      </c>
      <c r="CB81" s="300">
        <v>173.95000000000002</v>
      </c>
      <c r="CC81" s="300">
        <v>154</v>
      </c>
      <c r="CD81" s="300">
        <v>170.5</v>
      </c>
      <c r="CE81" s="300">
        <v>178.83</v>
      </c>
      <c r="CF81" s="300">
        <v>797.51</v>
      </c>
      <c r="CG81" s="300">
        <v>600</v>
      </c>
      <c r="CH81" s="300">
        <v>525.24</v>
      </c>
      <c r="CI81" s="300">
        <v>683.41</v>
      </c>
      <c r="CJ81" s="300">
        <v>677.92</v>
      </c>
      <c r="CK81" s="300">
        <v>644.03</v>
      </c>
      <c r="CL81" s="300">
        <v>919.31</v>
      </c>
      <c r="CM81" s="300">
        <v>1170</v>
      </c>
      <c r="CN81" s="300">
        <v>170.19</v>
      </c>
      <c r="CO81" s="300">
        <v>318.8</v>
      </c>
      <c r="CP81" s="254">
        <v>7.5</v>
      </c>
      <c r="CQ81" s="254"/>
      <c r="CR81" s="254"/>
      <c r="CS81" s="254"/>
      <c r="CT81" s="254"/>
      <c r="CW81" s="277"/>
      <c r="CX81" s="277"/>
      <c r="CY81" s="277"/>
    </row>
    <row r="82" spans="1:103" x14ac:dyDescent="0.2">
      <c r="A82" s="254">
        <v>7.75</v>
      </c>
      <c r="B82" s="122">
        <f t="shared" si="1"/>
        <v>9.0299702601142159E-2</v>
      </c>
      <c r="C82" s="122">
        <f t="shared" si="2"/>
        <v>9.4321252410297554E-2</v>
      </c>
      <c r="D82" s="122">
        <f t="shared" si="3"/>
        <v>70.398180443125696</v>
      </c>
      <c r="E82" s="122">
        <f t="shared" si="4"/>
        <v>46.887053077207959</v>
      </c>
      <c r="F82" s="122">
        <f t="shared" si="10"/>
        <v>46.887053077207952</v>
      </c>
      <c r="G82" s="299">
        <f>HLOOKUP('Input &amp; Summary'!$B$6,'AEP Input Output sheet'!$N$50:$CO$211,ROW(G82)-49,0)</f>
        <v>497.09956005725218</v>
      </c>
      <c r="H82" s="122">
        <f t="shared" si="5"/>
        <v>566.77171801593045</v>
      </c>
      <c r="I82" s="247">
        <f t="shared" si="6"/>
        <v>0.87707192200313711</v>
      </c>
      <c r="J82" s="254">
        <f t="shared" si="7"/>
        <v>566.77171801593045</v>
      </c>
      <c r="K82" s="122">
        <f t="shared" si="8"/>
        <v>0</v>
      </c>
      <c r="L82" s="122">
        <f t="shared" si="11"/>
        <v>1662.9519221382577</v>
      </c>
      <c r="M82" s="122"/>
      <c r="N82" s="254">
        <f t="shared" si="9"/>
        <v>497.09956005725218</v>
      </c>
      <c r="O82" s="452">
        <v>500.625</v>
      </c>
      <c r="P82" s="452">
        <v>1168.1249999999998</v>
      </c>
      <c r="Q82" s="452">
        <v>1668.75</v>
      </c>
      <c r="R82" s="452">
        <v>595.87499999999989</v>
      </c>
      <c r="S82" s="452">
        <v>1390.375</v>
      </c>
      <c r="T82" s="452">
        <v>1986.25</v>
      </c>
      <c r="U82" s="452">
        <v>647.625</v>
      </c>
      <c r="V82" s="452">
        <v>1511.125</v>
      </c>
      <c r="W82" s="452">
        <v>2158.75</v>
      </c>
      <c r="X82" s="300">
        <v>462.5</v>
      </c>
      <c r="Y82" s="300">
        <v>554.75</v>
      </c>
      <c r="Z82" s="300">
        <v>260.25</v>
      </c>
      <c r="AA82" s="300">
        <v>278.625</v>
      </c>
      <c r="AB82" s="254">
        <f>(AB83-AB79)/4+AB81</f>
        <v>1337.5</v>
      </c>
      <c r="AC82" s="300">
        <v>382.875</v>
      </c>
      <c r="AD82" s="300">
        <v>727.16</v>
      </c>
      <c r="AE82" s="300">
        <v>693.4</v>
      </c>
      <c r="AF82" s="300">
        <v>635.52</v>
      </c>
      <c r="AG82" s="300">
        <v>587.29999999999995</v>
      </c>
      <c r="AH82" s="300">
        <v>589.01</v>
      </c>
      <c r="AI82" s="300">
        <v>150.71</v>
      </c>
      <c r="AJ82" s="300">
        <v>263.19</v>
      </c>
      <c r="AK82" s="300">
        <v>542.28</v>
      </c>
      <c r="AL82" s="300">
        <v>542.28</v>
      </c>
      <c r="AM82" s="300">
        <v>599.80999999999995</v>
      </c>
      <c r="AN82" s="300">
        <v>801.24</v>
      </c>
      <c r="AO82" s="300">
        <v>1030</v>
      </c>
      <c r="AP82" s="300">
        <v>261.55</v>
      </c>
      <c r="AQ82" s="300">
        <v>281</v>
      </c>
      <c r="AR82" s="300">
        <v>631.75</v>
      </c>
      <c r="AS82" s="300">
        <v>761.07499999999982</v>
      </c>
      <c r="AT82" s="300">
        <v>824.32500000000005</v>
      </c>
      <c r="AU82" s="300">
        <v>478</v>
      </c>
      <c r="AV82" s="300">
        <v>597.80999999999995</v>
      </c>
      <c r="AW82" s="300">
        <v>876.73</v>
      </c>
      <c r="AX82" s="300">
        <v>905.71</v>
      </c>
      <c r="AY82" s="300">
        <v>292.35000000000002</v>
      </c>
      <c r="AZ82" s="300">
        <v>482.14</v>
      </c>
      <c r="BA82" s="300">
        <v>1020</v>
      </c>
      <c r="BB82" s="300">
        <v>919.13</v>
      </c>
      <c r="BC82" s="254">
        <f>(BC83-BC79)/4+BC81</f>
        <v>1218.75</v>
      </c>
      <c r="BD82" s="300">
        <v>189.78</v>
      </c>
      <c r="BE82" s="300">
        <v>227.35</v>
      </c>
      <c r="BF82" s="300">
        <v>279.79000000000002</v>
      </c>
      <c r="BG82" s="300">
        <v>521</v>
      </c>
      <c r="BH82" s="300">
        <v>696.25</v>
      </c>
      <c r="BI82" s="300">
        <v>178.11499999999998</v>
      </c>
      <c r="BJ82" s="300">
        <v>342.25</v>
      </c>
      <c r="BK82" s="300">
        <v>797.5</v>
      </c>
      <c r="BL82" s="300">
        <v>608.5</v>
      </c>
      <c r="BM82" s="300">
        <v>798</v>
      </c>
      <c r="BN82" s="300">
        <v>793.5</v>
      </c>
      <c r="BO82" s="300">
        <v>1006.5</v>
      </c>
      <c r="BP82" s="300">
        <v>517.22</v>
      </c>
      <c r="BQ82" s="300">
        <v>686.09</v>
      </c>
      <c r="BR82" s="300">
        <v>1130</v>
      </c>
      <c r="BS82" s="254">
        <f>(BS83-BS79)/4+BS81</f>
        <v>1337.5</v>
      </c>
      <c r="BT82" s="300">
        <v>808.26</v>
      </c>
      <c r="BU82">
        <v>1070</v>
      </c>
      <c r="BV82" s="300">
        <v>410.75</v>
      </c>
      <c r="BW82" s="300">
        <v>403.25</v>
      </c>
      <c r="BX82" s="300">
        <v>766.5</v>
      </c>
      <c r="BY82" s="300">
        <v>245</v>
      </c>
      <c r="BZ82" s="300">
        <v>648.25</v>
      </c>
      <c r="CA82" s="300">
        <v>232.32</v>
      </c>
      <c r="CB82" s="300">
        <v>191.87500000000003</v>
      </c>
      <c r="CC82" s="300">
        <v>171</v>
      </c>
      <c r="CD82" s="300">
        <v>188.25</v>
      </c>
      <c r="CE82" s="300">
        <v>200.22</v>
      </c>
      <c r="CF82" s="300">
        <v>863.62</v>
      </c>
      <c r="CG82" s="300">
        <v>667.5</v>
      </c>
      <c r="CH82" s="300">
        <v>597.33000000000004</v>
      </c>
      <c r="CI82" s="300">
        <v>755.18</v>
      </c>
      <c r="CJ82" s="300">
        <v>755.18</v>
      </c>
      <c r="CK82" s="300">
        <v>713.83</v>
      </c>
      <c r="CL82" s="300">
        <v>1010</v>
      </c>
      <c r="CM82" s="300">
        <v>1300</v>
      </c>
      <c r="CN82" s="300">
        <v>191.6</v>
      </c>
      <c r="CO82" s="300">
        <v>353.5</v>
      </c>
      <c r="CP82" s="254">
        <v>7.75</v>
      </c>
      <c r="CQ82" s="254"/>
      <c r="CR82" s="254"/>
      <c r="CS82" s="254"/>
      <c r="CT82" s="254"/>
      <c r="CW82" s="277"/>
      <c r="CX82" s="277"/>
      <c r="CY82" s="277"/>
    </row>
    <row r="83" spans="1:103" x14ac:dyDescent="0.2">
      <c r="A83" s="254">
        <v>8</v>
      </c>
      <c r="B83" s="122">
        <f t="shared" si="1"/>
        <v>8.893842847135465E-2</v>
      </c>
      <c r="C83" s="122">
        <f t="shared" si="2"/>
        <v>9.3050702672431845E-2</v>
      </c>
      <c r="D83" s="122">
        <f t="shared" si="3"/>
        <v>76.389978183587644</v>
      </c>
      <c r="E83" s="122">
        <f t="shared" si="4"/>
        <v>51.077132966073265</v>
      </c>
      <c r="F83" s="122">
        <f t="shared" si="10"/>
        <v>51.077132966073265</v>
      </c>
      <c r="G83" s="299">
        <f>HLOOKUP('Input &amp; Summary'!$B$6,'AEP Input Output sheet'!$N$50:$CO$211,ROW(G83)-49,0)</f>
        <v>548.91721931301333</v>
      </c>
      <c r="H83" s="122">
        <f t="shared" si="5"/>
        <v>623.40893746252289</v>
      </c>
      <c r="I83" s="247">
        <f t="shared" si="6"/>
        <v>0.88050906287498054</v>
      </c>
      <c r="J83" s="254">
        <f t="shared" si="7"/>
        <v>623.40893746252289</v>
      </c>
      <c r="K83" s="122">
        <f t="shared" si="8"/>
        <v>0</v>
      </c>
      <c r="L83" s="122">
        <f t="shared" si="11"/>
        <v>1662.9519221382577</v>
      </c>
      <c r="M83" s="122"/>
      <c r="N83" s="254">
        <f t="shared" si="9"/>
        <v>548.91721931301333</v>
      </c>
      <c r="O83" s="452">
        <v>548.99999999999989</v>
      </c>
      <c r="P83" s="452">
        <v>1281</v>
      </c>
      <c r="Q83" s="452">
        <v>1830</v>
      </c>
      <c r="R83" s="452">
        <v>651</v>
      </c>
      <c r="S83" s="452">
        <v>1519</v>
      </c>
      <c r="T83" s="452">
        <v>2170</v>
      </c>
      <c r="U83" s="452">
        <v>708.00000000000011</v>
      </c>
      <c r="V83" s="452">
        <v>1652.0000000000002</v>
      </c>
      <c r="W83" s="452">
        <v>2360.0000000000005</v>
      </c>
      <c r="X83" s="300">
        <v>507</v>
      </c>
      <c r="Y83" s="300">
        <v>608</v>
      </c>
      <c r="Z83" s="300">
        <v>297</v>
      </c>
      <c r="AA83" s="300">
        <v>318</v>
      </c>
      <c r="AB83" s="302">
        <v>1470</v>
      </c>
      <c r="AC83" s="300">
        <v>441</v>
      </c>
      <c r="AD83" s="300">
        <v>809.05</v>
      </c>
      <c r="AE83" s="300">
        <v>760.81</v>
      </c>
      <c r="AF83" s="300">
        <v>717.4</v>
      </c>
      <c r="AG83" s="300">
        <v>664.35</v>
      </c>
      <c r="AH83" s="300">
        <v>655.78</v>
      </c>
      <c r="AI83" s="300">
        <v>165.1</v>
      </c>
      <c r="AJ83" s="300">
        <v>293.41000000000003</v>
      </c>
      <c r="AK83" s="300">
        <v>595.15</v>
      </c>
      <c r="AL83" s="300">
        <v>611.02</v>
      </c>
      <c r="AM83" s="300">
        <v>658.13</v>
      </c>
      <c r="AN83" s="300">
        <v>891.34</v>
      </c>
      <c r="AO83" s="300">
        <v>1140</v>
      </c>
      <c r="AP83" s="300">
        <v>285.60000000000002</v>
      </c>
      <c r="AQ83" s="300">
        <v>307</v>
      </c>
      <c r="AR83" s="300">
        <v>690</v>
      </c>
      <c r="AS83" s="300">
        <v>831.5</v>
      </c>
      <c r="AT83" s="300">
        <v>900.8</v>
      </c>
      <c r="AU83" s="300">
        <v>528</v>
      </c>
      <c r="AV83" s="300">
        <v>656.49</v>
      </c>
      <c r="AW83" s="300">
        <v>947.62</v>
      </c>
      <c r="AX83" s="300">
        <v>1000</v>
      </c>
      <c r="AY83" s="300">
        <v>327.48</v>
      </c>
      <c r="AZ83" s="300">
        <v>519.41</v>
      </c>
      <c r="BA83" s="300">
        <v>1090</v>
      </c>
      <c r="BB83" s="300">
        <v>1030</v>
      </c>
      <c r="BC83" s="302">
        <v>1335</v>
      </c>
      <c r="BD83" s="300">
        <v>212.77</v>
      </c>
      <c r="BE83" s="300">
        <v>250.41</v>
      </c>
      <c r="BF83" s="300">
        <v>301.91000000000003</v>
      </c>
      <c r="BG83" s="300">
        <v>576</v>
      </c>
      <c r="BH83" s="300">
        <v>758</v>
      </c>
      <c r="BI83" s="300">
        <v>196.25</v>
      </c>
      <c r="BJ83" s="300">
        <v>376</v>
      </c>
      <c r="BK83" s="300">
        <v>870</v>
      </c>
      <c r="BL83" s="300">
        <v>667</v>
      </c>
      <c r="BM83" s="300">
        <v>880</v>
      </c>
      <c r="BN83" s="300">
        <v>870</v>
      </c>
      <c r="BO83" s="300">
        <v>1102</v>
      </c>
      <c r="BP83" s="300">
        <v>577.63</v>
      </c>
      <c r="BQ83" s="300">
        <v>741.85</v>
      </c>
      <c r="BR83" s="300">
        <v>1250</v>
      </c>
      <c r="BS83" s="302">
        <v>1470</v>
      </c>
      <c r="BT83" s="300">
        <v>883.56</v>
      </c>
      <c r="BU83">
        <v>1180</v>
      </c>
      <c r="BV83" s="300">
        <v>452</v>
      </c>
      <c r="BW83" s="300">
        <v>446</v>
      </c>
      <c r="BX83" s="300">
        <v>840</v>
      </c>
      <c r="BY83" s="300">
        <v>269</v>
      </c>
      <c r="BZ83" s="300">
        <v>709</v>
      </c>
      <c r="CA83" s="300">
        <v>246.95</v>
      </c>
      <c r="CB83" s="300">
        <v>209.8</v>
      </c>
      <c r="CC83" s="300">
        <v>188</v>
      </c>
      <c r="CD83" s="300">
        <v>206</v>
      </c>
      <c r="CE83" s="300">
        <v>221.6</v>
      </c>
      <c r="CF83" s="300">
        <v>921.97</v>
      </c>
      <c r="CG83" s="300">
        <v>735</v>
      </c>
      <c r="CH83" s="300">
        <v>645.37</v>
      </c>
      <c r="CI83" s="300">
        <v>832.43</v>
      </c>
      <c r="CJ83" s="300">
        <v>826.94</v>
      </c>
      <c r="CK83" s="300">
        <v>795.17</v>
      </c>
      <c r="CL83" s="300">
        <v>1110</v>
      </c>
      <c r="CM83" s="300">
        <v>1420</v>
      </c>
      <c r="CN83" s="300">
        <v>206.96</v>
      </c>
      <c r="CO83" s="300">
        <v>388.2</v>
      </c>
      <c r="CP83" s="254">
        <v>8</v>
      </c>
      <c r="CQ83" s="254"/>
      <c r="CR83" s="254"/>
      <c r="CS83" s="254"/>
      <c r="CT83" s="254"/>
      <c r="CW83" s="277"/>
      <c r="CX83" s="277"/>
      <c r="CY83" s="277"/>
    </row>
    <row r="84" spans="1:103" x14ac:dyDescent="0.2">
      <c r="A84" s="254">
        <v>8.25</v>
      </c>
      <c r="B84" s="122">
        <f t="shared" si="1"/>
        <v>8.7381825207991329E-2</v>
      </c>
      <c r="C84" s="122">
        <f t="shared" si="2"/>
        <v>9.1543291915712352E-2</v>
      </c>
      <c r="D84" s="122">
        <f t="shared" si="3"/>
        <v>82.420479975248895</v>
      </c>
      <c r="E84" s="122">
        <f t="shared" si="4"/>
        <v>55.299181624073512</v>
      </c>
      <c r="F84" s="122">
        <f t="shared" si="10"/>
        <v>55.299181624073498</v>
      </c>
      <c r="G84" s="299">
        <f>HLOOKUP('Input &amp; Summary'!$B$6,'AEP Input Output sheet'!$N$50:$CO$211,ROW(G84)-49,0)</f>
        <v>604.07683039178573</v>
      </c>
      <c r="H84" s="122">
        <f t="shared" si="5"/>
        <v>683.69894365205914</v>
      </c>
      <c r="I84" s="247">
        <f t="shared" si="6"/>
        <v>0.88354214380533858</v>
      </c>
      <c r="J84" s="254">
        <f t="shared" si="7"/>
        <v>683.69894365205914</v>
      </c>
      <c r="K84" s="122">
        <f t="shared" si="8"/>
        <v>0</v>
      </c>
      <c r="L84" s="122">
        <f t="shared" si="11"/>
        <v>1662.9519221382577</v>
      </c>
      <c r="M84" s="122"/>
      <c r="N84" s="254">
        <f t="shared" si="9"/>
        <v>604.07683039178573</v>
      </c>
      <c r="O84" s="452">
        <v>607.875</v>
      </c>
      <c r="P84" s="452">
        <v>1418.375</v>
      </c>
      <c r="Q84" s="452">
        <v>2026.25</v>
      </c>
      <c r="R84" s="452">
        <v>715.875</v>
      </c>
      <c r="S84" s="452">
        <v>1670.375</v>
      </c>
      <c r="T84" s="452">
        <v>2386.25</v>
      </c>
      <c r="U84" s="452">
        <v>779.625</v>
      </c>
      <c r="V84" s="452">
        <v>1819.125</v>
      </c>
      <c r="W84" s="452">
        <v>2598.7500000000005</v>
      </c>
      <c r="X84" s="300">
        <v>565</v>
      </c>
      <c r="Y84" s="300">
        <v>677.75</v>
      </c>
      <c r="Z84" s="300">
        <v>327</v>
      </c>
      <c r="AA84" s="300">
        <v>350.25</v>
      </c>
      <c r="AB84" s="254">
        <f>(AB87-AB83)/4+AB83</f>
        <v>1676.25</v>
      </c>
      <c r="AC84" s="300">
        <v>487</v>
      </c>
      <c r="AD84" s="300">
        <v>876.46</v>
      </c>
      <c r="AE84" s="300">
        <v>876.46</v>
      </c>
      <c r="AF84" s="300">
        <v>794.46</v>
      </c>
      <c r="AG84" s="300">
        <v>741.41</v>
      </c>
      <c r="AH84" s="300">
        <v>730.38</v>
      </c>
      <c r="AI84" s="300">
        <v>177.68</v>
      </c>
      <c r="AJ84" s="300">
        <v>323.63</v>
      </c>
      <c r="AK84" s="300">
        <v>655.95</v>
      </c>
      <c r="AL84" s="300">
        <v>706.21</v>
      </c>
      <c r="AM84" s="300">
        <v>742.93</v>
      </c>
      <c r="AN84" s="300">
        <v>981.45</v>
      </c>
      <c r="AO84" s="300">
        <v>1260</v>
      </c>
      <c r="AP84" s="300">
        <v>316.375</v>
      </c>
      <c r="AQ84" s="300">
        <v>339.07499999999999</v>
      </c>
      <c r="AR84" s="300">
        <v>762</v>
      </c>
      <c r="AS84" s="300">
        <v>917.32500000000005</v>
      </c>
      <c r="AT84" s="300">
        <v>994.2</v>
      </c>
      <c r="AU84" s="300">
        <v>586</v>
      </c>
      <c r="AV84" s="300">
        <v>724.94</v>
      </c>
      <c r="AW84" s="300">
        <v>1060</v>
      </c>
      <c r="AX84" s="300">
        <v>1070</v>
      </c>
      <c r="AY84" s="300">
        <v>354.34</v>
      </c>
      <c r="AZ84" s="300">
        <v>555.12</v>
      </c>
      <c r="BA84" s="300">
        <v>1190</v>
      </c>
      <c r="BB84" s="300">
        <v>1100</v>
      </c>
      <c r="BC84" s="254">
        <f>(BC87-BC83)/4+BC83</f>
        <v>1482.5</v>
      </c>
      <c r="BD84" s="300">
        <v>235.76</v>
      </c>
      <c r="BE84" s="300">
        <v>282.08</v>
      </c>
      <c r="BF84" s="300">
        <v>326.05</v>
      </c>
      <c r="BG84" s="300">
        <v>634</v>
      </c>
      <c r="BH84" s="300">
        <v>822.75</v>
      </c>
      <c r="BI84" s="300">
        <v>216.38749999999999</v>
      </c>
      <c r="BJ84" s="300">
        <v>416</v>
      </c>
      <c r="BK84" s="300">
        <v>961.75</v>
      </c>
      <c r="BL84" s="300">
        <v>743.75</v>
      </c>
      <c r="BM84" s="300">
        <v>971</v>
      </c>
      <c r="BN84" s="300">
        <v>957.5</v>
      </c>
      <c r="BO84" s="300">
        <v>1220.25</v>
      </c>
      <c r="BP84" s="300">
        <v>633</v>
      </c>
      <c r="BQ84" s="300">
        <v>807.68</v>
      </c>
      <c r="BR84" s="300">
        <v>1370</v>
      </c>
      <c r="BS84" s="254">
        <f>(BS87-BS83)/4+BS83</f>
        <v>1637.5</v>
      </c>
      <c r="BT84" s="300">
        <v>963.26</v>
      </c>
      <c r="BU84">
        <v>1280</v>
      </c>
      <c r="BV84" s="300">
        <v>500.25</v>
      </c>
      <c r="BW84" s="300">
        <v>489.75</v>
      </c>
      <c r="BX84" s="300">
        <v>925</v>
      </c>
      <c r="BY84" s="300">
        <v>294.75</v>
      </c>
      <c r="BZ84" s="300">
        <v>775.25</v>
      </c>
      <c r="CA84" s="300">
        <v>279.88</v>
      </c>
      <c r="CB84" s="300">
        <v>228.85000000000002</v>
      </c>
      <c r="CC84" s="300">
        <v>208</v>
      </c>
      <c r="CD84" s="300">
        <v>226.25</v>
      </c>
      <c r="CE84" s="300">
        <v>243</v>
      </c>
      <c r="CF84" s="300">
        <v>984.21</v>
      </c>
      <c r="CG84" s="300">
        <v>805</v>
      </c>
      <c r="CH84" s="300">
        <v>710.58</v>
      </c>
      <c r="CI84" s="300">
        <v>904.2</v>
      </c>
      <c r="CJ84" s="300">
        <v>904.2</v>
      </c>
      <c r="CK84" s="300">
        <v>888.05</v>
      </c>
      <c r="CL84" s="300">
        <v>1200</v>
      </c>
      <c r="CM84" s="300">
        <v>1540</v>
      </c>
      <c r="CN84" s="300">
        <v>231.35</v>
      </c>
      <c r="CO84" s="300">
        <v>431.09999999999997</v>
      </c>
      <c r="CP84" s="254">
        <v>8.25</v>
      </c>
      <c r="CQ84" s="254"/>
      <c r="CR84" s="254"/>
      <c r="CS84" s="254"/>
      <c r="CT84" s="254"/>
      <c r="CW84" s="277"/>
      <c r="CX84" s="277"/>
      <c r="CY84" s="277"/>
    </row>
    <row r="85" spans="1:103" x14ac:dyDescent="0.2">
      <c r="A85" s="254">
        <v>8.5</v>
      </c>
      <c r="B85" s="122">
        <f t="shared" si="1"/>
        <v>8.5645912414638689E-2</v>
      </c>
      <c r="C85" s="122">
        <f t="shared" si="2"/>
        <v>8.9816425477413753E-2</v>
      </c>
      <c r="D85" s="122">
        <f t="shared" si="3"/>
        <v>88.442154173509024</v>
      </c>
      <c r="E85" s="122">
        <f t="shared" si="4"/>
        <v>59.519802951910918</v>
      </c>
      <c r="F85" s="122">
        <f t="shared" si="10"/>
        <v>59.519802951910883</v>
      </c>
      <c r="G85" s="299">
        <f>HLOOKUP('Input &amp; Summary'!$B$6,'AEP Input Output sheet'!$N$50:$CO$211,ROW(G85)-49,0)</f>
        <v>662.68282928803933</v>
      </c>
      <c r="H85" s="122">
        <f t="shared" si="5"/>
        <v>747.7558861702571</v>
      </c>
      <c r="I85" s="247">
        <f t="shared" si="6"/>
        <v>0.88622883690300036</v>
      </c>
      <c r="J85" s="254">
        <f t="shared" si="7"/>
        <v>747.7558861702571</v>
      </c>
      <c r="K85" s="122">
        <f t="shared" si="8"/>
        <v>0</v>
      </c>
      <c r="L85" s="122">
        <f t="shared" si="11"/>
        <v>1662.9519221382577</v>
      </c>
      <c r="M85" s="122"/>
      <c r="N85" s="254">
        <f t="shared" si="9"/>
        <v>662.68282928803933</v>
      </c>
      <c r="O85" s="452">
        <v>666.75</v>
      </c>
      <c r="P85" s="452">
        <v>1555.75</v>
      </c>
      <c r="Q85" s="452">
        <v>2222.5</v>
      </c>
      <c r="R85" s="452">
        <v>780.75</v>
      </c>
      <c r="S85" s="452">
        <v>1821.7499999999998</v>
      </c>
      <c r="T85" s="452">
        <v>2602.5</v>
      </c>
      <c r="U85" s="452">
        <v>851.25000000000011</v>
      </c>
      <c r="V85" s="452">
        <v>1986.25</v>
      </c>
      <c r="W85" s="452">
        <v>2837.5</v>
      </c>
      <c r="X85" s="300">
        <v>623</v>
      </c>
      <c r="Y85" s="300">
        <v>747.5</v>
      </c>
      <c r="Z85" s="300">
        <v>349.5</v>
      </c>
      <c r="AA85" s="300">
        <v>374.4375</v>
      </c>
      <c r="AB85" s="254">
        <f>(AB87-AB83)/4+AB84</f>
        <v>1882.5</v>
      </c>
      <c r="AC85" s="300">
        <v>521.5</v>
      </c>
      <c r="AD85" s="300">
        <v>987.27</v>
      </c>
      <c r="AE85" s="300">
        <v>982.45</v>
      </c>
      <c r="AF85" s="300">
        <v>905.29</v>
      </c>
      <c r="AG85" s="300">
        <v>808.83</v>
      </c>
      <c r="AH85" s="300">
        <v>804.99</v>
      </c>
      <c r="AI85" s="300">
        <v>192.08</v>
      </c>
      <c r="AJ85" s="300">
        <v>353.58</v>
      </c>
      <c r="AK85" s="300">
        <v>722.04</v>
      </c>
      <c r="AL85" s="300">
        <v>793.47</v>
      </c>
      <c r="AM85" s="300">
        <v>817.14</v>
      </c>
      <c r="AN85" s="300">
        <v>1080</v>
      </c>
      <c r="AO85" s="300">
        <v>1390</v>
      </c>
      <c r="AP85" s="300">
        <v>347.15</v>
      </c>
      <c r="AQ85" s="300">
        <v>371.15</v>
      </c>
      <c r="AR85" s="300">
        <v>834</v>
      </c>
      <c r="AS85" s="300">
        <v>1003.1500000000001</v>
      </c>
      <c r="AT85" s="300">
        <v>1087.6000000000001</v>
      </c>
      <c r="AU85" s="300">
        <v>644</v>
      </c>
      <c r="AV85" s="300">
        <v>798.29</v>
      </c>
      <c r="AW85" s="300">
        <v>1130</v>
      </c>
      <c r="AX85" s="300">
        <v>1170</v>
      </c>
      <c r="AY85" s="300">
        <v>381.2</v>
      </c>
      <c r="AZ85" s="300">
        <v>592.39</v>
      </c>
      <c r="BA85" s="300">
        <v>1300</v>
      </c>
      <c r="BB85" s="300">
        <v>1210</v>
      </c>
      <c r="BC85" s="254">
        <f>(BC87-BC83)/4+BC84</f>
        <v>1630</v>
      </c>
      <c r="BD85" s="300">
        <v>254.92</v>
      </c>
      <c r="BE85" s="300">
        <v>308</v>
      </c>
      <c r="BF85" s="300">
        <v>350.19</v>
      </c>
      <c r="BG85" s="300">
        <v>692</v>
      </c>
      <c r="BH85" s="300">
        <v>887.5</v>
      </c>
      <c r="BI85" s="300">
        <v>236.52499999999998</v>
      </c>
      <c r="BJ85" s="300">
        <v>456</v>
      </c>
      <c r="BK85" s="300">
        <v>1053.5</v>
      </c>
      <c r="BL85" s="300">
        <v>820.5</v>
      </c>
      <c r="BM85" s="300">
        <v>1062</v>
      </c>
      <c r="BN85" s="300">
        <v>1045</v>
      </c>
      <c r="BO85" s="300">
        <v>1338.5</v>
      </c>
      <c r="BP85" s="300">
        <v>683.34</v>
      </c>
      <c r="BQ85" s="300">
        <v>883.54</v>
      </c>
      <c r="BR85" s="300">
        <v>1490</v>
      </c>
      <c r="BS85" s="254">
        <f>(BS87-BS83)/4+BS84</f>
        <v>1805</v>
      </c>
      <c r="BT85" s="300">
        <v>1040</v>
      </c>
      <c r="BU85">
        <v>1420</v>
      </c>
      <c r="BV85" s="300">
        <v>548.5</v>
      </c>
      <c r="BW85" s="300">
        <v>533.5</v>
      </c>
      <c r="BX85" s="300">
        <v>1010</v>
      </c>
      <c r="BY85" s="300">
        <v>320.5</v>
      </c>
      <c r="BZ85" s="300">
        <v>841.5</v>
      </c>
      <c r="CA85" s="300">
        <v>312.8</v>
      </c>
      <c r="CB85" s="300">
        <v>247.90000000000003</v>
      </c>
      <c r="CC85" s="300">
        <v>228</v>
      </c>
      <c r="CD85" s="300">
        <v>246.5</v>
      </c>
      <c r="CE85" s="300">
        <v>265.89999999999998</v>
      </c>
      <c r="CF85" s="300">
        <v>1040</v>
      </c>
      <c r="CG85" s="300">
        <v>875</v>
      </c>
      <c r="CH85" s="300">
        <v>768.94</v>
      </c>
      <c r="CI85" s="300">
        <v>992.49</v>
      </c>
      <c r="CJ85" s="300">
        <v>997.99</v>
      </c>
      <c r="CK85" s="300">
        <v>992.55</v>
      </c>
      <c r="CL85" s="300">
        <v>1290</v>
      </c>
      <c r="CM85" s="300">
        <v>1680</v>
      </c>
      <c r="CN85" s="300">
        <v>252.77</v>
      </c>
      <c r="CO85" s="300">
        <v>473.99999999999994</v>
      </c>
      <c r="CP85" s="254">
        <v>8.5</v>
      </c>
      <c r="CQ85" s="254"/>
      <c r="CR85" s="254"/>
      <c r="CS85" s="254"/>
      <c r="CT85" s="254"/>
      <c r="CW85" s="277"/>
      <c r="CX85" s="277"/>
      <c r="CY85" s="277"/>
    </row>
    <row r="86" spans="1:103" x14ac:dyDescent="0.2">
      <c r="A86" s="254">
        <v>8.75</v>
      </c>
      <c r="B86" s="122">
        <f t="shared" si="1"/>
        <v>8.3746983172994741E-2</v>
      </c>
      <c r="C86" s="122">
        <f t="shared" si="2"/>
        <v>8.7888210113436407E-2</v>
      </c>
      <c r="D86" s="122">
        <f t="shared" si="3"/>
        <v>94.406423907641582</v>
      </c>
      <c r="E86" s="122">
        <f t="shared" si="4"/>
        <v>63.704859633195937</v>
      </c>
      <c r="F86" s="122">
        <f t="shared" si="10"/>
        <v>63.704859633195937</v>
      </c>
      <c r="G86" s="299">
        <f>HLOOKUP('Input &amp; Summary'!$B$6,'AEP Input Output sheet'!$N$50:$CO$211,ROW(G86)-49,0)</f>
        <v>724.83965199624311</v>
      </c>
      <c r="H86" s="122">
        <f t="shared" si="5"/>
        <v>815.69391460283396</v>
      </c>
      <c r="I86" s="247">
        <f t="shared" si="6"/>
        <v>0.88861721170148933</v>
      </c>
      <c r="J86" s="254">
        <f t="shared" si="7"/>
        <v>815.69391460283396</v>
      </c>
      <c r="K86" s="122">
        <f t="shared" si="8"/>
        <v>0</v>
      </c>
      <c r="L86" s="122">
        <f t="shared" si="11"/>
        <v>1662.9519221382577</v>
      </c>
      <c r="M86" s="122"/>
      <c r="N86" s="254">
        <f t="shared" si="9"/>
        <v>724.83965199624311</v>
      </c>
      <c r="O86" s="452">
        <v>725.625</v>
      </c>
      <c r="P86" s="452">
        <v>1693.125</v>
      </c>
      <c r="Q86" s="452">
        <v>2418.75</v>
      </c>
      <c r="R86" s="452">
        <v>845.625</v>
      </c>
      <c r="S86" s="452">
        <v>1973.125</v>
      </c>
      <c r="T86" s="452">
        <v>2818.7499999999995</v>
      </c>
      <c r="U86" s="452">
        <v>922.87499999999989</v>
      </c>
      <c r="V86" s="452">
        <v>2153.375</v>
      </c>
      <c r="W86" s="452">
        <v>3076.25</v>
      </c>
      <c r="X86" s="300">
        <v>681</v>
      </c>
      <c r="Y86" s="300">
        <v>817.25</v>
      </c>
      <c r="Z86" s="300">
        <v>372</v>
      </c>
      <c r="AA86" s="300">
        <v>398.625</v>
      </c>
      <c r="AB86" s="254">
        <f>(AB87-AB83)/4+AB85</f>
        <v>2088.75</v>
      </c>
      <c r="AC86" s="300">
        <v>556</v>
      </c>
      <c r="AD86" s="300">
        <v>1120</v>
      </c>
      <c r="AE86" s="300">
        <v>1040</v>
      </c>
      <c r="AF86" s="300">
        <v>967.88</v>
      </c>
      <c r="AG86" s="300">
        <v>890.72</v>
      </c>
      <c r="AH86" s="300">
        <v>883.53</v>
      </c>
      <c r="AI86" s="300">
        <v>208.28</v>
      </c>
      <c r="AJ86" s="300">
        <v>383.81</v>
      </c>
      <c r="AK86" s="300">
        <v>788.14</v>
      </c>
      <c r="AL86" s="300">
        <v>888.66</v>
      </c>
      <c r="AM86" s="300">
        <v>891.34</v>
      </c>
      <c r="AN86" s="300">
        <v>1180</v>
      </c>
      <c r="AO86" s="300">
        <v>1530</v>
      </c>
      <c r="AP86" s="300">
        <v>377.92499999999995</v>
      </c>
      <c r="AQ86" s="300">
        <v>403.22499999999997</v>
      </c>
      <c r="AR86" s="300">
        <v>906</v>
      </c>
      <c r="AS86" s="300">
        <v>1088.9750000000001</v>
      </c>
      <c r="AT86" s="300">
        <v>1181.0000000000002</v>
      </c>
      <c r="AU86" s="300">
        <v>709</v>
      </c>
      <c r="AV86" s="300">
        <v>871.63</v>
      </c>
      <c r="AW86" s="300">
        <v>1200</v>
      </c>
      <c r="AX86" s="300">
        <v>1280</v>
      </c>
      <c r="AY86" s="300">
        <v>418.39</v>
      </c>
      <c r="AZ86" s="300">
        <v>638.98</v>
      </c>
      <c r="BA86" s="300">
        <v>1430</v>
      </c>
      <c r="BB86" s="300">
        <v>1290</v>
      </c>
      <c r="BC86" s="254">
        <f>(BC87-BC83)/4+BC85</f>
        <v>1777.5</v>
      </c>
      <c r="BD86" s="300">
        <v>274.08999999999997</v>
      </c>
      <c r="BE86" s="300">
        <v>333.92</v>
      </c>
      <c r="BF86" s="300">
        <v>374.33</v>
      </c>
      <c r="BG86" s="300">
        <v>750</v>
      </c>
      <c r="BH86" s="300">
        <v>952.25</v>
      </c>
      <c r="BI86" s="300">
        <v>256.66249999999997</v>
      </c>
      <c r="BJ86" s="300">
        <v>496</v>
      </c>
      <c r="BK86" s="300">
        <v>1145.25</v>
      </c>
      <c r="BL86" s="300">
        <v>897.25</v>
      </c>
      <c r="BM86" s="300">
        <v>1162</v>
      </c>
      <c r="BN86" s="300">
        <v>1141</v>
      </c>
      <c r="BO86" s="300">
        <v>1456.75</v>
      </c>
      <c r="BP86" s="300">
        <v>738.71</v>
      </c>
      <c r="BQ86" s="300">
        <v>969.53</v>
      </c>
      <c r="BR86" s="300">
        <v>1610</v>
      </c>
      <c r="BS86" s="254">
        <f>(BS87-BS83)/4+BS85</f>
        <v>1972.5</v>
      </c>
      <c r="BT86" s="300">
        <v>1110</v>
      </c>
      <c r="BU86">
        <v>1560</v>
      </c>
      <c r="BV86" s="300">
        <v>596.75</v>
      </c>
      <c r="BW86" s="300">
        <v>577.25</v>
      </c>
      <c r="BX86" s="300">
        <v>1095</v>
      </c>
      <c r="BY86" s="300">
        <v>346.25</v>
      </c>
      <c r="BZ86" s="300">
        <v>907.75</v>
      </c>
      <c r="CA86" s="300">
        <v>334.76</v>
      </c>
      <c r="CB86" s="300">
        <v>266.95000000000005</v>
      </c>
      <c r="CC86" s="300">
        <v>248</v>
      </c>
      <c r="CD86" s="300">
        <v>266.75</v>
      </c>
      <c r="CE86" s="300">
        <v>284.23</v>
      </c>
      <c r="CF86" s="300">
        <v>1100</v>
      </c>
      <c r="CG86" s="300">
        <v>945</v>
      </c>
      <c r="CH86" s="300">
        <v>837.58</v>
      </c>
      <c r="CI86" s="300">
        <v>1080</v>
      </c>
      <c r="CJ86" s="300">
        <v>1090</v>
      </c>
      <c r="CK86" s="300">
        <v>1090</v>
      </c>
      <c r="CL86" s="300">
        <v>1390</v>
      </c>
      <c r="CM86" s="300">
        <v>1810</v>
      </c>
      <c r="CN86" s="300">
        <v>274.19</v>
      </c>
      <c r="CO86" s="300">
        <v>516.9</v>
      </c>
      <c r="CP86" s="254">
        <v>8.75</v>
      </c>
      <c r="CQ86" s="254"/>
      <c r="CR86" s="254"/>
      <c r="CS86" s="254"/>
      <c r="CT86" s="254"/>
      <c r="CW86" s="277"/>
      <c r="CX86" s="277"/>
      <c r="CY86" s="277"/>
    </row>
    <row r="87" spans="1:103" x14ac:dyDescent="0.2">
      <c r="A87" s="254">
        <v>9</v>
      </c>
      <c r="B87" s="122">
        <f t="shared" si="1"/>
        <v>8.1701472465666822E-2</v>
      </c>
      <c r="C87" s="122">
        <f t="shared" si="2"/>
        <v>8.5777272017700898E-2</v>
      </c>
      <c r="D87" s="122">
        <f t="shared" si="3"/>
        <v>100.26434626310382</v>
      </c>
      <c r="E87" s="122">
        <f t="shared" si="4"/>
        <v>67.819948902405571</v>
      </c>
      <c r="F87" s="122">
        <f t="shared" si="10"/>
        <v>67.819948902405557</v>
      </c>
      <c r="G87" s="299">
        <f>HLOOKUP('Input &amp; Summary'!$B$6,'AEP Input Output sheet'!$N$50:$CO$211,ROW(G87)-49,0)</f>
        <v>790.65173451086559</v>
      </c>
      <c r="H87" s="122">
        <f t="shared" si="5"/>
        <v>887.62717853550578</v>
      </c>
      <c r="I87" s="247">
        <f t="shared" si="6"/>
        <v>0.89074754990643734</v>
      </c>
      <c r="J87" s="254">
        <f t="shared" si="7"/>
        <v>887.62717853550578</v>
      </c>
      <c r="K87" s="122">
        <f t="shared" si="8"/>
        <v>0</v>
      </c>
      <c r="L87" s="122">
        <f t="shared" si="11"/>
        <v>1662.9519221382577</v>
      </c>
      <c r="M87" s="122"/>
      <c r="N87" s="254">
        <f t="shared" si="9"/>
        <v>790.65173451086559</v>
      </c>
      <c r="O87" s="452">
        <v>784.5</v>
      </c>
      <c r="P87" s="452">
        <v>1830.5</v>
      </c>
      <c r="Q87" s="452">
        <v>2615</v>
      </c>
      <c r="R87" s="452">
        <v>910.5</v>
      </c>
      <c r="S87" s="452">
        <v>2124.5</v>
      </c>
      <c r="T87" s="452">
        <v>3035</v>
      </c>
      <c r="U87" s="452">
        <v>994.49999999999989</v>
      </c>
      <c r="V87" s="452">
        <v>2320.4999999999995</v>
      </c>
      <c r="W87" s="452">
        <v>3314.9999999999995</v>
      </c>
      <c r="X87" s="300">
        <v>739</v>
      </c>
      <c r="Y87" s="300">
        <v>887</v>
      </c>
      <c r="Z87" s="300">
        <v>417</v>
      </c>
      <c r="AA87" s="300">
        <v>447</v>
      </c>
      <c r="AB87" s="302">
        <v>2295</v>
      </c>
      <c r="AC87" s="300">
        <v>625</v>
      </c>
      <c r="AD87" s="300">
        <v>1210</v>
      </c>
      <c r="AE87" s="300">
        <v>1130</v>
      </c>
      <c r="AF87" s="300">
        <v>1050</v>
      </c>
      <c r="AG87" s="300">
        <v>987.06</v>
      </c>
      <c r="AH87" s="300">
        <v>965.97</v>
      </c>
      <c r="AI87" s="300">
        <v>224.48</v>
      </c>
      <c r="AJ87" s="300">
        <v>419.81</v>
      </c>
      <c r="AK87" s="300">
        <v>859.52</v>
      </c>
      <c r="AL87" s="300">
        <v>965.34</v>
      </c>
      <c r="AM87" s="300">
        <v>970.85</v>
      </c>
      <c r="AN87" s="300">
        <v>1280</v>
      </c>
      <c r="AO87" s="300">
        <v>1650</v>
      </c>
      <c r="AP87" s="300">
        <v>408.7</v>
      </c>
      <c r="AQ87" s="300">
        <v>435.3</v>
      </c>
      <c r="AR87" s="300">
        <v>978</v>
      </c>
      <c r="AS87" s="300">
        <v>1174.8</v>
      </c>
      <c r="AT87" s="300">
        <v>1274.4000000000001</v>
      </c>
      <c r="AU87" s="300">
        <v>774</v>
      </c>
      <c r="AV87" s="300">
        <v>940.08</v>
      </c>
      <c r="AW87" s="300">
        <v>1260</v>
      </c>
      <c r="AX87" s="300">
        <v>1380</v>
      </c>
      <c r="AY87" s="300">
        <v>445.25</v>
      </c>
      <c r="AZ87" s="300">
        <v>676.24</v>
      </c>
      <c r="BA87" s="300">
        <v>1520</v>
      </c>
      <c r="BB87" s="300">
        <v>1400</v>
      </c>
      <c r="BC87" s="302">
        <v>1925</v>
      </c>
      <c r="BD87" s="300">
        <v>297.08</v>
      </c>
      <c r="BE87" s="300">
        <v>359.83</v>
      </c>
      <c r="BF87" s="300">
        <v>400.47</v>
      </c>
      <c r="BG87" s="300">
        <v>808</v>
      </c>
      <c r="BH87" s="300">
        <v>1017</v>
      </c>
      <c r="BI87" s="300">
        <v>276.8</v>
      </c>
      <c r="BJ87" s="300">
        <v>536</v>
      </c>
      <c r="BK87" s="300">
        <v>1237</v>
      </c>
      <c r="BL87" s="300">
        <v>974</v>
      </c>
      <c r="BM87" s="300">
        <v>1262</v>
      </c>
      <c r="BN87" s="300">
        <v>1237</v>
      </c>
      <c r="BO87" s="300">
        <v>1575</v>
      </c>
      <c r="BP87" s="300">
        <v>804.13</v>
      </c>
      <c r="BQ87" s="300">
        <v>1050</v>
      </c>
      <c r="BR87" s="300">
        <v>1720</v>
      </c>
      <c r="BS87" s="302">
        <v>2140</v>
      </c>
      <c r="BT87" s="300">
        <v>1200</v>
      </c>
      <c r="BU87">
        <v>1730</v>
      </c>
      <c r="BV87" s="300">
        <v>645</v>
      </c>
      <c r="BW87" s="300">
        <v>621</v>
      </c>
      <c r="BX87" s="300">
        <v>1180</v>
      </c>
      <c r="BY87" s="300">
        <v>372</v>
      </c>
      <c r="BZ87" s="300">
        <v>974</v>
      </c>
      <c r="CA87" s="300">
        <v>367.68</v>
      </c>
      <c r="CB87" s="300">
        <v>286</v>
      </c>
      <c r="CC87" s="300">
        <v>268</v>
      </c>
      <c r="CD87" s="300">
        <v>287</v>
      </c>
      <c r="CE87" s="300">
        <v>308.64999999999998</v>
      </c>
      <c r="CF87" s="300">
        <v>1160</v>
      </c>
      <c r="CG87" s="300">
        <v>1015</v>
      </c>
      <c r="CH87" s="300">
        <v>899.38</v>
      </c>
      <c r="CI87" s="300">
        <v>1140</v>
      </c>
      <c r="CJ87" s="300">
        <v>1190</v>
      </c>
      <c r="CK87" s="300">
        <v>1200</v>
      </c>
      <c r="CL87" s="300">
        <v>1460</v>
      </c>
      <c r="CM87" s="300">
        <v>1960</v>
      </c>
      <c r="CN87" s="300">
        <v>301.66000000000003</v>
      </c>
      <c r="CO87" s="300">
        <v>559.79999999999995</v>
      </c>
      <c r="CP87" s="254">
        <v>9</v>
      </c>
      <c r="CQ87" s="254"/>
      <c r="CR87" s="254"/>
      <c r="CS87" s="254"/>
      <c r="CT87" s="254"/>
      <c r="CW87" s="277"/>
      <c r="CX87" s="277"/>
      <c r="CY87" s="277"/>
    </row>
    <row r="88" spans="1:103" x14ac:dyDescent="0.2">
      <c r="A88" s="254">
        <v>9.25</v>
      </c>
      <c r="B88" s="122">
        <f t="shared" si="1"/>
        <v>7.9525830859923624E-2</v>
      </c>
      <c r="C88" s="122">
        <f t="shared" si="2"/>
        <v>8.3502577801127159E-2</v>
      </c>
      <c r="D88" s="122">
        <f t="shared" si="3"/>
        <v>105.96729514393532</v>
      </c>
      <c r="E88" s="122">
        <f t="shared" si="4"/>
        <v>71.830880806143441</v>
      </c>
      <c r="F88" s="122">
        <f t="shared" si="10"/>
        <v>71.830880806143455</v>
      </c>
      <c r="G88" s="299">
        <f>HLOOKUP('Input &amp; Summary'!$B$6,'AEP Input Output sheet'!$N$50:$CO$211,ROW(G88)-49,0)</f>
        <v>860.22351282637703</v>
      </c>
      <c r="H88" s="122">
        <f t="shared" si="5"/>
        <v>963.66982755399067</v>
      </c>
      <c r="I88" s="247">
        <f t="shared" si="6"/>
        <v>0.8926537785351405</v>
      </c>
      <c r="J88" s="254">
        <f t="shared" si="7"/>
        <v>963.66982755399067</v>
      </c>
      <c r="K88" s="122">
        <f t="shared" si="8"/>
        <v>0</v>
      </c>
      <c r="L88" s="122">
        <f t="shared" si="11"/>
        <v>1662.9519221382577</v>
      </c>
      <c r="M88" s="122"/>
      <c r="N88" s="254">
        <f t="shared" si="9"/>
        <v>860.22351282637703</v>
      </c>
      <c r="O88" s="452">
        <v>851.625</v>
      </c>
      <c r="P88" s="452">
        <v>1987.1249999999998</v>
      </c>
      <c r="Q88" s="452">
        <v>2838.75</v>
      </c>
      <c r="R88" s="452">
        <v>974.25</v>
      </c>
      <c r="S88" s="452">
        <v>2273.25</v>
      </c>
      <c r="T88" s="452">
        <v>3247.4999999999995</v>
      </c>
      <c r="U88" s="452">
        <v>1060.125</v>
      </c>
      <c r="V88" s="452">
        <v>2473.625</v>
      </c>
      <c r="W88" s="452">
        <v>3533.75</v>
      </c>
      <c r="X88" s="300">
        <v>809.5</v>
      </c>
      <c r="Y88" s="300">
        <v>971.5</v>
      </c>
      <c r="Z88" s="300">
        <v>450</v>
      </c>
      <c r="AA88" s="300">
        <v>482</v>
      </c>
      <c r="AB88" s="254">
        <f>(AB91-AB87)/4+AB87</f>
        <v>2493.75</v>
      </c>
      <c r="AC88" s="300">
        <v>673.75</v>
      </c>
      <c r="AD88" s="300">
        <v>1320</v>
      </c>
      <c r="AE88" s="300">
        <v>1280</v>
      </c>
      <c r="AF88" s="300">
        <v>1150</v>
      </c>
      <c r="AG88" s="300">
        <v>1080</v>
      </c>
      <c r="AH88" s="300">
        <v>1060</v>
      </c>
      <c r="AI88" s="300">
        <v>246.1</v>
      </c>
      <c r="AJ88" s="300">
        <v>455.83</v>
      </c>
      <c r="AK88" s="300">
        <v>928.26</v>
      </c>
      <c r="AL88" s="300">
        <v>1010</v>
      </c>
      <c r="AM88" s="300">
        <v>1070</v>
      </c>
      <c r="AN88" s="300">
        <v>1380</v>
      </c>
      <c r="AO88" s="300">
        <v>1780</v>
      </c>
      <c r="AP88" s="300">
        <v>440.02499999999998</v>
      </c>
      <c r="AQ88" s="300">
        <v>467.6</v>
      </c>
      <c r="AR88" s="300">
        <v>1057.5</v>
      </c>
      <c r="AS88" s="300">
        <v>1263.175</v>
      </c>
      <c r="AT88" s="300">
        <v>1364.0500000000002</v>
      </c>
      <c r="AU88" s="300">
        <v>850.25</v>
      </c>
      <c r="AV88" s="300">
        <v>1010</v>
      </c>
      <c r="AW88" s="300">
        <v>1310</v>
      </c>
      <c r="AX88" s="300">
        <v>1510</v>
      </c>
      <c r="AY88" s="300">
        <v>480.37</v>
      </c>
      <c r="AZ88" s="300">
        <v>711.96</v>
      </c>
      <c r="BA88" s="300">
        <v>1650</v>
      </c>
      <c r="BB88" s="300">
        <v>1480</v>
      </c>
      <c r="BC88" s="254">
        <f>(BC91-BC87)/4+BC87</f>
        <v>2097.5</v>
      </c>
      <c r="BD88" s="300">
        <v>316.25</v>
      </c>
      <c r="BE88" s="300">
        <v>385.76</v>
      </c>
      <c r="BF88" s="300">
        <v>428.63</v>
      </c>
      <c r="BG88" s="300">
        <v>870.5</v>
      </c>
      <c r="BH88" s="300">
        <v>1077.25</v>
      </c>
      <c r="BI88" s="300">
        <v>298.50749999999999</v>
      </c>
      <c r="BJ88" s="300">
        <v>578</v>
      </c>
      <c r="BK88" s="300">
        <v>1333.5</v>
      </c>
      <c r="BL88" s="300">
        <v>1060.25</v>
      </c>
      <c r="BM88" s="300">
        <v>1368.5</v>
      </c>
      <c r="BN88" s="300">
        <v>1333.5</v>
      </c>
      <c r="BO88" s="300">
        <v>1686</v>
      </c>
      <c r="BP88" s="300">
        <v>869.55</v>
      </c>
      <c r="BQ88" s="300">
        <v>1120</v>
      </c>
      <c r="BR88" s="300">
        <v>1860</v>
      </c>
      <c r="BS88" s="254">
        <f>(BS91-BS87)/4+BS87</f>
        <v>2340</v>
      </c>
      <c r="BT88" s="300">
        <v>1280</v>
      </c>
      <c r="BU88">
        <v>1900</v>
      </c>
      <c r="BV88" s="300">
        <v>699</v>
      </c>
      <c r="BW88" s="300">
        <v>668.5</v>
      </c>
      <c r="BX88" s="300">
        <v>1268.75</v>
      </c>
      <c r="BY88" s="300">
        <v>396.75</v>
      </c>
      <c r="BZ88" s="300">
        <v>1035.25</v>
      </c>
      <c r="CA88" s="300">
        <v>393.29</v>
      </c>
      <c r="CB88" s="300">
        <v>306.35000000000002</v>
      </c>
      <c r="CC88" s="300">
        <v>290</v>
      </c>
      <c r="CD88" s="300">
        <v>308</v>
      </c>
      <c r="CE88" s="300">
        <v>331.56</v>
      </c>
      <c r="CF88" s="300">
        <v>1210</v>
      </c>
      <c r="CG88" s="300">
        <v>1097.5</v>
      </c>
      <c r="CH88" s="300">
        <v>968.03</v>
      </c>
      <c r="CI88" s="300">
        <v>1220</v>
      </c>
      <c r="CJ88" s="300">
        <v>1260</v>
      </c>
      <c r="CK88" s="300">
        <v>1290</v>
      </c>
      <c r="CL88" s="300">
        <v>1550</v>
      </c>
      <c r="CM88" s="300">
        <v>2110</v>
      </c>
      <c r="CN88" s="300">
        <v>320.01</v>
      </c>
      <c r="CO88" s="300">
        <v>606.79999999999995</v>
      </c>
      <c r="CP88" s="254">
        <v>9.25</v>
      </c>
      <c r="CQ88" s="254"/>
      <c r="CR88" s="254"/>
      <c r="CS88" s="254"/>
      <c r="CT88" s="254"/>
      <c r="CW88" s="277"/>
      <c r="CX88" s="277"/>
      <c r="CY88" s="277"/>
    </row>
    <row r="89" spans="1:103" x14ac:dyDescent="0.2">
      <c r="A89" s="254">
        <v>9.5</v>
      </c>
      <c r="B89" s="122">
        <f t="shared" si="1"/>
        <v>7.723640447104578E-2</v>
      </c>
      <c r="C89" s="122">
        <f t="shared" si="2"/>
        <v>8.1083260361033249E-2</v>
      </c>
      <c r="D89" s="122">
        <f t="shared" si="3"/>
        <v>111.4676350945925</v>
      </c>
      <c r="E89" s="122">
        <f t="shared" si="4"/>
        <v>75.704150078552729</v>
      </c>
      <c r="F89" s="122">
        <f t="shared" si="10"/>
        <v>75.704150078552729</v>
      </c>
      <c r="G89" s="299">
        <f>HLOOKUP('Input &amp; Summary'!$B$6,'AEP Input Output sheet'!$N$50:$CO$211,ROW(G89)-49,0)</f>
        <v>933.65942293724549</v>
      </c>
      <c r="H89" s="122">
        <f t="shared" si="5"/>
        <v>1043.9360112440049</v>
      </c>
      <c r="I89" s="247">
        <f t="shared" si="6"/>
        <v>0.89436460940230567</v>
      </c>
      <c r="J89" s="254">
        <f t="shared" si="7"/>
        <v>1043.9360112440049</v>
      </c>
      <c r="K89" s="122">
        <f t="shared" si="8"/>
        <v>0</v>
      </c>
      <c r="L89" s="122">
        <f t="shared" si="11"/>
        <v>1662.9519221382577</v>
      </c>
      <c r="M89" s="122"/>
      <c r="N89" s="254">
        <f t="shared" si="9"/>
        <v>933.65942293724549</v>
      </c>
      <c r="O89" s="452">
        <v>918.75</v>
      </c>
      <c r="P89" s="452">
        <v>2143.75</v>
      </c>
      <c r="Q89" s="452">
        <v>3062.4999999999995</v>
      </c>
      <c r="R89" s="452">
        <v>1037.9999999999998</v>
      </c>
      <c r="S89" s="452">
        <v>2421.9999999999995</v>
      </c>
      <c r="T89" s="452">
        <v>3460</v>
      </c>
      <c r="U89" s="452">
        <v>1125.75</v>
      </c>
      <c r="V89" s="452">
        <v>2626.75</v>
      </c>
      <c r="W89" s="452">
        <v>3752.4999999999995</v>
      </c>
      <c r="X89" s="300">
        <v>880</v>
      </c>
      <c r="Y89" s="300">
        <v>1056</v>
      </c>
      <c r="Z89" s="300">
        <v>474.75</v>
      </c>
      <c r="AA89" s="300">
        <v>508.25</v>
      </c>
      <c r="AB89" s="254">
        <f>(AB91-AB87)/4+AB88</f>
        <v>2692.5</v>
      </c>
      <c r="AC89" s="300">
        <v>710.3125</v>
      </c>
      <c r="AD89" s="300">
        <v>1440</v>
      </c>
      <c r="AE89" s="300">
        <v>1380</v>
      </c>
      <c r="AF89" s="300">
        <v>1270</v>
      </c>
      <c r="AG89" s="300">
        <v>1190</v>
      </c>
      <c r="AH89" s="300">
        <v>1150</v>
      </c>
      <c r="AI89" s="300">
        <v>258.69</v>
      </c>
      <c r="AJ89" s="300">
        <v>480.01</v>
      </c>
      <c r="AK89" s="300">
        <v>1000</v>
      </c>
      <c r="AL89" s="300">
        <v>1050</v>
      </c>
      <c r="AM89" s="300">
        <v>1160</v>
      </c>
      <c r="AN89" s="300">
        <v>1480</v>
      </c>
      <c r="AO89" s="300">
        <v>1930</v>
      </c>
      <c r="AP89" s="300">
        <v>471.34999999999997</v>
      </c>
      <c r="AQ89" s="300">
        <v>499.90000000000003</v>
      </c>
      <c r="AR89" s="300">
        <v>1137</v>
      </c>
      <c r="AS89" s="300">
        <v>1351.55</v>
      </c>
      <c r="AT89" s="300">
        <v>1453.7000000000003</v>
      </c>
      <c r="AU89" s="300">
        <v>926.5</v>
      </c>
      <c r="AV89" s="300">
        <v>1060</v>
      </c>
      <c r="AW89" s="300">
        <v>1350</v>
      </c>
      <c r="AX89" s="300">
        <v>1640</v>
      </c>
      <c r="AY89" s="300">
        <v>507.23</v>
      </c>
      <c r="AZ89" s="300">
        <v>749.22</v>
      </c>
      <c r="BA89" s="300">
        <v>1780</v>
      </c>
      <c r="BB89" s="300">
        <v>1600</v>
      </c>
      <c r="BC89" s="254">
        <f>(BC91-BC87)/4+BC88</f>
        <v>2270</v>
      </c>
      <c r="BD89" s="300">
        <v>339.25</v>
      </c>
      <c r="BE89" s="300">
        <v>414.56</v>
      </c>
      <c r="BF89" s="300">
        <v>464.81</v>
      </c>
      <c r="BG89" s="300">
        <v>933</v>
      </c>
      <c r="BH89" s="300">
        <v>1137.5</v>
      </c>
      <c r="BI89" s="300">
        <v>320.21499999999997</v>
      </c>
      <c r="BJ89" s="300">
        <v>620</v>
      </c>
      <c r="BK89" s="300">
        <v>1430</v>
      </c>
      <c r="BL89" s="300">
        <v>1146.5</v>
      </c>
      <c r="BM89" s="300">
        <v>1475</v>
      </c>
      <c r="BN89" s="300">
        <v>1430</v>
      </c>
      <c r="BO89" s="300">
        <v>1797</v>
      </c>
      <c r="BP89" s="300">
        <v>945.03</v>
      </c>
      <c r="BQ89" s="300">
        <v>1210</v>
      </c>
      <c r="BR89" s="300">
        <v>2000</v>
      </c>
      <c r="BS89" s="254">
        <f>(BS91-BS87)/4+BS88</f>
        <v>2540</v>
      </c>
      <c r="BT89" s="300">
        <v>1350</v>
      </c>
      <c r="BU89">
        <v>2120</v>
      </c>
      <c r="BV89" s="300">
        <v>753</v>
      </c>
      <c r="BW89" s="300">
        <v>716</v>
      </c>
      <c r="BX89" s="300">
        <v>1357.5</v>
      </c>
      <c r="BY89" s="300">
        <v>421.5</v>
      </c>
      <c r="BZ89" s="300">
        <v>1096.5</v>
      </c>
      <c r="CA89" s="300">
        <v>411.58</v>
      </c>
      <c r="CB89" s="300">
        <v>326.70000000000005</v>
      </c>
      <c r="CC89" s="300">
        <v>312</v>
      </c>
      <c r="CD89" s="300">
        <v>329</v>
      </c>
      <c r="CE89" s="300">
        <v>355.98</v>
      </c>
      <c r="CF89" s="300">
        <v>1260</v>
      </c>
      <c r="CG89" s="300">
        <v>1180</v>
      </c>
      <c r="CH89" s="300">
        <v>1030</v>
      </c>
      <c r="CI89" s="300">
        <v>1310</v>
      </c>
      <c r="CJ89" s="300">
        <v>1350</v>
      </c>
      <c r="CK89" s="300">
        <v>1380</v>
      </c>
      <c r="CL89" s="300">
        <v>1620</v>
      </c>
      <c r="CM89" s="300">
        <v>2270</v>
      </c>
      <c r="CN89" s="300">
        <v>344.45</v>
      </c>
      <c r="CO89" s="300">
        <v>653.79999999999995</v>
      </c>
      <c r="CP89" s="254">
        <v>9.5</v>
      </c>
      <c r="CQ89" s="254"/>
      <c r="CR89" s="254"/>
      <c r="CS89" s="254"/>
      <c r="CT89" s="254"/>
      <c r="CW89" s="277"/>
      <c r="CX89" s="277"/>
      <c r="CY89" s="277"/>
    </row>
    <row r="90" spans="1:103" x14ac:dyDescent="0.2">
      <c r="A90" s="254">
        <v>9.75</v>
      </c>
      <c r="B90" s="122">
        <f t="shared" si="1"/>
        <v>7.4849322099401025E-2</v>
      </c>
      <c r="C90" s="122">
        <f t="shared" si="2"/>
        <v>7.8538451427901543E-2</v>
      </c>
      <c r="D90" s="122">
        <f t="shared" si="3"/>
        <v>116.71937380913657</v>
      </c>
      <c r="E90" s="122">
        <f t="shared" si="4"/>
        <v>79.407393066465247</v>
      </c>
      <c r="F90" s="122">
        <f t="shared" si="10"/>
        <v>79.407393066465232</v>
      </c>
      <c r="G90" s="299">
        <f>HLOOKUP('Input &amp; Summary'!$B$6,'AEP Input Output sheet'!$N$50:$CO$211,ROW(G90)-49,0)</f>
        <v>1011.0639008379403</v>
      </c>
      <c r="H90" s="122">
        <f t="shared" si="5"/>
        <v>1128.5398791912655</v>
      </c>
      <c r="I90" s="247">
        <f t="shared" si="6"/>
        <v>0.89590445094637605</v>
      </c>
      <c r="J90" s="254">
        <f t="shared" si="7"/>
        <v>1128.5398791912655</v>
      </c>
      <c r="K90" s="122">
        <f t="shared" si="8"/>
        <v>0</v>
      </c>
      <c r="L90" s="122">
        <f t="shared" si="11"/>
        <v>1662.9519221382577</v>
      </c>
      <c r="M90" s="122"/>
      <c r="N90" s="254">
        <f t="shared" si="9"/>
        <v>1011.0639008379403</v>
      </c>
      <c r="O90" s="452">
        <v>985.87499999999989</v>
      </c>
      <c r="P90" s="452">
        <v>2300.375</v>
      </c>
      <c r="Q90" s="452">
        <v>3286.2499999999995</v>
      </c>
      <c r="R90" s="452">
        <v>1101.75</v>
      </c>
      <c r="S90" s="452">
        <v>2570.75</v>
      </c>
      <c r="T90" s="452">
        <v>3672.4999999999995</v>
      </c>
      <c r="U90" s="452">
        <v>1191.3749999999998</v>
      </c>
      <c r="V90" s="452">
        <v>2779.8749999999995</v>
      </c>
      <c r="W90" s="452">
        <v>3971.2499999999995</v>
      </c>
      <c r="X90" s="300">
        <v>950.5</v>
      </c>
      <c r="Y90" s="300">
        <v>1140.5</v>
      </c>
      <c r="Z90" s="300">
        <v>499.5</v>
      </c>
      <c r="AA90" s="300">
        <v>534.5</v>
      </c>
      <c r="AB90" s="254">
        <f>(AB91-AB87)/4+AB89</f>
        <v>2891.25</v>
      </c>
      <c r="AC90" s="300">
        <v>746.875</v>
      </c>
      <c r="AD90" s="300">
        <v>1550</v>
      </c>
      <c r="AE90" s="300">
        <v>1470</v>
      </c>
      <c r="AF90" s="300">
        <v>1370</v>
      </c>
      <c r="AG90" s="300">
        <v>1310</v>
      </c>
      <c r="AH90" s="300">
        <v>1250</v>
      </c>
      <c r="AI90" s="300">
        <v>273.08</v>
      </c>
      <c r="AJ90" s="300">
        <v>510.22</v>
      </c>
      <c r="AK90" s="300">
        <v>1070</v>
      </c>
      <c r="AL90" s="300">
        <v>1090</v>
      </c>
      <c r="AM90" s="300">
        <v>1260</v>
      </c>
      <c r="AN90" s="300">
        <v>1590</v>
      </c>
      <c r="AO90" s="300">
        <v>2050</v>
      </c>
      <c r="AP90" s="300">
        <v>502.67499999999995</v>
      </c>
      <c r="AQ90" s="300">
        <v>532.20000000000005</v>
      </c>
      <c r="AR90" s="300">
        <v>1216.5</v>
      </c>
      <c r="AS90" s="300">
        <v>1439.925</v>
      </c>
      <c r="AT90" s="300">
        <v>1543.3500000000004</v>
      </c>
      <c r="AU90" s="300">
        <v>1002.75</v>
      </c>
      <c r="AV90" s="300">
        <v>1130</v>
      </c>
      <c r="AW90" s="300">
        <v>1390</v>
      </c>
      <c r="AX90" s="300">
        <v>1790</v>
      </c>
      <c r="AY90" s="300">
        <v>542.35</v>
      </c>
      <c r="AZ90" s="300">
        <v>784.94</v>
      </c>
      <c r="BA90" s="300">
        <v>1890</v>
      </c>
      <c r="BB90" s="300">
        <v>1720</v>
      </c>
      <c r="BC90" s="254">
        <f>(BC91-BC87)/4+BC89</f>
        <v>2442.5</v>
      </c>
      <c r="BD90" s="300">
        <v>362.24</v>
      </c>
      <c r="BE90" s="300">
        <v>440.49</v>
      </c>
      <c r="BF90" s="300">
        <v>501</v>
      </c>
      <c r="BG90" s="300">
        <v>995.5</v>
      </c>
      <c r="BH90" s="300">
        <v>1197.75</v>
      </c>
      <c r="BI90" s="300">
        <v>341.92249999999996</v>
      </c>
      <c r="BJ90" s="300">
        <v>662</v>
      </c>
      <c r="BK90" s="300">
        <v>1526.5</v>
      </c>
      <c r="BL90" s="300">
        <v>1232.75</v>
      </c>
      <c r="BM90" s="300">
        <v>1588.5</v>
      </c>
      <c r="BN90" s="300">
        <v>1526.5</v>
      </c>
      <c r="BO90" s="300">
        <v>1908</v>
      </c>
      <c r="BP90" s="300">
        <v>1000</v>
      </c>
      <c r="BQ90" s="300">
        <v>1310</v>
      </c>
      <c r="BR90" s="300">
        <v>2130</v>
      </c>
      <c r="BS90" s="254">
        <f>(BS91-BS87)/4+BS89</f>
        <v>2740</v>
      </c>
      <c r="BT90" s="300">
        <v>1440</v>
      </c>
      <c r="BU90">
        <v>2320</v>
      </c>
      <c r="BV90" s="300">
        <v>807</v>
      </c>
      <c r="BW90" s="300">
        <v>763.5</v>
      </c>
      <c r="BX90" s="300">
        <v>1446.25</v>
      </c>
      <c r="BY90" s="300">
        <v>446.25</v>
      </c>
      <c r="BZ90" s="300">
        <v>1157.75</v>
      </c>
      <c r="CA90" s="300">
        <v>437.2</v>
      </c>
      <c r="CB90" s="300">
        <v>347.05000000000007</v>
      </c>
      <c r="CC90" s="300">
        <v>334</v>
      </c>
      <c r="CD90" s="300">
        <v>350</v>
      </c>
      <c r="CE90" s="300">
        <v>378.88</v>
      </c>
      <c r="CF90" s="300">
        <v>1310</v>
      </c>
      <c r="CG90" s="300">
        <v>1262.5</v>
      </c>
      <c r="CH90" s="300">
        <v>1110</v>
      </c>
      <c r="CI90" s="300">
        <v>1410</v>
      </c>
      <c r="CJ90" s="300">
        <v>1460</v>
      </c>
      <c r="CK90" s="300">
        <v>1470</v>
      </c>
      <c r="CL90" s="300">
        <v>1690</v>
      </c>
      <c r="CM90" s="300">
        <v>2430</v>
      </c>
      <c r="CN90" s="300">
        <v>371.92</v>
      </c>
      <c r="CO90" s="300">
        <v>700.8</v>
      </c>
      <c r="CP90" s="254">
        <v>9.75</v>
      </c>
      <c r="CQ90" s="254"/>
      <c r="CR90" s="254"/>
      <c r="CS90" s="254"/>
      <c r="CT90" s="254"/>
      <c r="CW90" s="277"/>
      <c r="CX90" s="277"/>
      <c r="CY90" s="277"/>
    </row>
    <row r="91" spans="1:103" x14ac:dyDescent="0.2">
      <c r="A91" s="254">
        <v>10</v>
      </c>
      <c r="B91" s="122">
        <f t="shared" si="1"/>
        <v>7.2380390305608514E-2</v>
      </c>
      <c r="C91" s="122">
        <f t="shared" si="2"/>
        <v>7.5887122410687097E-2</v>
      </c>
      <c r="D91" s="122">
        <f t="shared" si="3"/>
        <v>121.67878176217809</v>
      </c>
      <c r="E91" s="122">
        <f t="shared" si="4"/>
        <v>82.911481545462806</v>
      </c>
      <c r="F91" s="122">
        <f t="shared" si="10"/>
        <v>82.996145410536954</v>
      </c>
      <c r="G91" s="299">
        <f>HLOOKUP('Input &amp; Summary'!$B$6,'AEP Input Output sheet'!$N$50:$CO$211,ROW(G91)-49,0)</f>
        <v>1093.6789111778035</v>
      </c>
      <c r="H91" s="122">
        <f t="shared" si="5"/>
        <v>1218.8389111700421</v>
      </c>
      <c r="I91" s="247">
        <f t="shared" si="6"/>
        <v>0.89731210675569129</v>
      </c>
      <c r="J91" s="254">
        <f t="shared" si="7"/>
        <v>1217.5955809814895</v>
      </c>
      <c r="K91" s="122">
        <f t="shared" si="8"/>
        <v>1218.8389111700421</v>
      </c>
      <c r="L91" s="122">
        <f t="shared" si="11"/>
        <v>1662.9519221382577</v>
      </c>
      <c r="M91" s="122"/>
      <c r="N91" s="254">
        <f t="shared" si="9"/>
        <v>1093.6789111778035</v>
      </c>
      <c r="O91" s="452">
        <v>1052.9999999999998</v>
      </c>
      <c r="P91" s="452">
        <v>2456.9999999999995</v>
      </c>
      <c r="Q91" s="452">
        <v>3509.9999999999995</v>
      </c>
      <c r="R91" s="452">
        <v>1165.4999999999998</v>
      </c>
      <c r="S91" s="452">
        <v>2719.4999999999995</v>
      </c>
      <c r="T91" s="452">
        <v>3885</v>
      </c>
      <c r="U91" s="452">
        <v>1256.9999999999998</v>
      </c>
      <c r="V91" s="452">
        <v>2932.9999999999995</v>
      </c>
      <c r="W91" s="452">
        <v>4189.9999999999991</v>
      </c>
      <c r="X91" s="300">
        <v>1021</v>
      </c>
      <c r="Y91" s="300">
        <v>1225</v>
      </c>
      <c r="Z91" s="300">
        <v>549</v>
      </c>
      <c r="AA91" s="300">
        <v>587</v>
      </c>
      <c r="AB91" s="302">
        <v>3090</v>
      </c>
      <c r="AC91" s="300">
        <v>820</v>
      </c>
      <c r="AD91" s="300">
        <v>1660</v>
      </c>
      <c r="AE91" s="300">
        <v>1590</v>
      </c>
      <c r="AF91" s="300">
        <v>1490</v>
      </c>
      <c r="AG91" s="300">
        <v>1380</v>
      </c>
      <c r="AH91" s="300">
        <v>1350</v>
      </c>
      <c r="AI91" s="300">
        <v>291.08999999999997</v>
      </c>
      <c r="AJ91" s="300">
        <v>540</v>
      </c>
      <c r="AK91" s="300">
        <v>1150</v>
      </c>
      <c r="AL91" s="300">
        <v>1150</v>
      </c>
      <c r="AM91" s="300">
        <v>1350</v>
      </c>
      <c r="AN91" s="300">
        <v>1690</v>
      </c>
      <c r="AO91" s="300">
        <v>2180</v>
      </c>
      <c r="AP91" s="300">
        <v>534</v>
      </c>
      <c r="AQ91" s="300">
        <v>564.5</v>
      </c>
      <c r="AR91" s="300">
        <v>1296</v>
      </c>
      <c r="AS91" s="300">
        <v>1528.3</v>
      </c>
      <c r="AT91" s="300">
        <v>1633</v>
      </c>
      <c r="AU91" s="300">
        <v>1079</v>
      </c>
      <c r="AV91" s="300">
        <v>1190</v>
      </c>
      <c r="AW91" s="300">
        <v>1420</v>
      </c>
      <c r="AX91" s="300">
        <v>1920</v>
      </c>
      <c r="AY91" s="300">
        <v>589.88</v>
      </c>
      <c r="AZ91" s="300">
        <v>826.85</v>
      </c>
      <c r="BA91" s="300">
        <v>1960</v>
      </c>
      <c r="BB91" s="300">
        <v>1790</v>
      </c>
      <c r="BC91" s="302">
        <v>2615</v>
      </c>
      <c r="BD91" s="300">
        <v>381.39</v>
      </c>
      <c r="BE91" s="300">
        <v>460.66</v>
      </c>
      <c r="BF91" s="300">
        <v>533.16999999999996</v>
      </c>
      <c r="BG91" s="300">
        <v>1058</v>
      </c>
      <c r="BH91" s="300">
        <v>1258</v>
      </c>
      <c r="BI91" s="300">
        <v>363.63</v>
      </c>
      <c r="BJ91" s="300">
        <v>704</v>
      </c>
      <c r="BK91" s="300">
        <v>1623</v>
      </c>
      <c r="BL91" s="300">
        <v>1319</v>
      </c>
      <c r="BM91" s="300">
        <v>1702</v>
      </c>
      <c r="BN91" s="300">
        <v>1623</v>
      </c>
      <c r="BO91" s="300">
        <v>2019</v>
      </c>
      <c r="BP91" s="300">
        <v>1080</v>
      </c>
      <c r="BQ91" s="300">
        <v>1380</v>
      </c>
      <c r="BR91" s="300">
        <v>2250</v>
      </c>
      <c r="BS91" s="302">
        <v>2940</v>
      </c>
      <c r="BT91" s="300">
        <v>1520</v>
      </c>
      <c r="BU91">
        <v>2530</v>
      </c>
      <c r="BV91" s="300">
        <v>861</v>
      </c>
      <c r="BW91" s="300">
        <v>811</v>
      </c>
      <c r="BX91" s="300">
        <v>1535</v>
      </c>
      <c r="BY91" s="300">
        <v>471</v>
      </c>
      <c r="BZ91" s="300">
        <v>1219</v>
      </c>
      <c r="CA91" s="300">
        <v>462.8</v>
      </c>
      <c r="CB91" s="300">
        <v>367.4</v>
      </c>
      <c r="CC91" s="300">
        <v>356</v>
      </c>
      <c r="CD91" s="300">
        <v>371</v>
      </c>
      <c r="CE91" s="300">
        <v>401.79</v>
      </c>
      <c r="CF91" s="300">
        <v>1360</v>
      </c>
      <c r="CG91" s="300">
        <v>1345</v>
      </c>
      <c r="CH91" s="300">
        <v>1170</v>
      </c>
      <c r="CI91" s="300">
        <v>1480</v>
      </c>
      <c r="CJ91" s="300">
        <v>1560</v>
      </c>
      <c r="CK91" s="300">
        <v>1560</v>
      </c>
      <c r="CL91" s="300">
        <v>1730</v>
      </c>
      <c r="CM91" s="300">
        <v>2560</v>
      </c>
      <c r="CN91" s="300">
        <v>396.33</v>
      </c>
      <c r="CO91" s="300">
        <v>747.8</v>
      </c>
      <c r="CP91" s="254">
        <v>10</v>
      </c>
      <c r="CQ91" s="254"/>
      <c r="CR91" s="254"/>
      <c r="CS91" s="254"/>
      <c r="CT91" s="254"/>
      <c r="CW91" s="277"/>
      <c r="CX91" s="277"/>
      <c r="CY91" s="277"/>
    </row>
    <row r="92" spans="1:103" x14ac:dyDescent="0.2">
      <c r="A92" s="254">
        <v>10.25</v>
      </c>
      <c r="B92" s="122">
        <f t="shared" si="1"/>
        <v>6.9844997055301949E-2</v>
      </c>
      <c r="C92" s="122">
        <f t="shared" si="2"/>
        <v>7.3147934978147949E-2</v>
      </c>
      <c r="D92" s="122">
        <f t="shared" si="3"/>
        <v>126.30496833613351</v>
      </c>
      <c r="E92" s="122">
        <f t="shared" si="4"/>
        <v>86.182583973218286</v>
      </c>
      <c r="F92" s="122">
        <f t="shared" si="10"/>
        <v>86.180239888896807</v>
      </c>
      <c r="G92" s="299">
        <f>HLOOKUP('Input &amp; Summary'!$B$6,'AEP Input Output sheet'!$N$50:$CO$211,ROW(G92)-49,0)</f>
        <v>1178.1636749505246</v>
      </c>
      <c r="H92" s="122">
        <f t="shared" si="5"/>
        <v>1311.1816023377667</v>
      </c>
      <c r="I92" s="247">
        <f t="shared" si="6"/>
        <v>0.89855110295165963</v>
      </c>
      <c r="J92" s="254">
        <f t="shared" si="7"/>
        <v>1311.2172662003941</v>
      </c>
      <c r="K92" s="122">
        <f t="shared" si="8"/>
        <v>1311.1816023377667</v>
      </c>
      <c r="L92" s="122">
        <f t="shared" si="11"/>
        <v>1662.9519221382577</v>
      </c>
      <c r="M92" s="122"/>
      <c r="N92" s="254">
        <f t="shared" si="9"/>
        <v>1178.1636749505246</v>
      </c>
      <c r="O92" s="452">
        <v>1110.75</v>
      </c>
      <c r="P92" s="452">
        <v>2591.75</v>
      </c>
      <c r="Q92" s="452">
        <v>3702.4999999999995</v>
      </c>
      <c r="R92" s="452">
        <v>1213.4999999999998</v>
      </c>
      <c r="S92" s="452">
        <v>2831.4999999999995</v>
      </c>
      <c r="T92" s="452">
        <v>4045</v>
      </c>
      <c r="U92" s="452">
        <v>1297.4999999999998</v>
      </c>
      <c r="V92" s="452">
        <v>3027.4999999999995</v>
      </c>
      <c r="W92" s="452">
        <v>4324.9999999999991</v>
      </c>
      <c r="X92" s="300">
        <v>1099.25</v>
      </c>
      <c r="Y92" s="300">
        <v>1281.25</v>
      </c>
      <c r="Z92" s="300">
        <v>591</v>
      </c>
      <c r="AA92" s="300">
        <v>632</v>
      </c>
      <c r="AB92" s="254">
        <f>(AB95-AB91)/4+AB91</f>
        <v>3317.5</v>
      </c>
      <c r="AC92" s="300">
        <v>866.5</v>
      </c>
      <c r="AD92" s="300">
        <v>1770</v>
      </c>
      <c r="AE92" s="300">
        <v>1720</v>
      </c>
      <c r="AF92" s="300">
        <v>1610</v>
      </c>
      <c r="AG92" s="300">
        <v>1500</v>
      </c>
      <c r="AH92" s="300">
        <v>1440</v>
      </c>
      <c r="AI92" s="300">
        <v>310.91000000000003</v>
      </c>
      <c r="AJ92" s="300">
        <v>564.62</v>
      </c>
      <c r="AK92" s="300">
        <v>1220</v>
      </c>
      <c r="AL92" s="300">
        <v>1240</v>
      </c>
      <c r="AM92" s="300">
        <v>1450</v>
      </c>
      <c r="AN92" s="300">
        <v>1810</v>
      </c>
      <c r="AO92" s="300">
        <v>2250</v>
      </c>
      <c r="AP92" s="300">
        <v>566</v>
      </c>
      <c r="AQ92" s="300">
        <v>594.52499999999998</v>
      </c>
      <c r="AR92" s="300">
        <v>1371.5</v>
      </c>
      <c r="AS92" s="300">
        <v>1594.9</v>
      </c>
      <c r="AT92" s="300">
        <v>1690.5</v>
      </c>
      <c r="AU92" s="300">
        <v>1145</v>
      </c>
      <c r="AV92" s="300">
        <v>1240</v>
      </c>
      <c r="AW92" s="300">
        <v>1450</v>
      </c>
      <c r="AX92" s="300">
        <v>2010</v>
      </c>
      <c r="AY92" s="300">
        <v>627.07000000000005</v>
      </c>
      <c r="AZ92" s="300">
        <v>859.47</v>
      </c>
      <c r="BA92" s="300">
        <v>2030</v>
      </c>
      <c r="BB92" s="300">
        <v>1890</v>
      </c>
      <c r="BC92" s="254">
        <f>(BC95-BC91)/4+BC91</f>
        <v>2865</v>
      </c>
      <c r="BD92" s="300">
        <v>400.56</v>
      </c>
      <c r="BE92" s="300">
        <v>483.71</v>
      </c>
      <c r="BF92" s="300">
        <v>563.34</v>
      </c>
      <c r="BG92" s="300">
        <v>1114.75</v>
      </c>
      <c r="BH92" s="300">
        <v>1319.5</v>
      </c>
      <c r="BI92" s="300">
        <v>383.79250000000002</v>
      </c>
      <c r="BJ92" s="300">
        <v>745.75</v>
      </c>
      <c r="BK92" s="300">
        <v>1720.25</v>
      </c>
      <c r="BL92" s="300">
        <v>1408</v>
      </c>
      <c r="BM92" s="300">
        <v>1815</v>
      </c>
      <c r="BN92" s="300">
        <v>1729</v>
      </c>
      <c r="BO92" s="300">
        <v>2090.25</v>
      </c>
      <c r="BP92" s="300">
        <v>1150</v>
      </c>
      <c r="BQ92" s="300">
        <v>1500</v>
      </c>
      <c r="BR92" s="300">
        <v>2370</v>
      </c>
      <c r="BS92" s="254">
        <f>(BS95-BS91)/4+BS91</f>
        <v>3163.75</v>
      </c>
      <c r="BT92" s="300">
        <v>1620</v>
      </c>
      <c r="BU92">
        <v>2740</v>
      </c>
      <c r="BV92" s="300">
        <v>883.25</v>
      </c>
      <c r="BW92" s="300">
        <v>855.75</v>
      </c>
      <c r="BX92" s="300">
        <v>1615.25</v>
      </c>
      <c r="BY92" s="300">
        <v>489.75</v>
      </c>
      <c r="BZ92" s="300">
        <v>1259.75</v>
      </c>
      <c r="CA92" s="300">
        <v>477.44</v>
      </c>
      <c r="CB92" s="300">
        <v>387.95</v>
      </c>
      <c r="CC92" s="300">
        <v>377</v>
      </c>
      <c r="CD92" s="300">
        <v>390.75</v>
      </c>
      <c r="CE92" s="300">
        <v>421.63</v>
      </c>
      <c r="CF92" s="300">
        <v>1400</v>
      </c>
      <c r="CG92" s="300">
        <v>1418.5</v>
      </c>
      <c r="CH92" s="300">
        <v>1240</v>
      </c>
      <c r="CI92" s="300">
        <v>1570</v>
      </c>
      <c r="CJ92" s="300">
        <v>1650</v>
      </c>
      <c r="CK92" s="300">
        <v>1650</v>
      </c>
      <c r="CL92" s="300">
        <v>1750</v>
      </c>
      <c r="CM92" s="300">
        <v>2700</v>
      </c>
      <c r="CN92" s="300">
        <v>426.83</v>
      </c>
      <c r="CO92" s="300">
        <v>794.3</v>
      </c>
      <c r="CP92" s="254">
        <v>10.25</v>
      </c>
      <c r="CQ92" s="254"/>
      <c r="CR92" s="254"/>
      <c r="CS92" s="254"/>
      <c r="CT92" s="254"/>
      <c r="CW92" s="277"/>
      <c r="CX92" s="277"/>
      <c r="CY92" s="277"/>
    </row>
    <row r="93" spans="1:103" x14ac:dyDescent="0.2">
      <c r="A93" s="254">
        <v>10.5</v>
      </c>
      <c r="B93" s="122">
        <f t="shared" si="1"/>
        <v>6.7258024431141025E-2</v>
      </c>
      <c r="C93" s="122">
        <f t="shared" si="2"/>
        <v>7.0339102616153101E-2</v>
      </c>
      <c r="D93" s="122">
        <f t="shared" si="3"/>
        <v>130.56040496382943</v>
      </c>
      <c r="E93" s="122">
        <f t="shared" si="4"/>
        <v>89.192902236849008</v>
      </c>
      <c r="F93" s="122">
        <f t="shared" si="10"/>
        <v>88.813558099479877</v>
      </c>
      <c r="G93" s="299">
        <f>HLOOKUP('Input &amp; Summary'!$B$6,'AEP Input Output sheet'!$N$50:$CO$211,ROW(G93)-49,0)</f>
        <v>1262.6484387232456</v>
      </c>
      <c r="H93" s="122">
        <f t="shared" si="5"/>
        <v>1403.524293505491</v>
      </c>
      <c r="I93" s="247">
        <f t="shared" si="6"/>
        <v>0.89962706350426691</v>
      </c>
      <c r="J93" s="254">
        <f t="shared" si="7"/>
        <v>1409.5190844336971</v>
      </c>
      <c r="K93" s="122">
        <f t="shared" si="8"/>
        <v>1403.524293505491</v>
      </c>
      <c r="L93" s="122">
        <f t="shared" si="11"/>
        <v>1662.9519221382577</v>
      </c>
      <c r="M93" s="122"/>
      <c r="N93" s="254">
        <f t="shared" si="9"/>
        <v>1262.6484387232456</v>
      </c>
      <c r="O93" s="452">
        <v>1168.4999999999998</v>
      </c>
      <c r="P93" s="452">
        <v>2726.4999999999995</v>
      </c>
      <c r="Q93" s="452">
        <v>3894.9999999999995</v>
      </c>
      <c r="R93" s="452">
        <v>1261.4999999999998</v>
      </c>
      <c r="S93" s="452">
        <v>2943.5</v>
      </c>
      <c r="T93" s="452">
        <v>4205</v>
      </c>
      <c r="U93" s="452">
        <v>1337.9999999999998</v>
      </c>
      <c r="V93" s="452">
        <v>3122</v>
      </c>
      <c r="W93" s="452">
        <v>4459.9999999999991</v>
      </c>
      <c r="X93" s="300">
        <v>1177.5</v>
      </c>
      <c r="Y93" s="300">
        <v>1337.5</v>
      </c>
      <c r="Z93" s="300">
        <v>622.5</v>
      </c>
      <c r="AA93" s="300">
        <v>665.75</v>
      </c>
      <c r="AB93" s="254">
        <f>(AB95-AB91)/4+AB92</f>
        <v>3545</v>
      </c>
      <c r="AC93" s="300">
        <v>901.375</v>
      </c>
      <c r="AD93" s="300">
        <v>1880</v>
      </c>
      <c r="AE93" s="300">
        <v>1840</v>
      </c>
      <c r="AF93" s="300">
        <v>1710</v>
      </c>
      <c r="AG93" s="300">
        <v>1610</v>
      </c>
      <c r="AH93" s="300">
        <v>1540</v>
      </c>
      <c r="AI93" s="300">
        <v>341.56</v>
      </c>
      <c r="AJ93" s="300">
        <v>600.63</v>
      </c>
      <c r="AK93" s="300">
        <v>1290</v>
      </c>
      <c r="AL93" s="300">
        <v>1320</v>
      </c>
      <c r="AM93" s="300">
        <v>1550</v>
      </c>
      <c r="AN93" s="300">
        <v>1900</v>
      </c>
      <c r="AO93" s="300">
        <v>2330</v>
      </c>
      <c r="AP93" s="300">
        <v>598</v>
      </c>
      <c r="AQ93" s="300">
        <v>624.54999999999995</v>
      </c>
      <c r="AR93" s="300">
        <v>1447</v>
      </c>
      <c r="AS93" s="300">
        <v>1661.5</v>
      </c>
      <c r="AT93" s="300">
        <v>1748</v>
      </c>
      <c r="AU93" s="300">
        <v>1211</v>
      </c>
      <c r="AV93" s="300">
        <v>1290</v>
      </c>
      <c r="AW93" s="300">
        <v>1470</v>
      </c>
      <c r="AX93" s="300">
        <v>2110</v>
      </c>
      <c r="AY93" s="300">
        <v>674.58</v>
      </c>
      <c r="AZ93" s="300">
        <v>887.42</v>
      </c>
      <c r="BA93" s="300">
        <v>2120</v>
      </c>
      <c r="BB93" s="300">
        <v>1960</v>
      </c>
      <c r="BC93" s="254">
        <f>(BC95-BC91)/4+BC92</f>
        <v>3115</v>
      </c>
      <c r="BD93" s="300">
        <v>423.56</v>
      </c>
      <c r="BE93" s="300">
        <v>518.25</v>
      </c>
      <c r="BF93" s="300">
        <v>591.49</v>
      </c>
      <c r="BG93" s="300">
        <v>1171.5</v>
      </c>
      <c r="BH93" s="300">
        <v>1381</v>
      </c>
      <c r="BI93" s="300">
        <v>403.95500000000004</v>
      </c>
      <c r="BJ93" s="300">
        <v>787.5</v>
      </c>
      <c r="BK93" s="300">
        <v>1817.5</v>
      </c>
      <c r="BL93" s="300">
        <v>1497</v>
      </c>
      <c r="BM93" s="300">
        <v>1928</v>
      </c>
      <c r="BN93" s="300">
        <v>1835</v>
      </c>
      <c r="BO93" s="300">
        <v>2161.5</v>
      </c>
      <c r="BP93" s="300">
        <v>1220</v>
      </c>
      <c r="BQ93" s="300">
        <v>1590</v>
      </c>
      <c r="BR93" s="300">
        <v>2510</v>
      </c>
      <c r="BS93" s="254">
        <f>(BS95-BS91)/4+BS92</f>
        <v>3387.5</v>
      </c>
      <c r="BT93" s="300">
        <v>1690</v>
      </c>
      <c r="BU93">
        <v>2910</v>
      </c>
      <c r="BV93" s="300">
        <v>905.5</v>
      </c>
      <c r="BW93" s="300">
        <v>900.5</v>
      </c>
      <c r="BX93" s="300">
        <v>1695.5</v>
      </c>
      <c r="BY93" s="300">
        <v>508.5</v>
      </c>
      <c r="BZ93" s="300">
        <v>1300.5</v>
      </c>
      <c r="CA93" s="300">
        <v>499.39</v>
      </c>
      <c r="CB93" s="300">
        <v>408.5</v>
      </c>
      <c r="CC93" s="300">
        <v>398</v>
      </c>
      <c r="CD93" s="300">
        <v>410.5</v>
      </c>
      <c r="CE93" s="300">
        <v>443.02</v>
      </c>
      <c r="CF93" s="300">
        <v>1440</v>
      </c>
      <c r="CG93" s="300">
        <v>1492</v>
      </c>
      <c r="CH93" s="300">
        <v>1300</v>
      </c>
      <c r="CI93" s="300">
        <v>1640</v>
      </c>
      <c r="CJ93" s="300">
        <v>1730</v>
      </c>
      <c r="CK93" s="300">
        <v>1750</v>
      </c>
      <c r="CL93" s="300">
        <v>1770</v>
      </c>
      <c r="CM93" s="300">
        <v>2810</v>
      </c>
      <c r="CN93" s="300">
        <v>454.31</v>
      </c>
      <c r="CO93" s="300">
        <v>840.8</v>
      </c>
      <c r="CP93" s="254">
        <v>10.5</v>
      </c>
      <c r="CQ93" s="254"/>
      <c r="CR93" s="254"/>
      <c r="CS93" s="254"/>
      <c r="CT93" s="254"/>
      <c r="CW93" s="277"/>
      <c r="CX93" s="277"/>
      <c r="CY93" s="277"/>
    </row>
    <row r="94" spans="1:103" x14ac:dyDescent="0.2">
      <c r="A94" s="254">
        <v>10.75</v>
      </c>
      <c r="B94" s="122">
        <f t="shared" si="1"/>
        <v>6.4633770776845234E-2</v>
      </c>
      <c r="C94" s="122">
        <f t="shared" si="2"/>
        <v>6.7478264193679721E-2</v>
      </c>
      <c r="D94" s="122">
        <f t="shared" si="3"/>
        <v>134.41138712075869</v>
      </c>
      <c r="E94" s="122">
        <f t="shared" si="4"/>
        <v>91.919980081198077</v>
      </c>
      <c r="F94" s="122">
        <f t="shared" si="10"/>
        <v>90.902210142100699</v>
      </c>
      <c r="G94" s="299">
        <f>HLOOKUP('Input &amp; Summary'!$B$6,'AEP Input Output sheet'!$N$50:$CO$211,ROW(G94)-49,0)</f>
        <v>1347.133202495967</v>
      </c>
      <c r="H94" s="122">
        <f t="shared" si="5"/>
        <v>1495.8669846732155</v>
      </c>
      <c r="I94" s="247">
        <f t="shared" si="6"/>
        <v>0.90057018190708937</v>
      </c>
      <c r="J94" s="254">
        <f t="shared" si="7"/>
        <v>1512.6151852671139</v>
      </c>
      <c r="K94" s="122">
        <f t="shared" si="8"/>
        <v>1495.8669846732155</v>
      </c>
      <c r="L94" s="122">
        <f t="shared" si="11"/>
        <v>1662.9519221382577</v>
      </c>
      <c r="M94" s="122"/>
      <c r="N94" s="254">
        <f t="shared" si="9"/>
        <v>1347.133202495967</v>
      </c>
      <c r="O94" s="452">
        <v>1226.2499999999998</v>
      </c>
      <c r="P94" s="452">
        <v>2861.2499999999995</v>
      </c>
      <c r="Q94" s="452">
        <v>4087.4999999999995</v>
      </c>
      <c r="R94" s="452">
        <v>1309.5</v>
      </c>
      <c r="S94" s="452">
        <v>3055.5</v>
      </c>
      <c r="T94" s="452">
        <v>4365</v>
      </c>
      <c r="U94" s="452">
        <v>1378.4999999999998</v>
      </c>
      <c r="V94" s="452">
        <v>3216.5</v>
      </c>
      <c r="W94" s="452">
        <v>4595</v>
      </c>
      <c r="X94" s="300">
        <v>1255.75</v>
      </c>
      <c r="Y94" s="300">
        <v>1393.75</v>
      </c>
      <c r="Z94" s="300">
        <v>654</v>
      </c>
      <c r="AA94" s="300">
        <v>699.5</v>
      </c>
      <c r="AB94" s="254">
        <f>(AB95-AB91)/4+AB93</f>
        <v>3772.5</v>
      </c>
      <c r="AC94" s="300">
        <v>936.25</v>
      </c>
      <c r="AD94" s="300">
        <v>1980</v>
      </c>
      <c r="AE94" s="300">
        <v>1960</v>
      </c>
      <c r="AF94" s="300">
        <v>1820</v>
      </c>
      <c r="AG94" s="300">
        <v>1720</v>
      </c>
      <c r="AH94" s="300">
        <v>1630</v>
      </c>
      <c r="AI94" s="300">
        <v>364.99</v>
      </c>
      <c r="AJ94" s="300">
        <v>625.05999999999995</v>
      </c>
      <c r="AK94" s="300">
        <v>1360</v>
      </c>
      <c r="AL94" s="300">
        <v>1420</v>
      </c>
      <c r="AM94" s="300">
        <v>1640</v>
      </c>
      <c r="AN94" s="300">
        <v>2030</v>
      </c>
      <c r="AO94" s="300">
        <v>2400</v>
      </c>
      <c r="AP94" s="300">
        <v>630</v>
      </c>
      <c r="AQ94" s="300">
        <v>654.57499999999993</v>
      </c>
      <c r="AR94" s="300">
        <v>1522.5</v>
      </c>
      <c r="AS94" s="300">
        <v>1728.1</v>
      </c>
      <c r="AT94" s="300">
        <v>1805.5</v>
      </c>
      <c r="AU94" s="300">
        <v>1276.5</v>
      </c>
      <c r="AV94" s="300">
        <v>1330</v>
      </c>
      <c r="AW94" s="300">
        <v>1490</v>
      </c>
      <c r="AX94" s="300">
        <v>2190</v>
      </c>
      <c r="AY94" s="300">
        <v>707.64</v>
      </c>
      <c r="AZ94" s="300">
        <v>913.81</v>
      </c>
      <c r="BA94" s="300">
        <v>2170</v>
      </c>
      <c r="BB94" s="300">
        <v>2060</v>
      </c>
      <c r="BC94" s="254">
        <f>(BC95-BC91)/4+BC93</f>
        <v>3365</v>
      </c>
      <c r="BD94" s="300">
        <v>450.37</v>
      </c>
      <c r="BE94" s="300">
        <v>538.42999999999995</v>
      </c>
      <c r="BF94" s="300">
        <v>619.64</v>
      </c>
      <c r="BG94" s="300">
        <v>1228.25</v>
      </c>
      <c r="BH94" s="300">
        <v>1442.5</v>
      </c>
      <c r="BI94" s="300">
        <v>424.11750000000006</v>
      </c>
      <c r="BJ94" s="300">
        <v>829.25</v>
      </c>
      <c r="BK94" s="300">
        <v>1914.75</v>
      </c>
      <c r="BL94" s="300">
        <v>1586</v>
      </c>
      <c r="BM94" s="300">
        <v>2022</v>
      </c>
      <c r="BN94" s="300">
        <v>1939</v>
      </c>
      <c r="BO94" s="300">
        <v>2232.75</v>
      </c>
      <c r="BP94" s="300">
        <v>1300</v>
      </c>
      <c r="BQ94" s="300">
        <v>1680</v>
      </c>
      <c r="BR94" s="300">
        <v>2630</v>
      </c>
      <c r="BS94" s="254">
        <f>(BS95-BS91)/4+BS93</f>
        <v>3611.25</v>
      </c>
      <c r="BT94" s="300">
        <v>1760</v>
      </c>
      <c r="BU94">
        <v>3130</v>
      </c>
      <c r="BV94" s="300">
        <v>927.75</v>
      </c>
      <c r="BW94" s="300">
        <v>945.25</v>
      </c>
      <c r="BX94" s="300">
        <v>1775.75</v>
      </c>
      <c r="BY94" s="300">
        <v>527.25</v>
      </c>
      <c r="BZ94" s="300">
        <v>1341.25</v>
      </c>
      <c r="CA94" s="300">
        <v>517.67999999999995</v>
      </c>
      <c r="CB94" s="300">
        <v>429.05</v>
      </c>
      <c r="CC94" s="300">
        <v>419</v>
      </c>
      <c r="CD94" s="300">
        <v>430.25</v>
      </c>
      <c r="CE94" s="300">
        <v>465.92</v>
      </c>
      <c r="CF94" s="300">
        <v>1470</v>
      </c>
      <c r="CG94" s="300">
        <v>1565.5</v>
      </c>
      <c r="CH94" s="300">
        <v>1370</v>
      </c>
      <c r="CI94" s="300">
        <v>1700</v>
      </c>
      <c r="CJ94" s="300">
        <v>1800</v>
      </c>
      <c r="CK94" s="300">
        <v>1850</v>
      </c>
      <c r="CL94" s="300">
        <v>1780</v>
      </c>
      <c r="CM94" s="300">
        <v>2880</v>
      </c>
      <c r="CN94" s="300">
        <v>481.74</v>
      </c>
      <c r="CO94" s="300">
        <v>887.3</v>
      </c>
      <c r="CP94" s="254">
        <v>10.75</v>
      </c>
      <c r="CQ94" s="254"/>
      <c r="CR94" s="254"/>
      <c r="CS94" s="254"/>
      <c r="CT94" s="254"/>
      <c r="CW94" s="277"/>
      <c r="CX94" s="277"/>
      <c r="CY94" s="277"/>
    </row>
    <row r="95" spans="1:103" x14ac:dyDescent="0.2">
      <c r="A95" s="254">
        <v>11</v>
      </c>
      <c r="B95" s="122">
        <f t="shared" si="1"/>
        <v>6.1985882507995277E-2</v>
      </c>
      <c r="C95" s="122">
        <f t="shared" si="2"/>
        <v>6.4582370357338964E-2</v>
      </c>
      <c r="D95" s="122">
        <f t="shared" si="3"/>
        <v>137.82842845073412</v>
      </c>
      <c r="E95" s="122">
        <f t="shared" si="4"/>
        <v>94.344025297198542</v>
      </c>
      <c r="F95" s="122">
        <f t="shared" si="10"/>
        <v>92.457281707784801</v>
      </c>
      <c r="G95" s="299">
        <f>HLOOKUP('Input &amp; Summary'!$B$6,'AEP Input Output sheet'!$N$50:$CO$211,ROW(G95)-49,0)</f>
        <v>1431.617966268688</v>
      </c>
      <c r="H95" s="122">
        <f t="shared" si="5"/>
        <v>1588.2096758409398</v>
      </c>
      <c r="I95" s="247">
        <f t="shared" si="6"/>
        <v>0.9014036295369261</v>
      </c>
      <c r="J95" s="254">
        <f t="shared" si="7"/>
        <v>1620.6197182863627</v>
      </c>
      <c r="K95" s="122">
        <f t="shared" si="8"/>
        <v>1588.2096758409398</v>
      </c>
      <c r="L95" s="122">
        <f t="shared" si="11"/>
        <v>1662.9519221382577</v>
      </c>
      <c r="M95" s="122"/>
      <c r="N95" s="254">
        <f t="shared" si="9"/>
        <v>1431.617966268688</v>
      </c>
      <c r="O95" s="452">
        <v>1283.9999999999998</v>
      </c>
      <c r="P95" s="452">
        <v>2995.9999999999995</v>
      </c>
      <c r="Q95" s="452">
        <v>4279.9999999999991</v>
      </c>
      <c r="R95" s="452">
        <v>1357.5</v>
      </c>
      <c r="S95" s="452">
        <v>3167.5</v>
      </c>
      <c r="T95" s="452">
        <v>4525</v>
      </c>
      <c r="U95" s="452">
        <v>1419</v>
      </c>
      <c r="V95" s="452">
        <v>3311</v>
      </c>
      <c r="W95" s="452">
        <v>4729.9999999999991</v>
      </c>
      <c r="X95" s="300">
        <v>1334</v>
      </c>
      <c r="Y95" s="300">
        <v>1450</v>
      </c>
      <c r="Z95" s="300">
        <v>717</v>
      </c>
      <c r="AA95" s="300">
        <v>767</v>
      </c>
      <c r="AB95" s="302">
        <v>4000</v>
      </c>
      <c r="AC95" s="300">
        <v>1006</v>
      </c>
      <c r="AD95" s="300">
        <v>2100</v>
      </c>
      <c r="AE95" s="300">
        <v>2020</v>
      </c>
      <c r="AF95" s="300">
        <v>1920</v>
      </c>
      <c r="AG95" s="300">
        <v>1840</v>
      </c>
      <c r="AH95" s="300">
        <v>1700</v>
      </c>
      <c r="AI95" s="300">
        <v>384.81</v>
      </c>
      <c r="AJ95" s="300">
        <v>666.85</v>
      </c>
      <c r="AK95" s="300">
        <v>1410</v>
      </c>
      <c r="AL95" s="300">
        <v>1500</v>
      </c>
      <c r="AM95" s="300">
        <v>1730</v>
      </c>
      <c r="AN95" s="300">
        <v>2140</v>
      </c>
      <c r="AO95" s="300">
        <v>2470</v>
      </c>
      <c r="AP95" s="300">
        <v>662</v>
      </c>
      <c r="AQ95" s="300">
        <v>684.6</v>
      </c>
      <c r="AR95" s="300">
        <v>1598</v>
      </c>
      <c r="AS95" s="300">
        <v>1794.7</v>
      </c>
      <c r="AT95" s="300">
        <v>1863</v>
      </c>
      <c r="AU95" s="300">
        <v>1342</v>
      </c>
      <c r="AV95" s="300">
        <v>1370</v>
      </c>
      <c r="AW95" s="300">
        <v>1500</v>
      </c>
      <c r="AX95" s="300">
        <v>2260</v>
      </c>
      <c r="AY95" s="300">
        <v>751.03</v>
      </c>
      <c r="AZ95" s="300">
        <v>937.11</v>
      </c>
      <c r="BA95" s="300">
        <v>2240</v>
      </c>
      <c r="BB95" s="300">
        <v>2120</v>
      </c>
      <c r="BC95" s="302">
        <v>3615</v>
      </c>
      <c r="BD95" s="300">
        <v>469.54</v>
      </c>
      <c r="BE95" s="300">
        <v>552.85</v>
      </c>
      <c r="BF95" s="300">
        <v>645.79</v>
      </c>
      <c r="BG95" s="300">
        <v>1285</v>
      </c>
      <c r="BH95" s="300">
        <v>1504</v>
      </c>
      <c r="BI95" s="300">
        <v>444.28</v>
      </c>
      <c r="BJ95" s="300">
        <v>871</v>
      </c>
      <c r="BK95" s="300">
        <v>2012</v>
      </c>
      <c r="BL95" s="300">
        <v>1675</v>
      </c>
      <c r="BM95" s="300">
        <v>2116</v>
      </c>
      <c r="BN95" s="300">
        <v>2043</v>
      </c>
      <c r="BO95" s="300">
        <v>2304</v>
      </c>
      <c r="BP95" s="300">
        <v>1380</v>
      </c>
      <c r="BQ95" s="300">
        <v>1770</v>
      </c>
      <c r="BR95" s="300">
        <v>2750</v>
      </c>
      <c r="BS95" s="302">
        <v>3835</v>
      </c>
      <c r="BT95" s="300">
        <v>1830</v>
      </c>
      <c r="BU95">
        <v>3270</v>
      </c>
      <c r="BV95" s="300">
        <v>950</v>
      </c>
      <c r="BW95" s="300">
        <v>990</v>
      </c>
      <c r="BX95" s="300">
        <v>1856</v>
      </c>
      <c r="BY95" s="300">
        <v>546</v>
      </c>
      <c r="BZ95" s="300">
        <v>1382</v>
      </c>
      <c r="CA95" s="300">
        <v>532.32000000000005</v>
      </c>
      <c r="CB95" s="300">
        <v>449.6</v>
      </c>
      <c r="CC95" s="300">
        <v>440</v>
      </c>
      <c r="CD95" s="300">
        <v>450</v>
      </c>
      <c r="CE95" s="300">
        <v>488.83</v>
      </c>
      <c r="CF95" s="300">
        <v>1500</v>
      </c>
      <c r="CG95" s="300">
        <v>1639</v>
      </c>
      <c r="CH95" s="300">
        <v>1420</v>
      </c>
      <c r="CI95" s="300">
        <v>1750</v>
      </c>
      <c r="CJ95" s="300">
        <v>1860</v>
      </c>
      <c r="CK95" s="300">
        <v>1950</v>
      </c>
      <c r="CL95" s="300">
        <v>1790</v>
      </c>
      <c r="CM95" s="300">
        <v>2930</v>
      </c>
      <c r="CN95" s="300">
        <v>515.28</v>
      </c>
      <c r="CO95" s="300">
        <v>933.8</v>
      </c>
      <c r="CP95" s="254">
        <v>11</v>
      </c>
      <c r="CQ95" s="254"/>
      <c r="CR95" s="254"/>
      <c r="CS95" s="254"/>
      <c r="CT95" s="254"/>
      <c r="CW95" s="277"/>
      <c r="CX95" s="277"/>
      <c r="CY95" s="277"/>
    </row>
    <row r="96" spans="1:103" x14ac:dyDescent="0.2">
      <c r="A96" s="254">
        <v>11.25</v>
      </c>
      <c r="B96" s="122">
        <f t="shared" si="1"/>
        <v>5.9327295698878846E-2</v>
      </c>
      <c r="C96" s="122">
        <f t="shared" si="2"/>
        <v>6.1667583359728641E-2</v>
      </c>
      <c r="D96" s="122">
        <f t="shared" si="3"/>
        <v>140.78658185364984</v>
      </c>
      <c r="E96" s="122">
        <f t="shared" si="4"/>
        <v>96.433765617512719</v>
      </c>
      <c r="F96" s="122">
        <f t="shared" si="10"/>
        <v>92.501375039592958</v>
      </c>
      <c r="G96" s="299">
        <f>HLOOKUP('Input &amp; Summary'!$B$6,'AEP Input Output sheet'!$N$50:$CO$211,ROW(G96)-49,0)</f>
        <v>1500</v>
      </c>
      <c r="H96" s="122">
        <f t="shared" si="5"/>
        <v>1662.9519221382577</v>
      </c>
      <c r="I96" s="247">
        <f t="shared" si="6"/>
        <v>0.90201044301465383</v>
      </c>
      <c r="J96" s="254">
        <f t="shared" si="7"/>
        <v>1733.64683307716</v>
      </c>
      <c r="K96" s="122">
        <f t="shared" si="8"/>
        <v>1680.5523670086643</v>
      </c>
      <c r="L96" s="122">
        <f t="shared" si="11"/>
        <v>1662.9519221382577</v>
      </c>
      <c r="M96" s="122"/>
      <c r="N96" s="254">
        <f t="shared" si="9"/>
        <v>1500</v>
      </c>
      <c r="O96" s="452">
        <v>1321.5</v>
      </c>
      <c r="P96" s="452">
        <v>3083.4999999999995</v>
      </c>
      <c r="Q96" s="452">
        <v>4404.9999999999991</v>
      </c>
      <c r="R96" s="452">
        <v>1382.625</v>
      </c>
      <c r="S96" s="452">
        <v>3226.125</v>
      </c>
      <c r="T96" s="452">
        <v>4608.7500000000009</v>
      </c>
      <c r="U96" s="452">
        <v>1434.375</v>
      </c>
      <c r="V96" s="452">
        <v>3346.875</v>
      </c>
      <c r="W96" s="452">
        <v>4781.25</v>
      </c>
      <c r="X96" s="300">
        <v>1375.5</v>
      </c>
      <c r="Y96" s="300">
        <v>1462.5</v>
      </c>
      <c r="Z96" s="300">
        <v>731.5</v>
      </c>
      <c r="AA96" s="300">
        <v>782.5</v>
      </c>
      <c r="AB96" s="254">
        <f>(AB99-AB95)/4+AB95</f>
        <v>4220</v>
      </c>
      <c r="AC96" s="300">
        <v>1042.75</v>
      </c>
      <c r="AD96" s="300">
        <v>2180</v>
      </c>
      <c r="AE96" s="300">
        <v>2100</v>
      </c>
      <c r="AF96" s="300">
        <v>2010</v>
      </c>
      <c r="AG96" s="300">
        <v>1920</v>
      </c>
      <c r="AH96" s="300">
        <v>1770</v>
      </c>
      <c r="AI96" s="300">
        <v>395.58</v>
      </c>
      <c r="AJ96" s="300">
        <v>691.03</v>
      </c>
      <c r="AK96" s="300">
        <v>1440</v>
      </c>
      <c r="AL96" s="300">
        <v>1500</v>
      </c>
      <c r="AM96" s="300">
        <v>1820</v>
      </c>
      <c r="AN96" s="300">
        <v>2220</v>
      </c>
      <c r="AO96" s="300">
        <v>2480</v>
      </c>
      <c r="AP96" s="300">
        <v>684.25</v>
      </c>
      <c r="AQ96" s="300">
        <v>708.42499999999995</v>
      </c>
      <c r="AR96" s="300">
        <v>1653</v>
      </c>
      <c r="AS96" s="300">
        <v>1828.8</v>
      </c>
      <c r="AT96" s="300">
        <v>1887.35</v>
      </c>
      <c r="AU96" s="300">
        <v>1371.5</v>
      </c>
      <c r="AV96" s="300">
        <v>1390</v>
      </c>
      <c r="AW96" s="300">
        <v>1500</v>
      </c>
      <c r="AX96" s="300">
        <v>2320</v>
      </c>
      <c r="AY96" s="300">
        <v>782.02</v>
      </c>
      <c r="AZ96" s="300">
        <v>958.85</v>
      </c>
      <c r="BA96" s="300">
        <v>2310</v>
      </c>
      <c r="BB96" s="300">
        <v>2210</v>
      </c>
      <c r="BC96" s="254">
        <f>(BC99-BC95)/4+BC95</f>
        <v>3910</v>
      </c>
      <c r="BD96" s="300">
        <v>484.88</v>
      </c>
      <c r="BE96" s="300">
        <v>573.03</v>
      </c>
      <c r="BF96" s="300">
        <v>671.93</v>
      </c>
      <c r="BG96" s="300">
        <v>1320.25</v>
      </c>
      <c r="BH96" s="300">
        <v>1537.25</v>
      </c>
      <c r="BI96" s="300">
        <v>466.60500000000002</v>
      </c>
      <c r="BJ96" s="300">
        <v>907.25</v>
      </c>
      <c r="BK96" s="300">
        <v>2066.5</v>
      </c>
      <c r="BL96" s="300">
        <v>1757.25</v>
      </c>
      <c r="BM96" s="300">
        <v>2189</v>
      </c>
      <c r="BN96" s="300">
        <v>2121.5</v>
      </c>
      <c r="BO96" s="300">
        <v>2342.5</v>
      </c>
      <c r="BP96" s="300">
        <v>1450</v>
      </c>
      <c r="BQ96" s="300">
        <v>1860</v>
      </c>
      <c r="BR96" s="300">
        <v>2850</v>
      </c>
      <c r="BS96" s="254">
        <f>(BS99-BS95)/4+BS95</f>
        <v>4013.75</v>
      </c>
      <c r="BT96" s="300">
        <v>1890</v>
      </c>
      <c r="BU96">
        <v>3370</v>
      </c>
      <c r="BV96" s="300">
        <v>950</v>
      </c>
      <c r="BW96" s="300">
        <v>1024.25</v>
      </c>
      <c r="BX96" s="300">
        <v>1901.25</v>
      </c>
      <c r="BY96" s="300">
        <v>555.5</v>
      </c>
      <c r="BZ96" s="300">
        <v>1396</v>
      </c>
      <c r="CA96" s="300">
        <v>546.95000000000005</v>
      </c>
      <c r="CB96" s="300">
        <v>468.47500000000002</v>
      </c>
      <c r="CC96" s="300">
        <v>457.5</v>
      </c>
      <c r="CD96" s="300">
        <v>466</v>
      </c>
      <c r="CE96" s="300">
        <v>508.7</v>
      </c>
      <c r="CF96" s="300">
        <v>1530</v>
      </c>
      <c r="CG96" s="300">
        <v>1673</v>
      </c>
      <c r="CH96" s="300">
        <v>1490</v>
      </c>
      <c r="CI96" s="300">
        <v>1770</v>
      </c>
      <c r="CJ96" s="300">
        <v>1910</v>
      </c>
      <c r="CK96" s="300">
        <v>2030</v>
      </c>
      <c r="CL96" s="300">
        <v>1790</v>
      </c>
      <c r="CM96" s="300">
        <v>2960</v>
      </c>
      <c r="CN96" s="300">
        <v>536.69000000000005</v>
      </c>
      <c r="CO96" s="300">
        <v>977.25</v>
      </c>
      <c r="CP96" s="254">
        <v>11.25</v>
      </c>
      <c r="CQ96" s="254"/>
      <c r="CR96" s="254"/>
      <c r="CS96" s="254"/>
      <c r="CT96" s="254"/>
      <c r="CW96" s="277"/>
      <c r="CX96" s="277"/>
      <c r="CY96" s="277"/>
    </row>
    <row r="97" spans="1:103" x14ac:dyDescent="0.2">
      <c r="A97" s="254">
        <v>11.5</v>
      </c>
      <c r="B97" s="122">
        <f t="shared" si="1"/>
        <v>5.6670187435287511E-2</v>
      </c>
      <c r="C97" s="122">
        <f t="shared" si="2"/>
        <v>5.874919071448291E-2</v>
      </c>
      <c r="D97" s="122">
        <f t="shared" si="3"/>
        <v>143.2656839649959</v>
      </c>
      <c r="E97" s="122">
        <f t="shared" si="4"/>
        <v>98.131861762754355</v>
      </c>
      <c r="F97" s="122">
        <f t="shared" si="10"/>
        <v>88.123786071724368</v>
      </c>
      <c r="G97" s="299">
        <f>HLOOKUP('Input &amp; Summary'!$B$6,'AEP Input Output sheet'!$N$50:$CO$211,ROW(G97)-49,0)</f>
        <v>1500</v>
      </c>
      <c r="H97" s="122">
        <f t="shared" si="5"/>
        <v>1662.9519221382577</v>
      </c>
      <c r="I97" s="247">
        <f t="shared" si="6"/>
        <v>0.90201044301465383</v>
      </c>
      <c r="J97" s="254">
        <f t="shared" si="7"/>
        <v>1851.8106792252224</v>
      </c>
      <c r="K97" s="122">
        <f t="shared" si="8"/>
        <v>1772.8950581763888</v>
      </c>
      <c r="L97" s="122">
        <f t="shared" si="11"/>
        <v>1662.9519221382577</v>
      </c>
      <c r="M97" s="122"/>
      <c r="N97" s="254">
        <f t="shared" si="9"/>
        <v>1500</v>
      </c>
      <c r="O97" s="452">
        <v>1359</v>
      </c>
      <c r="P97" s="452">
        <v>3171</v>
      </c>
      <c r="Q97" s="452">
        <v>4529.9999999999991</v>
      </c>
      <c r="R97" s="452">
        <v>1407.75</v>
      </c>
      <c r="S97" s="452">
        <v>3284.7500000000005</v>
      </c>
      <c r="T97" s="452">
        <v>4692.5000000000009</v>
      </c>
      <c r="U97" s="452">
        <v>1449.7499999999998</v>
      </c>
      <c r="V97" s="452">
        <v>3382.7499999999995</v>
      </c>
      <c r="W97" s="452">
        <v>4832.5</v>
      </c>
      <c r="X97" s="300">
        <v>1417</v>
      </c>
      <c r="Y97" s="300">
        <v>1475</v>
      </c>
      <c r="Z97" s="300">
        <v>742.375</v>
      </c>
      <c r="AA97" s="300">
        <v>794.125</v>
      </c>
      <c r="AB97" s="254">
        <f>(AB99-AB95)/4+AB96</f>
        <v>4440</v>
      </c>
      <c r="AC97" s="300">
        <v>1070.3125</v>
      </c>
      <c r="AD97" s="300">
        <v>2240</v>
      </c>
      <c r="AE97" s="300">
        <v>2180</v>
      </c>
      <c r="AF97" s="300">
        <v>2100</v>
      </c>
      <c r="AG97" s="300">
        <v>2010</v>
      </c>
      <c r="AH97" s="300">
        <v>1810</v>
      </c>
      <c r="AI97" s="300">
        <v>404.56</v>
      </c>
      <c r="AJ97" s="300">
        <v>721.25</v>
      </c>
      <c r="AK97" s="300">
        <v>1460</v>
      </c>
      <c r="AL97" s="300">
        <v>1500</v>
      </c>
      <c r="AM97" s="300">
        <v>1910</v>
      </c>
      <c r="AN97" s="300">
        <v>2290</v>
      </c>
      <c r="AO97" s="300">
        <v>2500</v>
      </c>
      <c r="AP97" s="300">
        <v>706.5</v>
      </c>
      <c r="AQ97" s="300">
        <v>732.25</v>
      </c>
      <c r="AR97" s="300">
        <v>1708</v>
      </c>
      <c r="AS97" s="300">
        <v>1862.8999999999999</v>
      </c>
      <c r="AT97" s="300">
        <v>1911.6999999999998</v>
      </c>
      <c r="AU97" s="300">
        <v>1401</v>
      </c>
      <c r="AV97" s="300">
        <v>1410</v>
      </c>
      <c r="AW97" s="300">
        <v>1500</v>
      </c>
      <c r="AX97" s="300">
        <v>2370</v>
      </c>
      <c r="AY97" s="300">
        <v>813.02</v>
      </c>
      <c r="AZ97" s="300">
        <v>975.93</v>
      </c>
      <c r="BA97" s="300">
        <v>2360</v>
      </c>
      <c r="BB97" s="300">
        <v>2290</v>
      </c>
      <c r="BC97" s="254">
        <f>(BC99-BC95)/4+BC96</f>
        <v>4205</v>
      </c>
      <c r="BD97" s="300">
        <v>511.69</v>
      </c>
      <c r="BE97" s="300">
        <v>593.20000000000005</v>
      </c>
      <c r="BF97" s="300">
        <v>694.07</v>
      </c>
      <c r="BG97" s="300">
        <v>1355.5</v>
      </c>
      <c r="BH97" s="300">
        <v>1570.5</v>
      </c>
      <c r="BI97" s="300">
        <v>488.93000000000006</v>
      </c>
      <c r="BJ97" s="300">
        <v>943.5</v>
      </c>
      <c r="BK97" s="300">
        <v>2121</v>
      </c>
      <c r="BL97" s="300">
        <v>1839.5</v>
      </c>
      <c r="BM97" s="300">
        <v>2262</v>
      </c>
      <c r="BN97" s="300">
        <v>2200</v>
      </c>
      <c r="BO97" s="300">
        <v>2381</v>
      </c>
      <c r="BP97" s="300">
        <v>1510</v>
      </c>
      <c r="BQ97" s="300">
        <v>1930</v>
      </c>
      <c r="BR97" s="300">
        <v>2960</v>
      </c>
      <c r="BS97" s="254">
        <f>(BS99-BS95)/4+BS96</f>
        <v>4192.5</v>
      </c>
      <c r="BT97" s="300">
        <v>1950</v>
      </c>
      <c r="BU97">
        <v>3440</v>
      </c>
      <c r="BV97" s="300">
        <v>950</v>
      </c>
      <c r="BW97" s="300">
        <v>1058.5</v>
      </c>
      <c r="BX97" s="300">
        <v>1946.5</v>
      </c>
      <c r="BY97" s="300">
        <v>565</v>
      </c>
      <c r="BZ97" s="300">
        <v>1410</v>
      </c>
      <c r="CA97" s="300">
        <v>557.92999999999995</v>
      </c>
      <c r="CB97" s="300">
        <v>487.35</v>
      </c>
      <c r="CC97" s="300">
        <v>475</v>
      </c>
      <c r="CD97" s="300">
        <v>482</v>
      </c>
      <c r="CE97" s="300">
        <v>527.05999999999995</v>
      </c>
      <c r="CF97" s="300">
        <v>1550</v>
      </c>
      <c r="CG97" s="300">
        <v>1707</v>
      </c>
      <c r="CH97" s="300">
        <v>1550</v>
      </c>
      <c r="CI97" s="300">
        <v>1790</v>
      </c>
      <c r="CJ97" s="300">
        <v>1950</v>
      </c>
      <c r="CK97" s="300">
        <v>2140</v>
      </c>
      <c r="CL97" s="300">
        <v>1800</v>
      </c>
      <c r="CM97" s="300">
        <v>2980</v>
      </c>
      <c r="CN97" s="300">
        <v>567.19000000000005</v>
      </c>
      <c r="CO97" s="300">
        <v>1020.7</v>
      </c>
      <c r="CP97" s="254">
        <v>11.5</v>
      </c>
      <c r="CQ97" s="254"/>
      <c r="CR97" s="254"/>
      <c r="CS97" s="254"/>
      <c r="CT97" s="254"/>
      <c r="CW97" s="277"/>
      <c r="CX97" s="277"/>
      <c r="CY97" s="277"/>
    </row>
    <row r="98" spans="1:103" x14ac:dyDescent="0.2">
      <c r="A98" s="254">
        <v>11.75</v>
      </c>
      <c r="B98" s="122">
        <f t="shared" si="1"/>
        <v>5.4025936811249488E-2</v>
      </c>
      <c r="C98" s="122">
        <f t="shared" si="2"/>
        <v>5.5841532864100728E-2</v>
      </c>
      <c r="D98" s="122">
        <f t="shared" si="3"/>
        <v>145.25052107432643</v>
      </c>
      <c r="E98" s="122">
        <f t="shared" si="4"/>
        <v>99.491404086106527</v>
      </c>
      <c r="F98" s="122">
        <f t="shared" si="10"/>
        <v>83.762299296151085</v>
      </c>
      <c r="G98" s="299">
        <f>HLOOKUP('Input &amp; Summary'!$B$6,'AEP Input Output sheet'!$N$50:$CO$211,ROW(G98)-49,0)</f>
        <v>1500</v>
      </c>
      <c r="H98" s="122">
        <f t="shared" si="5"/>
        <v>1662.9519221382577</v>
      </c>
      <c r="I98" s="247">
        <f t="shared" si="6"/>
        <v>0.90201044301465383</v>
      </c>
      <c r="J98" s="254">
        <f t="shared" si="7"/>
        <v>1975.2254063162688</v>
      </c>
      <c r="K98" s="122">
        <f t="shared" si="8"/>
        <v>1865.2377493441131</v>
      </c>
      <c r="L98" s="122">
        <f t="shared" si="11"/>
        <v>1662.9519221382577</v>
      </c>
      <c r="M98" s="122"/>
      <c r="N98" s="254">
        <f t="shared" si="9"/>
        <v>1500</v>
      </c>
      <c r="O98" s="452">
        <v>1396.4999999999998</v>
      </c>
      <c r="P98" s="452">
        <v>3258.4999999999995</v>
      </c>
      <c r="Q98" s="452">
        <v>4654.9999999999991</v>
      </c>
      <c r="R98" s="452">
        <v>1432.8750000000002</v>
      </c>
      <c r="S98" s="452">
        <v>3343.3750000000005</v>
      </c>
      <c r="T98" s="452">
        <v>4776.2500000000009</v>
      </c>
      <c r="U98" s="452">
        <v>1465.1249999999998</v>
      </c>
      <c r="V98" s="452">
        <v>3418.6249999999995</v>
      </c>
      <c r="W98" s="452">
        <v>4883.7499999999991</v>
      </c>
      <c r="X98" s="300">
        <v>1458.5</v>
      </c>
      <c r="Y98" s="300">
        <v>1487.5</v>
      </c>
      <c r="Z98" s="300">
        <v>753.25</v>
      </c>
      <c r="AA98" s="300">
        <v>805.75</v>
      </c>
      <c r="AB98" s="254">
        <f>(AB99-AB95)/4+AB97</f>
        <v>4660</v>
      </c>
      <c r="AC98" s="300">
        <v>1097.875</v>
      </c>
      <c r="AD98" s="300">
        <v>2300</v>
      </c>
      <c r="AE98" s="300">
        <v>2250</v>
      </c>
      <c r="AF98" s="300">
        <v>2180</v>
      </c>
      <c r="AG98" s="300">
        <v>2090</v>
      </c>
      <c r="AH98" s="300">
        <v>1860</v>
      </c>
      <c r="AI98" s="300">
        <v>420.76</v>
      </c>
      <c r="AJ98" s="300">
        <v>739.89</v>
      </c>
      <c r="AK98" s="300">
        <v>1490</v>
      </c>
      <c r="AL98" s="300">
        <v>1500</v>
      </c>
      <c r="AM98" s="300">
        <v>2000</v>
      </c>
      <c r="AN98" s="300">
        <v>2360</v>
      </c>
      <c r="AO98" s="300">
        <v>2500</v>
      </c>
      <c r="AP98" s="300">
        <v>728.75</v>
      </c>
      <c r="AQ98" s="300">
        <v>756.07500000000005</v>
      </c>
      <c r="AR98" s="300">
        <v>1763</v>
      </c>
      <c r="AS98" s="300">
        <v>1896.9999999999998</v>
      </c>
      <c r="AT98" s="300">
        <v>1936.0499999999997</v>
      </c>
      <c r="AU98" s="300">
        <v>1430.5</v>
      </c>
      <c r="AV98" s="300">
        <v>1430</v>
      </c>
      <c r="AW98" s="300">
        <v>1500</v>
      </c>
      <c r="AX98" s="300">
        <v>2420</v>
      </c>
      <c r="AY98" s="300">
        <v>854.34</v>
      </c>
      <c r="AZ98" s="300">
        <v>985.25</v>
      </c>
      <c r="BA98" s="300">
        <v>2380</v>
      </c>
      <c r="BB98" s="300">
        <v>2330</v>
      </c>
      <c r="BC98" s="254">
        <f>(BC99-BC95)/4+BC97</f>
        <v>4500</v>
      </c>
      <c r="BD98" s="300">
        <v>534.67999999999995</v>
      </c>
      <c r="BE98" s="300">
        <v>610.5</v>
      </c>
      <c r="BF98" s="300">
        <v>718.2</v>
      </c>
      <c r="BG98" s="300">
        <v>1390.75</v>
      </c>
      <c r="BH98" s="300">
        <v>1603.75</v>
      </c>
      <c r="BI98" s="300">
        <v>511.25500000000011</v>
      </c>
      <c r="BJ98" s="300">
        <v>979.75</v>
      </c>
      <c r="BK98" s="300">
        <v>2175.5</v>
      </c>
      <c r="BL98" s="300">
        <v>1921.75</v>
      </c>
      <c r="BM98" s="300">
        <v>2316</v>
      </c>
      <c r="BN98" s="300">
        <v>2272.5</v>
      </c>
      <c r="BO98" s="300">
        <v>2419.5</v>
      </c>
      <c r="BP98" s="300">
        <v>1580</v>
      </c>
      <c r="BQ98" s="300">
        <v>1990</v>
      </c>
      <c r="BR98" s="300">
        <v>3060</v>
      </c>
      <c r="BS98" s="254">
        <f>(BS99-BS95)/4+BS97</f>
        <v>4371.25</v>
      </c>
      <c r="BT98" s="300">
        <v>2030</v>
      </c>
      <c r="BU98">
        <v>3480</v>
      </c>
      <c r="BV98" s="300">
        <v>950</v>
      </c>
      <c r="BW98" s="300">
        <v>1092.75</v>
      </c>
      <c r="BX98" s="300">
        <v>1991.75</v>
      </c>
      <c r="BY98" s="300">
        <v>574.5</v>
      </c>
      <c r="BZ98" s="300">
        <v>1424</v>
      </c>
      <c r="CA98" s="300">
        <v>568.9</v>
      </c>
      <c r="CB98" s="300">
        <v>506.22500000000002</v>
      </c>
      <c r="CC98" s="300">
        <v>492.5</v>
      </c>
      <c r="CD98" s="300">
        <v>498</v>
      </c>
      <c r="CE98" s="300">
        <v>540.85</v>
      </c>
      <c r="CF98" s="300">
        <v>1560</v>
      </c>
      <c r="CG98" s="300">
        <v>1741</v>
      </c>
      <c r="CH98" s="300">
        <v>1610</v>
      </c>
      <c r="CI98" s="300">
        <v>1800</v>
      </c>
      <c r="CJ98" s="300">
        <v>1960</v>
      </c>
      <c r="CK98" s="300">
        <v>2230</v>
      </c>
      <c r="CL98" s="300">
        <v>1800</v>
      </c>
      <c r="CM98" s="300">
        <v>3000</v>
      </c>
      <c r="CN98" s="300">
        <v>591.6</v>
      </c>
      <c r="CO98" s="300">
        <v>1064.1500000000001</v>
      </c>
      <c r="CP98" s="254">
        <v>11.75</v>
      </c>
      <c r="CQ98" s="254"/>
      <c r="CR98" s="254"/>
      <c r="CS98" s="254"/>
      <c r="CT98" s="254"/>
      <c r="CW98" s="277"/>
      <c r="CX98" s="277"/>
      <c r="CY98" s="277"/>
    </row>
    <row r="99" spans="1:103" x14ac:dyDescent="0.2">
      <c r="A99" s="254">
        <v>12</v>
      </c>
      <c r="B99" s="122">
        <f t="shared" si="1"/>
        <v>5.1405095344362557E-2</v>
      </c>
      <c r="C99" s="122">
        <f t="shared" si="2"/>
        <v>5.2957944848710595E-2</v>
      </c>
      <c r="D99" s="122">
        <f t="shared" si="3"/>
        <v>146.73091612592691</v>
      </c>
      <c r="E99" s="122">
        <f t="shared" si="4"/>
        <v>100.50542166894525</v>
      </c>
      <c r="F99" s="122">
        <f t="shared" si="10"/>
        <v>79.436917273065887</v>
      </c>
      <c r="G99" s="299">
        <f>HLOOKUP('Input &amp; Summary'!$B$6,'AEP Input Output sheet'!$N$50:$CO$211,ROW(G99)-49,0)</f>
        <v>1500</v>
      </c>
      <c r="H99" s="122">
        <f t="shared" si="5"/>
        <v>1662.9519221382577</v>
      </c>
      <c r="I99" s="247">
        <f t="shared" si="6"/>
        <v>0.90201044301465383</v>
      </c>
      <c r="J99" s="254">
        <f t="shared" si="7"/>
        <v>2104.0051639360145</v>
      </c>
      <c r="K99" s="122">
        <f t="shared" si="8"/>
        <v>1957.5804405118374</v>
      </c>
      <c r="L99" s="122">
        <f t="shared" si="11"/>
        <v>1662.9519221382577</v>
      </c>
      <c r="M99" s="122"/>
      <c r="N99" s="254">
        <f t="shared" si="9"/>
        <v>1500</v>
      </c>
      <c r="O99" s="452">
        <v>1434</v>
      </c>
      <c r="P99" s="452">
        <v>3346</v>
      </c>
      <c r="Q99" s="452">
        <v>4779.9999999999991</v>
      </c>
      <c r="R99" s="452">
        <v>1458.0000000000002</v>
      </c>
      <c r="S99" s="452">
        <v>3402.0000000000005</v>
      </c>
      <c r="T99" s="452">
        <v>4860.0000000000009</v>
      </c>
      <c r="U99" s="452">
        <v>1480.4999999999998</v>
      </c>
      <c r="V99" s="452">
        <v>3454.4999999999995</v>
      </c>
      <c r="W99" s="452">
        <v>4935</v>
      </c>
      <c r="X99" s="300">
        <v>1500</v>
      </c>
      <c r="Y99" s="300">
        <v>1500</v>
      </c>
      <c r="Z99" s="300">
        <v>775</v>
      </c>
      <c r="AA99" s="300">
        <v>829</v>
      </c>
      <c r="AB99" s="302">
        <v>4880</v>
      </c>
      <c r="AC99" s="300">
        <v>1153</v>
      </c>
      <c r="AD99" s="300">
        <v>2350</v>
      </c>
      <c r="AE99" s="300">
        <v>2320</v>
      </c>
      <c r="AF99" s="300">
        <v>2250</v>
      </c>
      <c r="AG99" s="300">
        <v>2160</v>
      </c>
      <c r="AH99" s="300">
        <v>1900</v>
      </c>
      <c r="AI99" s="300">
        <v>442.38</v>
      </c>
      <c r="AJ99" s="300">
        <v>746.69</v>
      </c>
      <c r="AK99" s="300">
        <v>1500</v>
      </c>
      <c r="AL99" s="300">
        <v>1500</v>
      </c>
      <c r="AM99" s="300">
        <v>2080</v>
      </c>
      <c r="AN99" s="300">
        <v>2420</v>
      </c>
      <c r="AO99" s="300">
        <v>2500</v>
      </c>
      <c r="AP99" s="300">
        <v>751</v>
      </c>
      <c r="AQ99" s="300">
        <v>779.9</v>
      </c>
      <c r="AR99" s="300">
        <v>1818</v>
      </c>
      <c r="AS99" s="300">
        <v>1931.1</v>
      </c>
      <c r="AT99" s="300">
        <v>1960.4</v>
      </c>
      <c r="AU99" s="300">
        <v>1460</v>
      </c>
      <c r="AV99" s="300">
        <v>1440</v>
      </c>
      <c r="AW99" s="300">
        <v>1500</v>
      </c>
      <c r="AX99" s="300">
        <v>2460</v>
      </c>
      <c r="AY99" s="300">
        <v>881.2</v>
      </c>
      <c r="AZ99" s="300">
        <v>989.91</v>
      </c>
      <c r="BA99" s="300">
        <v>2390</v>
      </c>
      <c r="BB99" s="300">
        <v>2370</v>
      </c>
      <c r="BC99" s="302">
        <v>4795</v>
      </c>
      <c r="BD99" s="300">
        <v>553.85</v>
      </c>
      <c r="BE99" s="300">
        <v>627.79999999999995</v>
      </c>
      <c r="BF99" s="300">
        <v>740.33</v>
      </c>
      <c r="BG99" s="300">
        <v>1426</v>
      </c>
      <c r="BH99" s="300">
        <v>1637</v>
      </c>
      <c r="BI99" s="300">
        <v>533.58000000000004</v>
      </c>
      <c r="BJ99" s="300">
        <v>1016</v>
      </c>
      <c r="BK99" s="300">
        <v>2230</v>
      </c>
      <c r="BL99" s="300">
        <v>2004</v>
      </c>
      <c r="BM99" s="300">
        <v>2370</v>
      </c>
      <c r="BN99" s="300">
        <v>2345</v>
      </c>
      <c r="BO99" s="300">
        <v>2458</v>
      </c>
      <c r="BP99" s="300">
        <v>1640</v>
      </c>
      <c r="BQ99" s="300">
        <v>2030</v>
      </c>
      <c r="BR99" s="300">
        <v>3160</v>
      </c>
      <c r="BS99" s="302">
        <v>4550</v>
      </c>
      <c r="BT99" s="300">
        <v>2090</v>
      </c>
      <c r="BU99">
        <v>3510</v>
      </c>
      <c r="BV99" s="300">
        <v>950</v>
      </c>
      <c r="BW99" s="300">
        <v>1127</v>
      </c>
      <c r="BX99" s="300">
        <v>2037</v>
      </c>
      <c r="BY99" s="300">
        <v>584</v>
      </c>
      <c r="BZ99" s="300">
        <v>1438</v>
      </c>
      <c r="CA99" s="300">
        <v>579.88</v>
      </c>
      <c r="CB99" s="300">
        <v>525.1</v>
      </c>
      <c r="CC99" s="300">
        <v>510</v>
      </c>
      <c r="CD99" s="300">
        <v>514</v>
      </c>
      <c r="CE99" s="300">
        <v>556.16999999999996</v>
      </c>
      <c r="CF99" s="300">
        <v>1580</v>
      </c>
      <c r="CG99" s="300">
        <v>1775</v>
      </c>
      <c r="CH99" s="300">
        <v>1660</v>
      </c>
      <c r="CI99" s="300">
        <v>1800</v>
      </c>
      <c r="CJ99" s="300">
        <v>1970</v>
      </c>
      <c r="CK99" s="300">
        <v>2340</v>
      </c>
      <c r="CL99" s="300">
        <v>1800</v>
      </c>
      <c r="CM99" s="300">
        <v>3000</v>
      </c>
      <c r="CN99" s="300">
        <v>609.98</v>
      </c>
      <c r="CO99" s="300">
        <v>1107.5999999999999</v>
      </c>
      <c r="CP99" s="254">
        <v>12</v>
      </c>
      <c r="CQ99" s="254"/>
      <c r="CR99" s="254"/>
      <c r="CS99" s="254"/>
      <c r="CT99" s="254"/>
      <c r="CW99" s="277"/>
      <c r="CX99" s="277"/>
      <c r="CY99" s="277"/>
    </row>
    <row r="100" spans="1:103" x14ac:dyDescent="0.2">
      <c r="A100" s="254">
        <v>12.25</v>
      </c>
      <c r="B100" s="122">
        <f t="shared" si="1"/>
        <v>4.8817366490607146E-2</v>
      </c>
      <c r="C100" s="122">
        <f t="shared" si="2"/>
        <v>5.011071177773338E-2</v>
      </c>
      <c r="D100" s="122">
        <f t="shared" si="3"/>
        <v>147.70173798352795</v>
      </c>
      <c r="E100" s="122">
        <f t="shared" si="4"/>
        <v>101.17039986672249</v>
      </c>
      <c r="F100" s="122">
        <f t="shared" si="10"/>
        <v>75.166067666600071</v>
      </c>
      <c r="G100" s="299">
        <f>HLOOKUP('Input &amp; Summary'!$B$6,'AEP Input Output sheet'!$N$50:$CO$211,ROW(G100)-49,0)</f>
        <v>1500</v>
      </c>
      <c r="H100" s="122">
        <f t="shared" si="5"/>
        <v>1662.9519221382577</v>
      </c>
      <c r="I100" s="247">
        <f t="shared" si="6"/>
        <v>0.90201044301465383</v>
      </c>
      <c r="J100" s="254">
        <f t="shared" si="7"/>
        <v>2238.2641016701759</v>
      </c>
      <c r="K100" s="122">
        <f t="shared" si="8"/>
        <v>2049.9231316795622</v>
      </c>
      <c r="L100" s="122">
        <f t="shared" si="11"/>
        <v>1662.9519221382577</v>
      </c>
      <c r="M100" s="122"/>
      <c r="N100" s="254">
        <f t="shared" si="9"/>
        <v>1500</v>
      </c>
      <c r="O100" s="452">
        <v>1445.625</v>
      </c>
      <c r="P100" s="452">
        <v>3373.125</v>
      </c>
      <c r="Q100" s="452">
        <v>4818.75</v>
      </c>
      <c r="R100" s="452">
        <v>1465.8750000000002</v>
      </c>
      <c r="S100" s="452">
        <v>3420.3750000000009</v>
      </c>
      <c r="T100" s="452">
        <v>4886.25</v>
      </c>
      <c r="U100" s="452">
        <v>1484.6249999999998</v>
      </c>
      <c r="V100" s="452">
        <v>3464.1249999999995</v>
      </c>
      <c r="W100" s="452">
        <v>4948.7499999999991</v>
      </c>
      <c r="X100" s="300">
        <v>1500</v>
      </c>
      <c r="Y100" s="300">
        <v>1500</v>
      </c>
      <c r="Z100" s="300">
        <v>787.5</v>
      </c>
      <c r="AA100" s="300">
        <v>842.5</v>
      </c>
      <c r="AB100" s="254">
        <f>(AB101-AB99)/2+AB99</f>
        <v>4940</v>
      </c>
      <c r="AC100" s="300">
        <v>1175</v>
      </c>
      <c r="AD100" s="300">
        <v>2390</v>
      </c>
      <c r="AE100" s="300">
        <v>2370</v>
      </c>
      <c r="AF100" s="300">
        <v>2300</v>
      </c>
      <c r="AG100" s="300">
        <v>2230</v>
      </c>
      <c r="AH100" s="300">
        <v>1930</v>
      </c>
      <c r="AI100" s="300">
        <v>460.39</v>
      </c>
      <c r="AJ100" s="300">
        <v>750</v>
      </c>
      <c r="AK100" s="300">
        <v>1500</v>
      </c>
      <c r="AL100" s="300">
        <v>1500</v>
      </c>
      <c r="AM100" s="300">
        <v>2150</v>
      </c>
      <c r="AN100" s="300">
        <v>2460</v>
      </c>
      <c r="AO100" s="300">
        <v>2500</v>
      </c>
      <c r="AP100" s="300">
        <v>760.25</v>
      </c>
      <c r="AQ100" s="300">
        <v>795.07500000000005</v>
      </c>
      <c r="AR100" s="300">
        <v>1847.25</v>
      </c>
      <c r="AS100" s="300">
        <v>1943.5749999999998</v>
      </c>
      <c r="AT100" s="300">
        <v>1967.9</v>
      </c>
      <c r="AU100" s="300">
        <v>1468.5</v>
      </c>
      <c r="AV100" s="300">
        <v>1460</v>
      </c>
      <c r="AW100" s="300">
        <v>1500</v>
      </c>
      <c r="AX100" s="300">
        <v>2480</v>
      </c>
      <c r="AY100" s="300">
        <v>916.32</v>
      </c>
      <c r="AZ100" s="300">
        <v>994.56</v>
      </c>
      <c r="BA100" s="300">
        <v>2400</v>
      </c>
      <c r="BB100" s="300">
        <v>2390</v>
      </c>
      <c r="BC100" s="254">
        <f>(BC101-BC99)/2+BC99</f>
        <v>4897.5</v>
      </c>
      <c r="BD100" s="300">
        <v>576.83000000000004</v>
      </c>
      <c r="BE100" s="300">
        <v>642.23</v>
      </c>
      <c r="BF100" s="300">
        <v>760.46</v>
      </c>
      <c r="BG100" s="300">
        <v>1432.25</v>
      </c>
      <c r="BH100" s="300">
        <v>1639.75</v>
      </c>
      <c r="BI100" s="300">
        <v>546.12250000000006</v>
      </c>
      <c r="BJ100" s="300">
        <v>1043</v>
      </c>
      <c r="BK100" s="300">
        <v>2247.5</v>
      </c>
      <c r="BL100" s="300">
        <v>2073.25</v>
      </c>
      <c r="BM100" s="300">
        <v>2406.5</v>
      </c>
      <c r="BN100" s="300">
        <v>2387.5</v>
      </c>
      <c r="BO100" s="300">
        <v>2468.5</v>
      </c>
      <c r="BP100" s="300">
        <v>1700</v>
      </c>
      <c r="BQ100" s="300">
        <v>2040</v>
      </c>
      <c r="BR100" s="300">
        <v>3260</v>
      </c>
      <c r="BS100" s="254">
        <f>(BS103-BS99)/4+BS99</f>
        <v>4637.5</v>
      </c>
      <c r="BT100" s="300">
        <v>2130</v>
      </c>
      <c r="BU100">
        <v>3540</v>
      </c>
      <c r="BV100" s="300">
        <v>950</v>
      </c>
      <c r="BW100" s="300">
        <v>1144.75</v>
      </c>
      <c r="BX100" s="300">
        <v>2049.75</v>
      </c>
      <c r="BY100" s="300">
        <v>588</v>
      </c>
      <c r="BZ100" s="300">
        <v>1446.75</v>
      </c>
      <c r="CA100" s="300">
        <v>587.20000000000005</v>
      </c>
      <c r="CB100" s="300">
        <v>534.9</v>
      </c>
      <c r="CC100" s="300">
        <v>521.5</v>
      </c>
      <c r="CD100" s="300">
        <v>525</v>
      </c>
      <c r="CE100" s="300">
        <v>569.99</v>
      </c>
      <c r="CF100" s="300">
        <v>1600</v>
      </c>
      <c r="CG100" s="300">
        <v>1780.5</v>
      </c>
      <c r="CH100" s="300">
        <v>1710</v>
      </c>
      <c r="CI100" s="300">
        <v>1800</v>
      </c>
      <c r="CJ100" s="300">
        <v>1980</v>
      </c>
      <c r="CK100" s="300">
        <v>2440</v>
      </c>
      <c r="CL100" s="300">
        <v>1800</v>
      </c>
      <c r="CM100" s="300">
        <v>3000</v>
      </c>
      <c r="CN100" s="300">
        <v>634.42999999999995</v>
      </c>
      <c r="CO100" s="300">
        <v>1147.8499999999999</v>
      </c>
      <c r="CP100" s="254">
        <v>12.25</v>
      </c>
      <c r="CQ100" s="254"/>
      <c r="CR100" s="254"/>
      <c r="CS100" s="254"/>
      <c r="CT100" s="254"/>
      <c r="CW100" s="277"/>
      <c r="CX100" s="277"/>
      <c r="CY100" s="277"/>
    </row>
    <row r="101" spans="1:103" x14ac:dyDescent="0.2">
      <c r="A101" s="254">
        <v>12.5</v>
      </c>
      <c r="B101" s="122">
        <f t="shared" si="1"/>
        <v>4.6271593856010221E-2</v>
      </c>
      <c r="C101" s="122">
        <f t="shared" si="2"/>
        <v>4.7311037734421059E-2</v>
      </c>
      <c r="D101" s="122">
        <f t="shared" si="3"/>
        <v>148.16283558919648</v>
      </c>
      <c r="E101" s="122">
        <f t="shared" si="4"/>
        <v>101.48623521016495</v>
      </c>
      <c r="F101" s="122">
        <f t="shared" si="10"/>
        <v>70.966556601631595</v>
      </c>
      <c r="G101" s="299">
        <f>HLOOKUP('Input &amp; Summary'!$B$6,'AEP Input Output sheet'!$N$50:$CO$211,ROW(G101)-49,0)</f>
        <v>1500</v>
      </c>
      <c r="H101" s="122">
        <f t="shared" si="5"/>
        <v>1662.9519221382577</v>
      </c>
      <c r="I101" s="247">
        <f t="shared" si="6"/>
        <v>0.90201044301465383</v>
      </c>
      <c r="J101" s="254">
        <f t="shared" si="7"/>
        <v>2378.1163691044717</v>
      </c>
      <c r="K101" s="122">
        <f t="shared" si="8"/>
        <v>2142.2658228472865</v>
      </c>
      <c r="L101" s="122">
        <f t="shared" si="11"/>
        <v>1662.9519221382577</v>
      </c>
      <c r="M101" s="122"/>
      <c r="N101" s="254">
        <f t="shared" si="9"/>
        <v>1500</v>
      </c>
      <c r="O101" s="452">
        <v>1457.2500000000002</v>
      </c>
      <c r="P101" s="452">
        <v>3400.25</v>
      </c>
      <c r="Q101" s="452">
        <v>4857.5</v>
      </c>
      <c r="R101" s="452">
        <v>1473.7500000000002</v>
      </c>
      <c r="S101" s="452">
        <v>3438.7500000000005</v>
      </c>
      <c r="T101" s="452">
        <v>4912.5000000000009</v>
      </c>
      <c r="U101" s="452">
        <v>1488.75</v>
      </c>
      <c r="V101" s="452">
        <v>3473.75</v>
      </c>
      <c r="W101" s="452">
        <v>4962.4999999999991</v>
      </c>
      <c r="X101" s="300">
        <v>1500</v>
      </c>
      <c r="Y101" s="300">
        <v>1500</v>
      </c>
      <c r="Z101" s="300">
        <v>796.875</v>
      </c>
      <c r="AA101" s="300">
        <v>852.625</v>
      </c>
      <c r="AB101" s="302">
        <v>5000</v>
      </c>
      <c r="AC101" s="300">
        <v>1191.5</v>
      </c>
      <c r="AD101" s="300">
        <v>2420</v>
      </c>
      <c r="AE101" s="300">
        <v>2410</v>
      </c>
      <c r="AF101" s="300">
        <v>2350</v>
      </c>
      <c r="AG101" s="300">
        <v>2280</v>
      </c>
      <c r="AH101" s="300">
        <v>1950</v>
      </c>
      <c r="AI101" s="300">
        <v>478.39</v>
      </c>
      <c r="AJ101" s="300">
        <v>750</v>
      </c>
      <c r="AK101" s="300">
        <v>1500</v>
      </c>
      <c r="AL101" s="300">
        <v>1500</v>
      </c>
      <c r="AM101" s="300">
        <v>2230</v>
      </c>
      <c r="AN101" s="300">
        <v>2480</v>
      </c>
      <c r="AO101" s="300">
        <v>2500</v>
      </c>
      <c r="AP101" s="300">
        <v>769.5</v>
      </c>
      <c r="AQ101" s="300">
        <v>810.25</v>
      </c>
      <c r="AR101" s="300">
        <v>1876.5</v>
      </c>
      <c r="AS101" s="300">
        <v>1956.0499999999997</v>
      </c>
      <c r="AT101" s="300">
        <v>1975.4</v>
      </c>
      <c r="AU101" s="300">
        <v>1477</v>
      </c>
      <c r="AV101" s="300">
        <v>1470</v>
      </c>
      <c r="AW101" s="300">
        <v>1500</v>
      </c>
      <c r="AX101" s="300">
        <v>2500</v>
      </c>
      <c r="AY101" s="300">
        <v>941.12</v>
      </c>
      <c r="AZ101" s="300">
        <v>1000</v>
      </c>
      <c r="BA101" s="300">
        <v>2400</v>
      </c>
      <c r="BB101" s="300">
        <v>2400</v>
      </c>
      <c r="BC101" s="302">
        <v>5000</v>
      </c>
      <c r="BD101" s="300">
        <v>592.17999999999995</v>
      </c>
      <c r="BE101" s="300">
        <v>656.66</v>
      </c>
      <c r="BF101" s="300">
        <v>778.56</v>
      </c>
      <c r="BG101" s="300">
        <v>1438.5</v>
      </c>
      <c r="BH101" s="300">
        <v>1642.5</v>
      </c>
      <c r="BI101" s="300">
        <v>558.66500000000008</v>
      </c>
      <c r="BJ101" s="300">
        <v>1070</v>
      </c>
      <c r="BK101" s="300">
        <v>2265</v>
      </c>
      <c r="BL101" s="300">
        <v>2142.5</v>
      </c>
      <c r="BM101" s="300">
        <v>2443</v>
      </c>
      <c r="BN101" s="300">
        <v>2430</v>
      </c>
      <c r="BO101" s="300">
        <v>2479</v>
      </c>
      <c r="BP101" s="300">
        <v>1770</v>
      </c>
      <c r="BQ101" s="300">
        <v>2050</v>
      </c>
      <c r="BR101" s="300">
        <v>3300</v>
      </c>
      <c r="BS101" s="254">
        <f>(BS103-BS99)/4+BS100</f>
        <v>4725</v>
      </c>
      <c r="BT101" s="300">
        <v>2190</v>
      </c>
      <c r="BU101">
        <v>3560</v>
      </c>
      <c r="BV101" s="300">
        <v>950</v>
      </c>
      <c r="BW101" s="300">
        <v>1162.5</v>
      </c>
      <c r="BX101" s="300">
        <v>2062.5</v>
      </c>
      <c r="BY101" s="300">
        <v>592</v>
      </c>
      <c r="BZ101" s="300">
        <v>1455.5</v>
      </c>
      <c r="CA101" s="300">
        <v>600</v>
      </c>
      <c r="CB101" s="300">
        <v>544.69999999999993</v>
      </c>
      <c r="CC101" s="300">
        <v>533</v>
      </c>
      <c r="CD101" s="300">
        <v>536</v>
      </c>
      <c r="CE101" s="300">
        <v>583.79999999999995</v>
      </c>
      <c r="CF101" s="300">
        <v>1610</v>
      </c>
      <c r="CG101" s="300">
        <v>1786</v>
      </c>
      <c r="CH101" s="300">
        <v>1750</v>
      </c>
      <c r="CI101" s="300">
        <v>1800</v>
      </c>
      <c r="CJ101" s="300">
        <v>1990</v>
      </c>
      <c r="CK101" s="300">
        <v>2540</v>
      </c>
      <c r="CL101" s="300">
        <v>1800</v>
      </c>
      <c r="CM101" s="300">
        <v>3000</v>
      </c>
      <c r="CN101" s="300">
        <v>652.77</v>
      </c>
      <c r="CO101" s="300">
        <v>1188.0999999999999</v>
      </c>
      <c r="CP101" s="254">
        <v>12.5</v>
      </c>
      <c r="CQ101" s="254"/>
      <c r="CR101" s="254"/>
      <c r="CS101" s="254"/>
      <c r="CT101" s="254"/>
      <c r="CW101" s="277"/>
      <c r="CX101" s="277"/>
      <c r="CY101" s="277"/>
    </row>
    <row r="102" spans="1:103" x14ac:dyDescent="0.2">
      <c r="A102" s="254">
        <v>12.75</v>
      </c>
      <c r="B102" s="122">
        <f t="shared" si="1"/>
        <v>4.3775757629808315E-2</v>
      </c>
      <c r="C102" s="122">
        <f t="shared" si="2"/>
        <v>4.4569027587527899E-2</v>
      </c>
      <c r="D102" s="122">
        <f t="shared" si="3"/>
        <v>148.11890097537142</v>
      </c>
      <c r="E102" s="122">
        <f t="shared" si="4"/>
        <v>101.45614157342543</v>
      </c>
      <c r="F102" s="122">
        <f t="shared" si="10"/>
        <v>66.853541381291848</v>
      </c>
      <c r="G102" s="299">
        <f>HLOOKUP('Input &amp; Summary'!$B$6,'AEP Input Output sheet'!$N$50:$CO$211,ROW(G102)-49,0)</f>
        <v>1500</v>
      </c>
      <c r="H102" s="122">
        <f t="shared" si="5"/>
        <v>1662.9519221382577</v>
      </c>
      <c r="I102" s="247">
        <f t="shared" si="6"/>
        <v>0.90201044301465383</v>
      </c>
      <c r="J102" s="254">
        <f t="shared" si="7"/>
        <v>2523.676115824619</v>
      </c>
      <c r="K102" s="122">
        <f t="shared" si="8"/>
        <v>2234.6085140150108</v>
      </c>
      <c r="L102" s="122">
        <f t="shared" si="11"/>
        <v>1662.9519221382577</v>
      </c>
      <c r="M102" s="122"/>
      <c r="N102" s="254">
        <f t="shared" si="9"/>
        <v>1500</v>
      </c>
      <c r="O102" s="452">
        <v>1468.8750000000002</v>
      </c>
      <c r="P102" s="452">
        <v>3427.375</v>
      </c>
      <c r="Q102" s="452">
        <v>4896.25</v>
      </c>
      <c r="R102" s="452">
        <v>1481.6250000000002</v>
      </c>
      <c r="S102" s="452">
        <v>3457.1250000000005</v>
      </c>
      <c r="T102" s="452">
        <v>4938.7500000000009</v>
      </c>
      <c r="U102" s="452">
        <v>1492.875</v>
      </c>
      <c r="V102" s="452">
        <v>3483.3749999999995</v>
      </c>
      <c r="W102" s="452">
        <v>4976.25</v>
      </c>
      <c r="X102" s="300">
        <v>1500</v>
      </c>
      <c r="Y102" s="300">
        <v>1500</v>
      </c>
      <c r="Z102" s="300">
        <v>806.25</v>
      </c>
      <c r="AA102" s="300">
        <v>862.75</v>
      </c>
      <c r="AB102" s="302">
        <v>5000</v>
      </c>
      <c r="AC102" s="300">
        <v>1208</v>
      </c>
      <c r="AD102" s="300">
        <v>2440</v>
      </c>
      <c r="AE102" s="300">
        <v>2430</v>
      </c>
      <c r="AF102" s="300">
        <v>2390</v>
      </c>
      <c r="AG102" s="300">
        <v>2330</v>
      </c>
      <c r="AH102" s="300">
        <v>1980</v>
      </c>
      <c r="AI102" s="300">
        <v>487.37</v>
      </c>
      <c r="AJ102" s="300">
        <v>750</v>
      </c>
      <c r="AK102" s="300">
        <v>1510</v>
      </c>
      <c r="AL102" s="300">
        <v>1500</v>
      </c>
      <c r="AM102" s="300">
        <v>2300</v>
      </c>
      <c r="AN102" s="300">
        <v>2500</v>
      </c>
      <c r="AO102" s="300">
        <v>2500</v>
      </c>
      <c r="AP102" s="300">
        <v>778.75</v>
      </c>
      <c r="AQ102" s="300">
        <v>825.42499999999995</v>
      </c>
      <c r="AR102" s="300">
        <v>1905.75</v>
      </c>
      <c r="AS102" s="300">
        <v>1968.5249999999996</v>
      </c>
      <c r="AT102" s="300">
        <v>1982.9</v>
      </c>
      <c r="AU102" s="300">
        <v>1485.5</v>
      </c>
      <c r="AV102" s="300">
        <v>1475</v>
      </c>
      <c r="AW102" s="300">
        <v>1500</v>
      </c>
      <c r="AX102" s="300">
        <v>2500</v>
      </c>
      <c r="AY102" s="300">
        <v>961.78</v>
      </c>
      <c r="AZ102" s="300">
        <v>1000</v>
      </c>
      <c r="BA102" s="300">
        <v>2400</v>
      </c>
      <c r="BB102" s="300">
        <v>2400</v>
      </c>
      <c r="BC102" s="302">
        <v>5000</v>
      </c>
      <c r="BD102" s="300">
        <v>615.16999999999996</v>
      </c>
      <c r="BE102" s="300">
        <v>671.09</v>
      </c>
      <c r="BF102" s="300">
        <v>792.67</v>
      </c>
      <c r="BG102" s="300">
        <v>1444.75</v>
      </c>
      <c r="BH102" s="300">
        <v>1645.25</v>
      </c>
      <c r="BI102" s="300">
        <v>571.2075000000001</v>
      </c>
      <c r="BJ102" s="300">
        <v>1097</v>
      </c>
      <c r="BK102" s="300">
        <v>2282.5</v>
      </c>
      <c r="BL102" s="300">
        <v>2211.75</v>
      </c>
      <c r="BM102" s="300">
        <v>2471.5</v>
      </c>
      <c r="BN102" s="300">
        <v>2452.5</v>
      </c>
      <c r="BO102" s="300">
        <v>2489.5</v>
      </c>
      <c r="BP102" s="300">
        <v>1820</v>
      </c>
      <c r="BQ102" s="300">
        <v>2050</v>
      </c>
      <c r="BR102" s="300">
        <v>3300</v>
      </c>
      <c r="BS102" s="254">
        <f>(BS103-BS99)/4+BS101</f>
        <v>4812.5</v>
      </c>
      <c r="BT102" s="300">
        <v>2230</v>
      </c>
      <c r="BU102">
        <v>3570</v>
      </c>
      <c r="BV102" s="300">
        <v>950</v>
      </c>
      <c r="BW102" s="300">
        <v>1180.25</v>
      </c>
      <c r="BX102" s="300">
        <v>2075.25</v>
      </c>
      <c r="BY102" s="300">
        <v>596</v>
      </c>
      <c r="BZ102" s="300">
        <v>1464.25</v>
      </c>
      <c r="CA102" s="300">
        <v>600</v>
      </c>
      <c r="CB102" s="300">
        <v>554.49999999999989</v>
      </c>
      <c r="CC102" s="300">
        <v>544.5</v>
      </c>
      <c r="CD102" s="300">
        <v>547</v>
      </c>
      <c r="CE102" s="300">
        <v>596.1</v>
      </c>
      <c r="CF102" s="300">
        <v>1620</v>
      </c>
      <c r="CG102" s="300">
        <v>1791.5</v>
      </c>
      <c r="CH102" s="300">
        <v>1800</v>
      </c>
      <c r="CI102" s="300">
        <v>1800</v>
      </c>
      <c r="CJ102" s="300">
        <v>2000</v>
      </c>
      <c r="CK102" s="300">
        <v>2640</v>
      </c>
      <c r="CL102" s="300">
        <v>1800</v>
      </c>
      <c r="CM102" s="300">
        <v>3000</v>
      </c>
      <c r="CN102" s="300">
        <v>677.21</v>
      </c>
      <c r="CO102" s="300">
        <v>1228.3499999999999</v>
      </c>
      <c r="CP102" s="254">
        <v>12.75</v>
      </c>
      <c r="CQ102" s="254"/>
      <c r="CR102" s="254"/>
      <c r="CS102" s="254"/>
      <c r="CT102" s="254"/>
      <c r="CW102" s="277"/>
      <c r="CX102" s="277"/>
      <c r="CY102" s="277"/>
    </row>
    <row r="103" spans="1:103" x14ac:dyDescent="0.2">
      <c r="A103" s="254">
        <v>13</v>
      </c>
      <c r="B103" s="122">
        <f t="shared" si="1"/>
        <v>4.1336978702143555E-2</v>
      </c>
      <c r="C103" s="122">
        <f t="shared" si="2"/>
        <v>4.1893681046549412E-2</v>
      </c>
      <c r="D103" s="122">
        <f t="shared" si="3"/>
        <v>147.57926627368357</v>
      </c>
      <c r="E103" s="122">
        <f t="shared" si="4"/>
        <v>101.08651113239561</v>
      </c>
      <c r="F103" s="122">
        <f t="shared" si="10"/>
        <v>62.840521569824119</v>
      </c>
      <c r="G103" s="299">
        <f>HLOOKUP('Input &amp; Summary'!$B$6,'AEP Input Output sheet'!$N$50:$CO$211,ROW(G103)-49,0)</f>
        <v>1500</v>
      </c>
      <c r="H103" s="122">
        <f t="shared" si="5"/>
        <v>1662.9519221382577</v>
      </c>
      <c r="I103" s="247">
        <f t="shared" si="6"/>
        <v>0.90201044301465383</v>
      </c>
      <c r="J103" s="254">
        <f t="shared" si="7"/>
        <v>2675.0574914163326</v>
      </c>
      <c r="K103" s="122">
        <f t="shared" si="8"/>
        <v>2326.9512051827351</v>
      </c>
      <c r="L103" s="122">
        <f t="shared" si="11"/>
        <v>1662.9519221382577</v>
      </c>
      <c r="M103" s="122"/>
      <c r="N103" s="254">
        <f t="shared" si="9"/>
        <v>1500</v>
      </c>
      <c r="O103" s="452">
        <v>1480.5000000000002</v>
      </c>
      <c r="P103" s="452">
        <v>3454.5000000000005</v>
      </c>
      <c r="Q103" s="452">
        <v>4935.0000000000009</v>
      </c>
      <c r="R103" s="452">
        <v>1489.5</v>
      </c>
      <c r="S103" s="452">
        <v>3475.5000000000005</v>
      </c>
      <c r="T103" s="452">
        <v>4965.0000000000009</v>
      </c>
      <c r="U103" s="452">
        <v>1497</v>
      </c>
      <c r="V103" s="452">
        <v>3493</v>
      </c>
      <c r="W103" s="452">
        <v>4990</v>
      </c>
      <c r="X103" s="300">
        <v>1500</v>
      </c>
      <c r="Y103" s="300">
        <v>1500</v>
      </c>
      <c r="Z103" s="300">
        <v>825</v>
      </c>
      <c r="AA103" s="300">
        <v>883</v>
      </c>
      <c r="AB103" s="302">
        <v>5000</v>
      </c>
      <c r="AC103" s="300">
        <v>1241</v>
      </c>
      <c r="AD103" s="300">
        <v>2460</v>
      </c>
      <c r="AE103" s="300">
        <v>2450</v>
      </c>
      <c r="AF103" s="300">
        <v>2440</v>
      </c>
      <c r="AG103" s="300">
        <v>2380</v>
      </c>
      <c r="AH103" s="300">
        <v>1990</v>
      </c>
      <c r="AI103" s="300">
        <v>503.56</v>
      </c>
      <c r="AJ103" s="300">
        <v>750</v>
      </c>
      <c r="AK103" s="300">
        <v>1510</v>
      </c>
      <c r="AL103" s="300">
        <v>1500</v>
      </c>
      <c r="AM103" s="300">
        <v>2350</v>
      </c>
      <c r="AN103" s="300">
        <v>2500</v>
      </c>
      <c r="AO103" s="300">
        <v>2500</v>
      </c>
      <c r="AP103" s="300">
        <v>788</v>
      </c>
      <c r="AQ103" s="300">
        <v>840.6</v>
      </c>
      <c r="AR103" s="300">
        <v>1935</v>
      </c>
      <c r="AS103" s="300">
        <v>1981</v>
      </c>
      <c r="AT103" s="300">
        <v>1990.4</v>
      </c>
      <c r="AU103" s="300">
        <v>1494</v>
      </c>
      <c r="AV103" s="300">
        <v>1480</v>
      </c>
      <c r="AW103" s="300">
        <v>1500</v>
      </c>
      <c r="AX103" s="300">
        <v>2500</v>
      </c>
      <c r="AY103" s="300">
        <v>976.24</v>
      </c>
      <c r="AZ103" s="300">
        <v>1000</v>
      </c>
      <c r="BA103" s="300">
        <v>2400</v>
      </c>
      <c r="BB103" s="300">
        <v>2400</v>
      </c>
      <c r="BC103" s="302">
        <v>5000</v>
      </c>
      <c r="BD103" s="300">
        <v>634.35</v>
      </c>
      <c r="BE103" s="300">
        <v>685.52</v>
      </c>
      <c r="BF103" s="300">
        <v>814.8</v>
      </c>
      <c r="BG103" s="300">
        <v>1451</v>
      </c>
      <c r="BH103" s="300">
        <v>1648</v>
      </c>
      <c r="BI103" s="300">
        <v>583.75</v>
      </c>
      <c r="BJ103" s="300">
        <v>1124</v>
      </c>
      <c r="BK103" s="300">
        <v>2300</v>
      </c>
      <c r="BL103" s="300">
        <v>2281</v>
      </c>
      <c r="BM103" s="300">
        <v>2500</v>
      </c>
      <c r="BN103" s="300">
        <v>2475</v>
      </c>
      <c r="BO103" s="300">
        <v>2500</v>
      </c>
      <c r="BP103" s="300">
        <v>1870</v>
      </c>
      <c r="BQ103" s="300">
        <v>2050</v>
      </c>
      <c r="BR103" s="300">
        <v>3300</v>
      </c>
      <c r="BS103" s="302">
        <v>4900</v>
      </c>
      <c r="BT103" s="300">
        <v>2260</v>
      </c>
      <c r="BU103">
        <v>3590</v>
      </c>
      <c r="BV103" s="300">
        <v>950</v>
      </c>
      <c r="BW103" s="300">
        <v>1198</v>
      </c>
      <c r="BX103" s="300">
        <v>2088</v>
      </c>
      <c r="BY103" s="300">
        <v>600</v>
      </c>
      <c r="BZ103" s="300">
        <v>1473</v>
      </c>
      <c r="CA103" s="300">
        <v>605.49</v>
      </c>
      <c r="CB103" s="300">
        <v>564.29999999999995</v>
      </c>
      <c r="CC103" s="300">
        <v>556</v>
      </c>
      <c r="CD103" s="300">
        <v>558</v>
      </c>
      <c r="CE103" s="300">
        <v>606.85</v>
      </c>
      <c r="CF103" s="300">
        <v>1630</v>
      </c>
      <c r="CG103" s="300">
        <v>1797</v>
      </c>
      <c r="CH103" s="300">
        <v>1830</v>
      </c>
      <c r="CI103" s="300">
        <v>1800</v>
      </c>
      <c r="CJ103" s="300">
        <v>2000</v>
      </c>
      <c r="CK103" s="300">
        <v>2730</v>
      </c>
      <c r="CL103" s="300">
        <v>1800</v>
      </c>
      <c r="CM103" s="300">
        <v>3000</v>
      </c>
      <c r="CN103" s="300">
        <v>698.63</v>
      </c>
      <c r="CO103" s="300">
        <v>1268.5999999999999</v>
      </c>
      <c r="CP103" s="254">
        <v>13</v>
      </c>
      <c r="CQ103" s="254"/>
      <c r="CR103" s="254"/>
      <c r="CS103" s="254"/>
      <c r="CT103" s="254"/>
      <c r="CW103" s="277"/>
      <c r="CX103" s="277"/>
      <c r="CY103" s="277"/>
    </row>
    <row r="104" spans="1:103" x14ac:dyDescent="0.2">
      <c r="A104" s="254">
        <v>13.25</v>
      </c>
      <c r="B104" s="122">
        <f t="shared" si="1"/>
        <v>3.8961529878934392E-2</v>
      </c>
      <c r="C104" s="122">
        <f t="shared" si="2"/>
        <v>3.9292898178219508E-2</v>
      </c>
      <c r="D104" s="122">
        <f t="shared" si="3"/>
        <v>146.55764088472742</v>
      </c>
      <c r="E104" s="122">
        <f t="shared" si="4"/>
        <v>100.38673433541429</v>
      </c>
      <c r="F104" s="122">
        <f t="shared" si="10"/>
        <v>58.939347267329261</v>
      </c>
      <c r="G104" s="299">
        <f>HLOOKUP('Input &amp; Summary'!$B$6,'AEP Input Output sheet'!$N$50:$CO$211,ROW(G104)-49,0)</f>
        <v>1500</v>
      </c>
      <c r="H104" s="122">
        <f t="shared" si="5"/>
        <v>1662.9519221382577</v>
      </c>
      <c r="I104" s="247">
        <f t="shared" si="6"/>
        <v>0.90201044301465383</v>
      </c>
      <c r="J104" s="254">
        <f t="shared" si="7"/>
        <v>2832.3746454653315</v>
      </c>
      <c r="K104" s="122">
        <f t="shared" si="8"/>
        <v>2419.2938963504594</v>
      </c>
      <c r="L104" s="122">
        <f t="shared" si="11"/>
        <v>1662.9519221382577</v>
      </c>
      <c r="M104" s="122"/>
      <c r="N104" s="254">
        <f t="shared" si="9"/>
        <v>1500</v>
      </c>
      <c r="O104" s="452">
        <v>1483.125</v>
      </c>
      <c r="P104" s="452">
        <v>3460.6250000000005</v>
      </c>
      <c r="Q104" s="452">
        <v>4943.75</v>
      </c>
      <c r="R104" s="452">
        <v>1491.3750000000002</v>
      </c>
      <c r="S104" s="452">
        <v>3479.8750000000005</v>
      </c>
      <c r="T104" s="452">
        <v>4971.25</v>
      </c>
      <c r="U104" s="452">
        <v>1497.375</v>
      </c>
      <c r="V104" s="452">
        <v>3493.875</v>
      </c>
      <c r="W104" s="452">
        <v>4991.25</v>
      </c>
      <c r="X104" s="300">
        <v>1500</v>
      </c>
      <c r="Y104" s="300">
        <v>1500</v>
      </c>
      <c r="Z104" s="300">
        <v>837.5</v>
      </c>
      <c r="AA104" s="300">
        <v>887.25</v>
      </c>
      <c r="AB104" s="302">
        <v>5000</v>
      </c>
      <c r="AC104" s="300">
        <v>1250.75</v>
      </c>
      <c r="AD104" s="300">
        <v>2500</v>
      </c>
      <c r="AE104" s="300">
        <v>2460</v>
      </c>
      <c r="AF104" s="300">
        <v>2450</v>
      </c>
      <c r="AG104" s="300">
        <v>2420</v>
      </c>
      <c r="AH104" s="300">
        <v>2000</v>
      </c>
      <c r="AI104" s="300">
        <v>525.19000000000005</v>
      </c>
      <c r="AJ104" s="300">
        <v>750</v>
      </c>
      <c r="AK104" s="300">
        <v>1510</v>
      </c>
      <c r="AL104" s="300">
        <v>1500</v>
      </c>
      <c r="AM104" s="300">
        <v>2405</v>
      </c>
      <c r="AN104" s="300">
        <v>2500</v>
      </c>
      <c r="AO104" s="300">
        <v>2500</v>
      </c>
      <c r="AP104" s="300">
        <v>789.5</v>
      </c>
      <c r="AQ104" s="300">
        <v>842.45</v>
      </c>
      <c r="AR104" s="300">
        <v>1946.25</v>
      </c>
      <c r="AS104" s="300">
        <v>1984.575</v>
      </c>
      <c r="AT104" s="300">
        <v>1992.2750000000001</v>
      </c>
      <c r="AU104" s="300">
        <v>1497</v>
      </c>
      <c r="AV104" s="300">
        <v>1485</v>
      </c>
      <c r="AW104" s="300">
        <v>1500</v>
      </c>
      <c r="AX104" s="300">
        <v>2500</v>
      </c>
      <c r="AY104" s="300">
        <v>989</v>
      </c>
      <c r="AZ104" s="300">
        <v>1000</v>
      </c>
      <c r="BA104" s="300">
        <v>2400</v>
      </c>
      <c r="BB104" s="300">
        <v>2400</v>
      </c>
      <c r="BC104" s="302">
        <v>5000</v>
      </c>
      <c r="BD104" s="300">
        <v>657.34</v>
      </c>
      <c r="BE104" s="300">
        <v>697.07</v>
      </c>
      <c r="BF104" s="300">
        <v>828.9</v>
      </c>
      <c r="BG104" s="300">
        <v>1459</v>
      </c>
      <c r="BH104" s="300">
        <v>1648.5</v>
      </c>
      <c r="BI104" s="300">
        <v>592.48249999999996</v>
      </c>
      <c r="BJ104" s="300">
        <v>1154.75</v>
      </c>
      <c r="BK104" s="300">
        <v>2300</v>
      </c>
      <c r="BL104" s="300">
        <v>2326.5</v>
      </c>
      <c r="BM104" s="300">
        <v>2500</v>
      </c>
      <c r="BN104" s="300">
        <v>2482.5</v>
      </c>
      <c r="BO104" s="300">
        <v>2500</v>
      </c>
      <c r="BP104" s="300">
        <v>1910</v>
      </c>
      <c r="BQ104" s="300">
        <v>2050</v>
      </c>
      <c r="BR104" s="300">
        <v>3300</v>
      </c>
      <c r="BS104" s="302">
        <v>5000</v>
      </c>
      <c r="BT104" s="300">
        <v>2280</v>
      </c>
      <c r="BU104">
        <v>3600</v>
      </c>
      <c r="BV104" s="300">
        <v>950</v>
      </c>
      <c r="BW104" s="300">
        <v>1211</v>
      </c>
      <c r="BX104" s="300">
        <v>2091</v>
      </c>
      <c r="BY104" s="300">
        <v>600</v>
      </c>
      <c r="BZ104" s="300">
        <v>1479.75</v>
      </c>
      <c r="CA104" s="300">
        <v>609.15</v>
      </c>
      <c r="CB104" s="300">
        <v>573.09999999999991</v>
      </c>
      <c r="CC104" s="300">
        <v>562.5</v>
      </c>
      <c r="CD104" s="300">
        <v>564</v>
      </c>
      <c r="CE104" s="300">
        <v>616.12</v>
      </c>
      <c r="CF104" s="300">
        <v>1640</v>
      </c>
      <c r="CG104" s="300">
        <v>1798.25</v>
      </c>
      <c r="CH104" s="300">
        <v>1860</v>
      </c>
      <c r="CI104" s="300">
        <v>1800</v>
      </c>
      <c r="CJ104" s="300">
        <v>2000</v>
      </c>
      <c r="CK104" s="300">
        <v>2790</v>
      </c>
      <c r="CL104" s="300">
        <v>1800</v>
      </c>
      <c r="CM104" s="300">
        <v>3000</v>
      </c>
      <c r="CN104" s="300">
        <v>713.94</v>
      </c>
      <c r="CO104" s="300">
        <v>1304.9499999999998</v>
      </c>
      <c r="CP104" s="254">
        <v>13.25</v>
      </c>
      <c r="CQ104" s="254"/>
      <c r="CR104" s="254"/>
      <c r="CS104" s="254"/>
      <c r="CT104" s="254"/>
      <c r="CW104" s="277"/>
      <c r="CX104" s="277"/>
      <c r="CY104" s="277"/>
    </row>
    <row r="105" spans="1:103" x14ac:dyDescent="0.2">
      <c r="A105" s="254">
        <v>13.5</v>
      </c>
      <c r="B105" s="122">
        <f t="shared" si="1"/>
        <v>3.6654853567328574E-2</v>
      </c>
      <c r="C105" s="122">
        <f t="shared" si="2"/>
        <v>3.677349550304819E-2</v>
      </c>
      <c r="D105" s="122">
        <f t="shared" si="3"/>
        <v>145.07179581448349</v>
      </c>
      <c r="E105" s="122">
        <f t="shared" si="4"/>
        <v>99.368983685023565</v>
      </c>
      <c r="F105" s="122">
        <f t="shared" si="10"/>
        <v>55.160243254572286</v>
      </c>
      <c r="G105" s="299">
        <f>HLOOKUP('Input &amp; Summary'!$B$6,'AEP Input Output sheet'!$N$50:$CO$211,ROW(G105)-49,0)</f>
        <v>1500</v>
      </c>
      <c r="H105" s="122">
        <f t="shared" si="5"/>
        <v>1662.9519221382577</v>
      </c>
      <c r="I105" s="247">
        <f t="shared" si="6"/>
        <v>0.90201044301465383</v>
      </c>
      <c r="J105" s="254">
        <f t="shared" si="7"/>
        <v>2995.7417275573321</v>
      </c>
      <c r="K105" s="122">
        <f t="shared" si="8"/>
        <v>2511.6365875181841</v>
      </c>
      <c r="L105" s="122">
        <f t="shared" si="11"/>
        <v>1662.9519221382577</v>
      </c>
      <c r="M105" s="122"/>
      <c r="N105" s="254">
        <f t="shared" si="9"/>
        <v>1500</v>
      </c>
      <c r="O105" s="452">
        <v>1485.75</v>
      </c>
      <c r="P105" s="452">
        <v>3466.75</v>
      </c>
      <c r="Q105" s="452">
        <v>4952.5</v>
      </c>
      <c r="R105" s="452">
        <v>1493.2500000000002</v>
      </c>
      <c r="S105" s="452">
        <v>3484.2500000000005</v>
      </c>
      <c r="T105" s="452">
        <v>4977.5</v>
      </c>
      <c r="U105" s="452">
        <v>1497.75</v>
      </c>
      <c r="V105" s="452">
        <v>3494.75</v>
      </c>
      <c r="W105" s="452">
        <v>4992.5</v>
      </c>
      <c r="X105" s="300">
        <v>1500</v>
      </c>
      <c r="Y105" s="300">
        <v>1500</v>
      </c>
      <c r="Z105" s="300">
        <v>846.875</v>
      </c>
      <c r="AA105" s="300">
        <v>890.4375</v>
      </c>
      <c r="AB105" s="302">
        <v>5000</v>
      </c>
      <c r="AC105" s="300">
        <v>1258.0625</v>
      </c>
      <c r="AD105" s="300">
        <v>2500</v>
      </c>
      <c r="AE105" s="300">
        <v>2480</v>
      </c>
      <c r="AF105" s="300">
        <v>2470</v>
      </c>
      <c r="AG105" s="300">
        <v>2445</v>
      </c>
      <c r="AH105" s="300">
        <v>2000</v>
      </c>
      <c r="AI105" s="300">
        <v>537.77</v>
      </c>
      <c r="AJ105" s="300">
        <v>750</v>
      </c>
      <c r="AK105" s="300">
        <v>1520</v>
      </c>
      <c r="AL105" s="300">
        <v>1500</v>
      </c>
      <c r="AM105" s="300">
        <v>2440</v>
      </c>
      <c r="AN105" s="300">
        <v>2500</v>
      </c>
      <c r="AO105" s="300">
        <v>2500</v>
      </c>
      <c r="AP105" s="300">
        <v>791</v>
      </c>
      <c r="AQ105" s="300">
        <v>844.30000000000007</v>
      </c>
      <c r="AR105" s="300">
        <v>1957.5</v>
      </c>
      <c r="AS105" s="300">
        <v>1988.15</v>
      </c>
      <c r="AT105" s="300">
        <v>1994.15</v>
      </c>
      <c r="AU105" s="300">
        <v>1500</v>
      </c>
      <c r="AV105" s="300">
        <v>1490</v>
      </c>
      <c r="AW105" s="300">
        <v>1500</v>
      </c>
      <c r="AX105" s="300">
        <v>2500</v>
      </c>
      <c r="AY105" s="300">
        <v>1000</v>
      </c>
      <c r="AZ105" s="300">
        <v>999.22</v>
      </c>
      <c r="BA105" s="300">
        <v>2400</v>
      </c>
      <c r="BB105" s="300">
        <v>2400</v>
      </c>
      <c r="BC105" s="302">
        <v>5000</v>
      </c>
      <c r="BD105" s="300">
        <v>676.51</v>
      </c>
      <c r="BE105" s="300">
        <v>705.75</v>
      </c>
      <c r="BF105" s="300">
        <v>840.99</v>
      </c>
      <c r="BG105" s="300">
        <v>1467</v>
      </c>
      <c r="BH105" s="300">
        <v>1649</v>
      </c>
      <c r="BI105" s="300">
        <v>601.21499999999992</v>
      </c>
      <c r="BJ105" s="300">
        <v>1185.5</v>
      </c>
      <c r="BK105" s="300">
        <v>2300</v>
      </c>
      <c r="BL105" s="300">
        <v>2372</v>
      </c>
      <c r="BM105" s="300">
        <v>2500</v>
      </c>
      <c r="BN105" s="300">
        <v>2490</v>
      </c>
      <c r="BO105" s="300">
        <v>2500</v>
      </c>
      <c r="BP105" s="300">
        <v>1940</v>
      </c>
      <c r="BQ105" s="300">
        <v>2050</v>
      </c>
      <c r="BR105" s="300">
        <v>3300</v>
      </c>
      <c r="BS105" s="302">
        <v>5000</v>
      </c>
      <c r="BT105" s="300">
        <v>2300</v>
      </c>
      <c r="BU105">
        <v>3600</v>
      </c>
      <c r="BV105" s="300">
        <v>950</v>
      </c>
      <c r="BW105" s="300">
        <v>1224</v>
      </c>
      <c r="BX105" s="300">
        <v>2094</v>
      </c>
      <c r="BY105" s="300">
        <v>600</v>
      </c>
      <c r="BZ105" s="300">
        <v>1486.5</v>
      </c>
      <c r="CA105" s="300">
        <v>609.15</v>
      </c>
      <c r="CB105" s="300">
        <v>581.89999999999986</v>
      </c>
      <c r="CC105" s="300">
        <v>569</v>
      </c>
      <c r="CD105" s="300">
        <v>570</v>
      </c>
      <c r="CE105" s="300">
        <v>626.91</v>
      </c>
      <c r="CF105" s="300">
        <v>1650</v>
      </c>
      <c r="CG105" s="300">
        <v>1799.5</v>
      </c>
      <c r="CH105" s="300">
        <v>1890</v>
      </c>
      <c r="CI105" s="300">
        <v>1800</v>
      </c>
      <c r="CJ105" s="300">
        <v>2000</v>
      </c>
      <c r="CK105" s="300">
        <v>2850</v>
      </c>
      <c r="CL105" s="300">
        <v>1800</v>
      </c>
      <c r="CM105" s="300">
        <v>3000</v>
      </c>
      <c r="CN105" s="300">
        <v>741.41</v>
      </c>
      <c r="CO105" s="300">
        <v>1341.2999999999997</v>
      </c>
      <c r="CP105" s="254">
        <v>13.5</v>
      </c>
      <c r="CQ105" s="254"/>
      <c r="CR105" s="254"/>
      <c r="CS105" s="254"/>
      <c r="CT105" s="254"/>
      <c r="CW105" s="277"/>
      <c r="CX105" s="277"/>
      <c r="CY105" s="277"/>
    </row>
    <row r="106" spans="1:103" x14ac:dyDescent="0.2">
      <c r="A106" s="254">
        <v>13.75</v>
      </c>
      <c r="B106" s="122">
        <f t="shared" si="1"/>
        <v>3.4421585276828141E-2</v>
      </c>
      <c r="C106" s="122">
        <f t="shared" si="2"/>
        <v>3.4341231711936662E-2</v>
      </c>
      <c r="D106" s="122">
        <f t="shared" si="3"/>
        <v>143.14320283591951</v>
      </c>
      <c r="E106" s="122">
        <f t="shared" si="4"/>
        <v>98.047966576590937</v>
      </c>
      <c r="F106" s="122">
        <f t="shared" si="10"/>
        <v>51.511847567904994</v>
      </c>
      <c r="G106" s="299">
        <f>HLOOKUP('Input &amp; Summary'!$B$6,'AEP Input Output sheet'!$N$50:$CO$211,ROW(G106)-49,0)</f>
        <v>1500</v>
      </c>
      <c r="H106" s="122">
        <f t="shared" si="5"/>
        <v>1662.9519221382577</v>
      </c>
      <c r="I106" s="247">
        <f t="shared" si="6"/>
        <v>0.90201044301465383</v>
      </c>
      <c r="J106" s="254">
        <f t="shared" si="7"/>
        <v>3165.2728872780513</v>
      </c>
      <c r="K106" s="122">
        <f t="shared" si="8"/>
        <v>2603.9792786859089</v>
      </c>
      <c r="L106" s="122">
        <f t="shared" si="11"/>
        <v>1662.9519221382577</v>
      </c>
      <c r="M106" s="122"/>
      <c r="N106" s="254">
        <f t="shared" si="9"/>
        <v>1500</v>
      </c>
      <c r="O106" s="452">
        <v>1488.3749999999998</v>
      </c>
      <c r="P106" s="452">
        <v>3472.8749999999991</v>
      </c>
      <c r="Q106" s="452">
        <v>4961.25</v>
      </c>
      <c r="R106" s="452">
        <v>1495.125</v>
      </c>
      <c r="S106" s="452">
        <v>3488.625</v>
      </c>
      <c r="T106" s="452">
        <v>4983.7500000000009</v>
      </c>
      <c r="U106" s="452">
        <v>1498.125</v>
      </c>
      <c r="V106" s="452">
        <v>3495.6249999999995</v>
      </c>
      <c r="W106" s="452">
        <v>4993.7499999999991</v>
      </c>
      <c r="X106" s="300">
        <v>1500</v>
      </c>
      <c r="Y106" s="300">
        <v>1500</v>
      </c>
      <c r="Z106" s="300">
        <v>856.25</v>
      </c>
      <c r="AA106" s="300">
        <v>893.625</v>
      </c>
      <c r="AB106" s="302">
        <v>5000</v>
      </c>
      <c r="AC106" s="300">
        <v>1265.375</v>
      </c>
      <c r="AD106" s="300">
        <v>2500</v>
      </c>
      <c r="AE106" s="300">
        <v>2500</v>
      </c>
      <c r="AF106" s="300">
        <v>2480</v>
      </c>
      <c r="AG106" s="300">
        <v>2465</v>
      </c>
      <c r="AH106" s="300">
        <v>2000</v>
      </c>
      <c r="AI106" s="300">
        <v>548.54999999999995</v>
      </c>
      <c r="AJ106" s="300">
        <v>750</v>
      </c>
      <c r="AK106" s="300">
        <v>1520</v>
      </c>
      <c r="AL106" s="300">
        <v>1500</v>
      </c>
      <c r="AM106" s="300">
        <v>2475</v>
      </c>
      <c r="AN106" s="300">
        <v>2500</v>
      </c>
      <c r="AO106" s="300">
        <v>2500</v>
      </c>
      <c r="AP106" s="300">
        <v>792.5</v>
      </c>
      <c r="AQ106" s="300">
        <v>846.15000000000009</v>
      </c>
      <c r="AR106" s="300">
        <v>1968.75</v>
      </c>
      <c r="AS106" s="300">
        <v>1991.7250000000001</v>
      </c>
      <c r="AT106" s="300">
        <v>1996.0250000000001</v>
      </c>
      <c r="AU106" s="300">
        <v>1500</v>
      </c>
      <c r="AV106" s="300">
        <v>1495</v>
      </c>
      <c r="AW106" s="300">
        <v>1500</v>
      </c>
      <c r="AX106" s="300">
        <v>2500</v>
      </c>
      <c r="AY106" s="300">
        <v>1000</v>
      </c>
      <c r="AZ106" s="300">
        <v>999.22</v>
      </c>
      <c r="BA106" s="300">
        <v>2400</v>
      </c>
      <c r="BB106" s="300">
        <v>2400</v>
      </c>
      <c r="BC106" s="302">
        <v>5000</v>
      </c>
      <c r="BD106" s="300">
        <v>691.85</v>
      </c>
      <c r="BE106" s="300">
        <v>717.31</v>
      </c>
      <c r="BF106" s="300">
        <v>853.08</v>
      </c>
      <c r="BG106" s="300">
        <v>1475</v>
      </c>
      <c r="BH106" s="300">
        <v>1649.5</v>
      </c>
      <c r="BI106" s="300">
        <v>609.94749999999988</v>
      </c>
      <c r="BJ106" s="300">
        <v>1216.25</v>
      </c>
      <c r="BK106" s="300">
        <v>2300</v>
      </c>
      <c r="BL106" s="300">
        <v>2417.5</v>
      </c>
      <c r="BM106" s="300">
        <v>2500</v>
      </c>
      <c r="BN106" s="300">
        <v>2495</v>
      </c>
      <c r="BO106" s="300">
        <v>2500</v>
      </c>
      <c r="BP106" s="300">
        <v>1980</v>
      </c>
      <c r="BQ106" s="300">
        <v>2050</v>
      </c>
      <c r="BR106" s="300">
        <v>3300</v>
      </c>
      <c r="BS106" s="302">
        <v>5000</v>
      </c>
      <c r="BT106" s="300">
        <v>2300</v>
      </c>
      <c r="BU106">
        <v>3600</v>
      </c>
      <c r="BV106" s="300">
        <v>950</v>
      </c>
      <c r="BW106" s="300">
        <v>1237</v>
      </c>
      <c r="BX106" s="300">
        <v>2097</v>
      </c>
      <c r="BY106" s="300">
        <v>600</v>
      </c>
      <c r="BZ106" s="300">
        <v>1493.25</v>
      </c>
      <c r="CA106" s="300">
        <v>609.15</v>
      </c>
      <c r="CB106" s="300">
        <v>590.69999999999982</v>
      </c>
      <c r="CC106" s="300">
        <v>575.5</v>
      </c>
      <c r="CD106" s="300">
        <v>576</v>
      </c>
      <c r="CE106" s="300">
        <v>636.16999999999996</v>
      </c>
      <c r="CF106" s="300">
        <v>1650</v>
      </c>
      <c r="CG106" s="300">
        <v>1800.75</v>
      </c>
      <c r="CH106" s="300">
        <v>1910</v>
      </c>
      <c r="CI106" s="300">
        <v>1800</v>
      </c>
      <c r="CJ106" s="300">
        <v>2000</v>
      </c>
      <c r="CK106" s="300">
        <v>2890</v>
      </c>
      <c r="CL106" s="300">
        <v>1800</v>
      </c>
      <c r="CM106" s="300">
        <v>3000</v>
      </c>
      <c r="CN106" s="300">
        <v>762.83</v>
      </c>
      <c r="CO106" s="300">
        <v>1377.6499999999996</v>
      </c>
      <c r="CP106" s="254">
        <v>13.75</v>
      </c>
      <c r="CQ106" s="254"/>
      <c r="CR106" s="254"/>
      <c r="CS106" s="254"/>
      <c r="CT106" s="254"/>
      <c r="CW106" s="277"/>
      <c r="CX106" s="277"/>
      <c r="CY106" s="277"/>
    </row>
    <row r="107" spans="1:103" x14ac:dyDescent="0.2">
      <c r="A107" s="254">
        <v>14</v>
      </c>
      <c r="B107" s="122">
        <f t="shared" si="1"/>
        <v>3.2265582263386931E-2</v>
      </c>
      <c r="C107" s="122">
        <f t="shared" si="2"/>
        <v>3.2000841984255186E-2</v>
      </c>
      <c r="D107" s="122">
        <f t="shared" si="3"/>
        <v>140.79663659390002</v>
      </c>
      <c r="E107" s="122">
        <f t="shared" si="4"/>
        <v>96.44065275442496</v>
      </c>
      <c r="F107" s="122">
        <f t="shared" si="10"/>
        <v>48.001262976382776</v>
      </c>
      <c r="G107" s="299">
        <f>HLOOKUP('Input &amp; Summary'!$B$6,'AEP Input Output sheet'!$N$50:$CO$211,ROW(G107)-49,0)</f>
        <v>1500</v>
      </c>
      <c r="H107" s="122">
        <f t="shared" si="5"/>
        <v>1662.9519221382577</v>
      </c>
      <c r="I107" s="247">
        <f t="shared" si="6"/>
        <v>0.90201044301465383</v>
      </c>
      <c r="J107" s="254">
        <f t="shared" si="7"/>
        <v>3341.0822742132077</v>
      </c>
      <c r="K107" s="122">
        <f t="shared" si="8"/>
        <v>2696.3219698536332</v>
      </c>
      <c r="L107" s="122">
        <f t="shared" si="11"/>
        <v>1662.9519221382577</v>
      </c>
      <c r="M107" s="122"/>
      <c r="N107" s="254">
        <f t="shared" si="9"/>
        <v>1500</v>
      </c>
      <c r="O107" s="452">
        <v>1490.9999999999995</v>
      </c>
      <c r="P107" s="452">
        <v>3478.9999999999991</v>
      </c>
      <c r="Q107" s="452">
        <v>4969.9999999999991</v>
      </c>
      <c r="R107" s="452">
        <v>1497</v>
      </c>
      <c r="S107" s="452">
        <v>3493</v>
      </c>
      <c r="T107" s="452">
        <v>4990</v>
      </c>
      <c r="U107" s="452">
        <v>1498.5</v>
      </c>
      <c r="V107" s="452">
        <v>3496.4999999999995</v>
      </c>
      <c r="W107" s="452">
        <v>4994.9999999999991</v>
      </c>
      <c r="X107" s="300">
        <v>1500</v>
      </c>
      <c r="Y107" s="300">
        <v>1500</v>
      </c>
      <c r="Z107" s="300">
        <v>875</v>
      </c>
      <c r="AA107" s="300">
        <v>900</v>
      </c>
      <c r="AB107" s="302">
        <v>5000</v>
      </c>
      <c r="AC107" s="300">
        <v>1280</v>
      </c>
      <c r="AD107" s="300">
        <v>2500</v>
      </c>
      <c r="AE107" s="300">
        <v>2500</v>
      </c>
      <c r="AF107" s="300">
        <v>2500</v>
      </c>
      <c r="AG107" s="300">
        <v>2480</v>
      </c>
      <c r="AH107" s="300">
        <v>2000</v>
      </c>
      <c r="AI107" s="300">
        <v>550</v>
      </c>
      <c r="AJ107" s="300">
        <v>750</v>
      </c>
      <c r="AK107" s="300">
        <v>1520</v>
      </c>
      <c r="AL107" s="300">
        <v>1500</v>
      </c>
      <c r="AM107" s="300">
        <v>2500</v>
      </c>
      <c r="AN107" s="300">
        <v>2500</v>
      </c>
      <c r="AO107" s="300">
        <v>2500</v>
      </c>
      <c r="AP107" s="300">
        <v>794</v>
      </c>
      <c r="AQ107" s="300">
        <v>848</v>
      </c>
      <c r="AR107" s="300">
        <v>1980</v>
      </c>
      <c r="AS107" s="300">
        <v>1995.3</v>
      </c>
      <c r="AT107" s="300">
        <v>1997.9</v>
      </c>
      <c r="AU107" s="300">
        <v>1500</v>
      </c>
      <c r="AV107" s="300">
        <v>1500</v>
      </c>
      <c r="AW107" s="300">
        <v>1500</v>
      </c>
      <c r="AX107" s="300">
        <v>2500</v>
      </c>
      <c r="AY107" s="300">
        <v>1000</v>
      </c>
      <c r="AZ107" s="300">
        <v>999.22</v>
      </c>
      <c r="BA107" s="300">
        <v>2400</v>
      </c>
      <c r="BB107" s="300">
        <v>2400</v>
      </c>
      <c r="BC107" s="302">
        <v>5000</v>
      </c>
      <c r="BD107" s="300">
        <v>707.21</v>
      </c>
      <c r="BE107" s="300">
        <v>723.11</v>
      </c>
      <c r="BF107" s="300">
        <v>865.17</v>
      </c>
      <c r="BG107" s="300">
        <v>1483</v>
      </c>
      <c r="BH107" s="300">
        <v>1650</v>
      </c>
      <c r="BI107" s="300">
        <v>618.67999999999995</v>
      </c>
      <c r="BJ107" s="300">
        <v>1247</v>
      </c>
      <c r="BK107" s="300">
        <v>2300</v>
      </c>
      <c r="BL107" s="300">
        <v>2463</v>
      </c>
      <c r="BM107" s="300">
        <v>2500</v>
      </c>
      <c r="BN107" s="300">
        <v>2500</v>
      </c>
      <c r="BO107" s="300">
        <v>2500</v>
      </c>
      <c r="BP107" s="300">
        <v>2010</v>
      </c>
      <c r="BQ107" s="300">
        <v>2050</v>
      </c>
      <c r="BR107" s="300">
        <v>3300</v>
      </c>
      <c r="BS107" s="302">
        <v>5000</v>
      </c>
      <c r="BT107" s="300">
        <v>2300</v>
      </c>
      <c r="BU107">
        <v>3600</v>
      </c>
      <c r="BV107" s="300">
        <v>950</v>
      </c>
      <c r="BW107" s="300">
        <v>1250</v>
      </c>
      <c r="BX107" s="300">
        <v>2100</v>
      </c>
      <c r="BY107" s="300">
        <v>600</v>
      </c>
      <c r="BZ107" s="300">
        <v>1500</v>
      </c>
      <c r="CA107" s="300">
        <v>612.79999999999995</v>
      </c>
      <c r="CB107" s="300">
        <v>599.5</v>
      </c>
      <c r="CC107" s="300">
        <v>582</v>
      </c>
      <c r="CD107" s="300">
        <v>582</v>
      </c>
      <c r="CE107" s="300">
        <v>642.41</v>
      </c>
      <c r="CF107" s="300">
        <v>1650</v>
      </c>
      <c r="CG107" s="300">
        <v>1802</v>
      </c>
      <c r="CH107" s="300">
        <v>1930</v>
      </c>
      <c r="CI107" s="300">
        <v>1800</v>
      </c>
      <c r="CJ107" s="300">
        <v>2000</v>
      </c>
      <c r="CK107" s="300">
        <v>2910</v>
      </c>
      <c r="CL107" s="300">
        <v>1800</v>
      </c>
      <c r="CM107" s="300">
        <v>3000</v>
      </c>
      <c r="CN107" s="300">
        <v>778.18</v>
      </c>
      <c r="CO107" s="300">
        <v>1414</v>
      </c>
      <c r="CP107" s="254">
        <v>14</v>
      </c>
      <c r="CQ107" s="254"/>
      <c r="CR107" s="254"/>
      <c r="CS107" s="254"/>
      <c r="CT107" s="254"/>
      <c r="CW107" s="277"/>
      <c r="CX107" s="277"/>
      <c r="CY107" s="277"/>
    </row>
    <row r="108" spans="1:103" x14ac:dyDescent="0.2">
      <c r="A108" s="254">
        <v>14.25</v>
      </c>
      <c r="B108" s="122">
        <f t="shared" si="1"/>
        <v>3.0189956635984859E-2</v>
      </c>
      <c r="C108" s="122">
        <f t="shared" si="2"/>
        <v>2.9756079849772649E-2</v>
      </c>
      <c r="D108" s="122">
        <f t="shared" si="3"/>
        <v>138.05974803835448</v>
      </c>
      <c r="E108" s="122">
        <f t="shared" si="4"/>
        <v>94.565982128774792</v>
      </c>
      <c r="F108" s="122">
        <f t="shared" si="10"/>
        <v>44.634119774658977</v>
      </c>
      <c r="G108" s="299">
        <f>HLOOKUP('Input &amp; Summary'!$B$6,'AEP Input Output sheet'!$N$50:$CO$211,ROW(G108)-49,0)</f>
        <v>1500</v>
      </c>
      <c r="H108" s="122">
        <f t="shared" si="5"/>
        <v>1662.9519221382577</v>
      </c>
      <c r="I108" s="247">
        <f t="shared" si="6"/>
        <v>0.90201044301465383</v>
      </c>
      <c r="J108" s="254">
        <f t="shared" si="7"/>
        <v>3523.2840379485156</v>
      </c>
      <c r="K108" s="122">
        <f t="shared" si="8"/>
        <v>2788.6646610213575</v>
      </c>
      <c r="L108" s="122">
        <f t="shared" si="11"/>
        <v>1662.9519221382577</v>
      </c>
      <c r="M108" s="122"/>
      <c r="N108" s="254">
        <f t="shared" si="9"/>
        <v>1500</v>
      </c>
      <c r="O108" s="452">
        <v>1492.4999999999998</v>
      </c>
      <c r="P108" s="452">
        <v>3482.4999999999995</v>
      </c>
      <c r="Q108" s="452">
        <v>4975</v>
      </c>
      <c r="R108" s="452">
        <v>1497.75</v>
      </c>
      <c r="S108" s="452">
        <v>3494.75</v>
      </c>
      <c r="T108" s="452">
        <v>4992.5</v>
      </c>
      <c r="U108" s="452">
        <v>1498.875</v>
      </c>
      <c r="V108" s="452">
        <v>3497.375</v>
      </c>
      <c r="W108" s="452">
        <v>4996.25</v>
      </c>
      <c r="X108" s="300">
        <v>1500</v>
      </c>
      <c r="Y108" s="300">
        <v>1500</v>
      </c>
      <c r="Z108" s="300">
        <v>881.25</v>
      </c>
      <c r="AA108" s="300">
        <v>900</v>
      </c>
      <c r="AB108" s="302">
        <v>5000</v>
      </c>
      <c r="AC108" s="300">
        <v>1283.5</v>
      </c>
      <c r="AD108" s="300">
        <v>2500</v>
      </c>
      <c r="AE108" s="300">
        <v>2500</v>
      </c>
      <c r="AF108" s="300">
        <v>2500</v>
      </c>
      <c r="AG108" s="300">
        <v>2490</v>
      </c>
      <c r="AH108" s="300">
        <v>2000</v>
      </c>
      <c r="AI108" s="300">
        <v>550</v>
      </c>
      <c r="AJ108" s="300">
        <v>750</v>
      </c>
      <c r="AK108" s="300">
        <v>1520</v>
      </c>
      <c r="AL108" s="300">
        <v>1500</v>
      </c>
      <c r="AM108" s="300">
        <v>2500</v>
      </c>
      <c r="AN108" s="300">
        <v>2500</v>
      </c>
      <c r="AO108" s="300">
        <v>2500</v>
      </c>
      <c r="AP108" s="300">
        <v>795.5</v>
      </c>
      <c r="AQ108" s="300">
        <v>848.25</v>
      </c>
      <c r="AR108" s="300">
        <v>1983.75</v>
      </c>
      <c r="AS108" s="300">
        <v>1996.2</v>
      </c>
      <c r="AT108" s="300">
        <v>1998.325</v>
      </c>
      <c r="AU108" s="300">
        <v>1500</v>
      </c>
      <c r="AV108" s="300">
        <v>1500</v>
      </c>
      <c r="AW108" s="300">
        <v>1500</v>
      </c>
      <c r="AX108" s="300">
        <v>2500</v>
      </c>
      <c r="AY108" s="300">
        <v>1000</v>
      </c>
      <c r="AZ108" s="300">
        <v>999.22</v>
      </c>
      <c r="BA108" s="300">
        <v>2400</v>
      </c>
      <c r="BB108" s="300">
        <v>2400</v>
      </c>
      <c r="BC108" s="302">
        <v>5000</v>
      </c>
      <c r="BD108" s="300">
        <v>722.56</v>
      </c>
      <c r="BE108" s="300">
        <v>731.79</v>
      </c>
      <c r="BF108" s="300">
        <v>873.24</v>
      </c>
      <c r="BG108" s="300">
        <v>1487.25</v>
      </c>
      <c r="BH108" s="300">
        <v>1650</v>
      </c>
      <c r="BI108" s="300">
        <v>618.88249999999994</v>
      </c>
      <c r="BJ108" s="300">
        <v>1260.5</v>
      </c>
      <c r="BK108" s="300">
        <v>2300</v>
      </c>
      <c r="BL108" s="300">
        <v>2472.25</v>
      </c>
      <c r="BM108" s="300">
        <v>2500</v>
      </c>
      <c r="BN108" s="300">
        <v>2500</v>
      </c>
      <c r="BO108" s="300">
        <v>2500</v>
      </c>
      <c r="BP108" s="300">
        <v>2030</v>
      </c>
      <c r="BQ108" s="300">
        <v>2050</v>
      </c>
      <c r="BR108" s="300">
        <v>3300</v>
      </c>
      <c r="BS108" s="302">
        <v>5000</v>
      </c>
      <c r="BT108" s="300">
        <v>2300</v>
      </c>
      <c r="BU108">
        <v>3600</v>
      </c>
      <c r="BV108" s="300">
        <v>950</v>
      </c>
      <c r="BW108" s="300">
        <v>1250</v>
      </c>
      <c r="BX108" s="300">
        <v>2100</v>
      </c>
      <c r="BY108" s="300">
        <v>600</v>
      </c>
      <c r="BZ108" s="300">
        <v>1500</v>
      </c>
      <c r="CA108" s="300">
        <v>612.79999999999995</v>
      </c>
      <c r="CB108" s="300">
        <v>601.95000000000005</v>
      </c>
      <c r="CC108" s="300">
        <v>585</v>
      </c>
      <c r="CD108" s="300">
        <v>585</v>
      </c>
      <c r="CE108" s="300">
        <v>651.67999999999995</v>
      </c>
      <c r="CF108" s="300">
        <v>1650</v>
      </c>
      <c r="CG108" s="300">
        <v>1802</v>
      </c>
      <c r="CH108" s="300">
        <v>1940</v>
      </c>
      <c r="CI108" s="300">
        <v>1800</v>
      </c>
      <c r="CJ108" s="300">
        <v>2000</v>
      </c>
      <c r="CK108" s="300">
        <v>2940</v>
      </c>
      <c r="CL108" s="300">
        <v>1800</v>
      </c>
      <c r="CM108" s="300">
        <v>3000</v>
      </c>
      <c r="CN108" s="300">
        <v>790.46</v>
      </c>
      <c r="CO108" s="300">
        <v>1442.9</v>
      </c>
      <c r="CP108" s="254">
        <v>14.25</v>
      </c>
      <c r="CQ108" s="254"/>
      <c r="CR108" s="254"/>
      <c r="CS108" s="254"/>
      <c r="CT108" s="254"/>
      <c r="CW108" s="277"/>
      <c r="CX108" s="277"/>
      <c r="CY108" s="277"/>
    </row>
    <row r="109" spans="1:103" x14ac:dyDescent="0.2">
      <c r="A109" s="254">
        <v>14.5</v>
      </c>
      <c r="B109" s="122">
        <f t="shared" si="1"/>
        <v>2.8197112246739268E-2</v>
      </c>
      <c r="C109" s="122">
        <f t="shared" si="2"/>
        <v>2.7609765516708268E-2</v>
      </c>
      <c r="D109" s="122">
        <f t="shared" si="3"/>
        <v>134.96261764980977</v>
      </c>
      <c r="E109" s="122">
        <f t="shared" si="4"/>
        <v>92.444558751323456</v>
      </c>
      <c r="F109" s="122">
        <f t="shared" si="10"/>
        <v>41.414648275062405</v>
      </c>
      <c r="G109" s="299">
        <f>HLOOKUP('Input &amp; Summary'!$B$6,'AEP Input Output sheet'!$N$50:$CO$211,ROW(G109)-49,0)</f>
        <v>1500</v>
      </c>
      <c r="H109" s="122">
        <f t="shared" si="5"/>
        <v>1662.9519221382577</v>
      </c>
      <c r="I109" s="247">
        <f t="shared" si="6"/>
        <v>0.90201044301465383</v>
      </c>
      <c r="J109" s="254">
        <f t="shared" si="7"/>
        <v>3711.992328069693</v>
      </c>
      <c r="K109" s="122">
        <f t="shared" si="8"/>
        <v>2881.0073521890818</v>
      </c>
      <c r="L109" s="122">
        <f t="shared" si="11"/>
        <v>1662.9519221382577</v>
      </c>
      <c r="M109" s="122"/>
      <c r="N109" s="254">
        <f t="shared" si="9"/>
        <v>1500</v>
      </c>
      <c r="O109" s="452">
        <v>1494</v>
      </c>
      <c r="P109" s="452">
        <v>3485.9999999999995</v>
      </c>
      <c r="Q109" s="452">
        <v>4980</v>
      </c>
      <c r="R109" s="452">
        <v>1498.5</v>
      </c>
      <c r="S109" s="452">
        <v>3496.4999999999995</v>
      </c>
      <c r="T109" s="452">
        <v>4994.9999999999991</v>
      </c>
      <c r="U109" s="452">
        <v>1499.25</v>
      </c>
      <c r="V109" s="452">
        <v>3498.25</v>
      </c>
      <c r="W109" s="452">
        <v>4997.5000000000009</v>
      </c>
      <c r="X109" s="300">
        <v>1500</v>
      </c>
      <c r="Y109" s="300">
        <v>1500</v>
      </c>
      <c r="Z109" s="300">
        <v>885.9375</v>
      </c>
      <c r="AA109" s="300">
        <v>900</v>
      </c>
      <c r="AB109" s="302">
        <v>5000</v>
      </c>
      <c r="AC109" s="300">
        <v>1286.125</v>
      </c>
      <c r="AD109" s="300">
        <v>2500</v>
      </c>
      <c r="AE109" s="300">
        <v>2500</v>
      </c>
      <c r="AF109" s="300">
        <v>2500</v>
      </c>
      <c r="AG109" s="300">
        <v>2500</v>
      </c>
      <c r="AH109" s="300">
        <v>2000</v>
      </c>
      <c r="AI109" s="300">
        <v>550</v>
      </c>
      <c r="AJ109" s="300">
        <v>750</v>
      </c>
      <c r="AK109" s="300">
        <v>1520</v>
      </c>
      <c r="AL109" s="300">
        <v>1500</v>
      </c>
      <c r="AM109" s="300">
        <v>2500</v>
      </c>
      <c r="AN109" s="300">
        <v>2500</v>
      </c>
      <c r="AO109" s="300">
        <v>2500</v>
      </c>
      <c r="AP109" s="300">
        <v>797</v>
      </c>
      <c r="AQ109" s="300">
        <v>848.5</v>
      </c>
      <c r="AR109" s="300">
        <v>1987.5</v>
      </c>
      <c r="AS109" s="300">
        <v>1997.1000000000001</v>
      </c>
      <c r="AT109" s="300">
        <v>1998.75</v>
      </c>
      <c r="AU109" s="300">
        <v>1500</v>
      </c>
      <c r="AV109" s="300">
        <v>1500</v>
      </c>
      <c r="AW109" s="300">
        <v>1500</v>
      </c>
      <c r="AX109" s="300">
        <v>2500</v>
      </c>
      <c r="AY109" s="300">
        <v>1000</v>
      </c>
      <c r="AZ109" s="300">
        <v>999.22</v>
      </c>
      <c r="BA109" s="300">
        <v>2400</v>
      </c>
      <c r="BB109" s="300">
        <v>2400</v>
      </c>
      <c r="BC109" s="302">
        <v>5000</v>
      </c>
      <c r="BD109" s="300">
        <v>730.29</v>
      </c>
      <c r="BE109" s="300">
        <v>737.6</v>
      </c>
      <c r="BF109" s="300">
        <v>881.32</v>
      </c>
      <c r="BG109" s="300">
        <v>1491.5</v>
      </c>
      <c r="BH109" s="300">
        <v>1650</v>
      </c>
      <c r="BI109" s="300">
        <v>619.08499999999992</v>
      </c>
      <c r="BJ109" s="300">
        <v>1274</v>
      </c>
      <c r="BK109" s="300">
        <v>2300</v>
      </c>
      <c r="BL109" s="300">
        <v>2481.5</v>
      </c>
      <c r="BM109" s="300">
        <v>2500</v>
      </c>
      <c r="BN109" s="300">
        <v>2500</v>
      </c>
      <c r="BO109" s="300">
        <v>2500</v>
      </c>
      <c r="BP109" s="300">
        <v>2050</v>
      </c>
      <c r="BQ109" s="300">
        <v>2050</v>
      </c>
      <c r="BR109" s="300">
        <v>3300</v>
      </c>
      <c r="BS109" s="302">
        <v>5000</v>
      </c>
      <c r="BT109" s="300">
        <v>2300</v>
      </c>
      <c r="BU109">
        <v>3600</v>
      </c>
      <c r="BV109" s="300">
        <v>950</v>
      </c>
      <c r="BW109" s="300">
        <v>1250</v>
      </c>
      <c r="BX109" s="300">
        <v>2100</v>
      </c>
      <c r="BY109" s="300">
        <v>600</v>
      </c>
      <c r="BZ109" s="300">
        <v>1500</v>
      </c>
      <c r="CA109" s="300">
        <v>612.79999999999995</v>
      </c>
      <c r="CB109" s="300">
        <v>604.40000000000009</v>
      </c>
      <c r="CC109" s="300">
        <v>588</v>
      </c>
      <c r="CD109" s="300">
        <v>588</v>
      </c>
      <c r="CE109" s="300">
        <v>656.37</v>
      </c>
      <c r="CF109" s="300">
        <v>1650</v>
      </c>
      <c r="CG109" s="300">
        <v>1802</v>
      </c>
      <c r="CH109" s="300">
        <v>1950</v>
      </c>
      <c r="CI109" s="300">
        <v>1800</v>
      </c>
      <c r="CJ109" s="300">
        <v>2000</v>
      </c>
      <c r="CK109" s="300">
        <v>2970</v>
      </c>
      <c r="CL109" s="300">
        <v>1800</v>
      </c>
      <c r="CM109" s="300">
        <v>3000</v>
      </c>
      <c r="CN109" s="300">
        <v>802.79</v>
      </c>
      <c r="CO109" s="300">
        <v>1471.8000000000002</v>
      </c>
      <c r="CP109" s="254">
        <v>14.5</v>
      </c>
      <c r="CQ109" s="254"/>
      <c r="CR109" s="254"/>
      <c r="CS109" s="254"/>
      <c r="CT109" s="254"/>
      <c r="CW109" s="277"/>
      <c r="CX109" s="277"/>
      <c r="CY109" s="277"/>
    </row>
    <row r="110" spans="1:103" x14ac:dyDescent="0.2">
      <c r="A110" s="254">
        <v>14.75</v>
      </c>
      <c r="B110" s="122">
        <f t="shared" si="1"/>
        <v>2.6288784695771998E-2</v>
      </c>
      <c r="C110" s="122">
        <f t="shared" si="2"/>
        <v>2.5563839585866461E-2</v>
      </c>
      <c r="D110" s="122">
        <f t="shared" si="3"/>
        <v>131.53729682226734</v>
      </c>
      <c r="E110" s="122">
        <f t="shared" si="4"/>
        <v>90.098336678886312</v>
      </c>
      <c r="F110" s="122">
        <f t="shared" si="10"/>
        <v>38.345759378799691</v>
      </c>
      <c r="G110" s="299">
        <f>HLOOKUP('Input &amp; Summary'!$B$6,'AEP Input Output sheet'!$N$50:$CO$211,ROW(G110)-49,0)</f>
        <v>1500</v>
      </c>
      <c r="H110" s="122">
        <f t="shared" si="5"/>
        <v>1662.9519221382577</v>
      </c>
      <c r="I110" s="247">
        <f t="shared" si="6"/>
        <v>0.90201044301465383</v>
      </c>
      <c r="J110" s="254">
        <f t="shared" si="7"/>
        <v>3907.3212941624583</v>
      </c>
      <c r="K110" s="122">
        <f t="shared" si="8"/>
        <v>2973.3500433568061</v>
      </c>
      <c r="L110" s="122">
        <f t="shared" si="11"/>
        <v>1662.9519221382577</v>
      </c>
      <c r="M110" s="122"/>
      <c r="N110" s="254">
        <f t="shared" si="9"/>
        <v>1500</v>
      </c>
      <c r="O110" s="452">
        <v>1495.5000000000002</v>
      </c>
      <c r="P110" s="452">
        <v>3489.5000000000005</v>
      </c>
      <c r="Q110" s="452">
        <v>4985</v>
      </c>
      <c r="R110" s="452">
        <v>1499.2499999999998</v>
      </c>
      <c r="S110" s="452">
        <v>3498.2499999999995</v>
      </c>
      <c r="T110" s="452">
        <v>4997.4999999999991</v>
      </c>
      <c r="U110" s="452">
        <v>1499.6250000000002</v>
      </c>
      <c r="V110" s="452">
        <v>3499.1250000000005</v>
      </c>
      <c r="W110" s="452">
        <v>4998.7500000000009</v>
      </c>
      <c r="X110" s="300">
        <v>1500</v>
      </c>
      <c r="Y110" s="300">
        <v>1500</v>
      </c>
      <c r="Z110" s="300">
        <v>890.625</v>
      </c>
      <c r="AA110" s="300">
        <v>900</v>
      </c>
      <c r="AB110" s="302">
        <v>5000</v>
      </c>
      <c r="AC110" s="300">
        <v>1288.75</v>
      </c>
      <c r="AD110" s="300">
        <v>2500</v>
      </c>
      <c r="AE110" s="300">
        <v>2500</v>
      </c>
      <c r="AF110" s="300">
        <v>2500</v>
      </c>
      <c r="AG110" s="300">
        <v>2500</v>
      </c>
      <c r="AH110" s="300">
        <v>2000</v>
      </c>
      <c r="AI110" s="300">
        <v>550</v>
      </c>
      <c r="AJ110" s="300">
        <v>750</v>
      </c>
      <c r="AK110" s="300">
        <v>1520</v>
      </c>
      <c r="AL110" s="300">
        <v>1500</v>
      </c>
      <c r="AM110" s="300">
        <v>2500</v>
      </c>
      <c r="AN110" s="300">
        <v>2500</v>
      </c>
      <c r="AO110" s="300">
        <v>2500</v>
      </c>
      <c r="AP110" s="300">
        <v>798.5</v>
      </c>
      <c r="AQ110" s="300">
        <v>848.75</v>
      </c>
      <c r="AR110" s="300">
        <v>1991.25</v>
      </c>
      <c r="AS110" s="300">
        <v>1998.0000000000002</v>
      </c>
      <c r="AT110" s="300">
        <v>1999.175</v>
      </c>
      <c r="AU110" s="300">
        <v>1500</v>
      </c>
      <c r="AV110" s="300">
        <v>1500</v>
      </c>
      <c r="AW110" s="300">
        <v>1500</v>
      </c>
      <c r="AX110" s="300">
        <v>2500</v>
      </c>
      <c r="AY110" s="300">
        <v>1000</v>
      </c>
      <c r="AZ110" s="300">
        <v>999.22</v>
      </c>
      <c r="BA110" s="300">
        <v>2400</v>
      </c>
      <c r="BB110" s="300">
        <v>2400</v>
      </c>
      <c r="BC110" s="302">
        <v>5000</v>
      </c>
      <c r="BD110" s="300">
        <v>738.01</v>
      </c>
      <c r="BE110" s="300">
        <v>740.53</v>
      </c>
      <c r="BF110" s="300">
        <v>887.38</v>
      </c>
      <c r="BG110" s="300">
        <v>1495.75</v>
      </c>
      <c r="BH110" s="300">
        <v>1650</v>
      </c>
      <c r="BI110" s="300">
        <v>619.28749999999991</v>
      </c>
      <c r="BJ110" s="300">
        <v>1287.5</v>
      </c>
      <c r="BK110" s="300">
        <v>2300</v>
      </c>
      <c r="BL110" s="300">
        <v>2490.75</v>
      </c>
      <c r="BM110" s="300">
        <v>2500</v>
      </c>
      <c r="BN110" s="300">
        <v>2500</v>
      </c>
      <c r="BO110" s="300">
        <v>2500</v>
      </c>
      <c r="BP110" s="300">
        <v>2050</v>
      </c>
      <c r="BQ110" s="300">
        <v>2050</v>
      </c>
      <c r="BR110" s="300">
        <v>3300</v>
      </c>
      <c r="BS110" s="302">
        <v>5000</v>
      </c>
      <c r="BT110" s="300">
        <v>2300</v>
      </c>
      <c r="BU110">
        <v>3600</v>
      </c>
      <c r="BV110" s="300">
        <v>950</v>
      </c>
      <c r="BW110" s="300">
        <v>1250</v>
      </c>
      <c r="BX110" s="300">
        <v>2100</v>
      </c>
      <c r="BY110" s="300">
        <v>600</v>
      </c>
      <c r="BZ110" s="300">
        <v>1500</v>
      </c>
      <c r="CA110" s="300">
        <v>612.79999999999995</v>
      </c>
      <c r="CB110" s="300">
        <v>606.85000000000014</v>
      </c>
      <c r="CC110" s="300">
        <v>591</v>
      </c>
      <c r="CD110" s="300">
        <v>591</v>
      </c>
      <c r="CE110" s="300">
        <v>660</v>
      </c>
      <c r="CF110" s="300">
        <v>1650</v>
      </c>
      <c r="CG110" s="300">
        <v>1802</v>
      </c>
      <c r="CH110" s="300">
        <v>1960</v>
      </c>
      <c r="CI110" s="300">
        <v>1800</v>
      </c>
      <c r="CJ110" s="300">
        <v>2000</v>
      </c>
      <c r="CK110" s="300">
        <v>2990</v>
      </c>
      <c r="CL110" s="300">
        <v>1800</v>
      </c>
      <c r="CM110" s="300">
        <v>3000</v>
      </c>
      <c r="CN110" s="300">
        <v>809.05</v>
      </c>
      <c r="CO110" s="300">
        <v>1500.7000000000003</v>
      </c>
      <c r="CP110" s="254">
        <v>14.75</v>
      </c>
      <c r="CQ110" s="254"/>
      <c r="CR110" s="254"/>
      <c r="CS110" s="254"/>
      <c r="CT110" s="254"/>
      <c r="CW110" s="277"/>
      <c r="CX110" s="277"/>
      <c r="CY110" s="277"/>
    </row>
    <row r="111" spans="1:103" x14ac:dyDescent="0.2">
      <c r="A111" s="254">
        <v>15</v>
      </c>
      <c r="B111" s="122">
        <f t="shared" si="1"/>
        <v>2.4466083799995597E-2</v>
      </c>
      <c r="C111" s="122">
        <f t="shared" si="2"/>
        <v>2.3619421084989833E-2</v>
      </c>
      <c r="D111" s="122">
        <f t="shared" si="3"/>
        <v>127.81734550410954</v>
      </c>
      <c r="E111" s="122">
        <f t="shared" si="4"/>
        <v>87.550303273993421</v>
      </c>
      <c r="F111" s="122">
        <f t="shared" si="10"/>
        <v>35.42913162748475</v>
      </c>
      <c r="G111" s="299">
        <f>HLOOKUP('Input &amp; Summary'!$B$6,'AEP Input Output sheet'!$N$50:$CO$211,ROW(G111)-49,0)</f>
        <v>1500</v>
      </c>
      <c r="H111" s="122">
        <f t="shared" si="5"/>
        <v>1662.9519221382577</v>
      </c>
      <c r="I111" s="247">
        <f t="shared" si="6"/>
        <v>0.90201044301465383</v>
      </c>
      <c r="J111" s="254">
        <f t="shared" si="7"/>
        <v>4109.3850858125279</v>
      </c>
      <c r="K111" s="122">
        <f t="shared" si="8"/>
        <v>3065.6927345245304</v>
      </c>
      <c r="L111" s="122">
        <f t="shared" si="11"/>
        <v>1662.9519221382577</v>
      </c>
      <c r="M111" s="122"/>
      <c r="N111" s="254">
        <f t="shared" si="9"/>
        <v>1500</v>
      </c>
      <c r="O111" s="452">
        <v>1497.0000000000002</v>
      </c>
      <c r="P111" s="452">
        <v>3493.0000000000009</v>
      </c>
      <c r="Q111" s="452">
        <v>4990.0000000000009</v>
      </c>
      <c r="R111">
        <v>1500</v>
      </c>
      <c r="S111">
        <v>3500</v>
      </c>
      <c r="T111">
        <v>5000</v>
      </c>
      <c r="U111">
        <v>1500</v>
      </c>
      <c r="V111">
        <v>3500</v>
      </c>
      <c r="W111">
        <v>5000</v>
      </c>
      <c r="X111" s="300">
        <v>1500</v>
      </c>
      <c r="Y111" s="300">
        <v>1500</v>
      </c>
      <c r="Z111" s="300">
        <v>900</v>
      </c>
      <c r="AA111" s="300">
        <v>900</v>
      </c>
      <c r="AB111" s="302">
        <v>5000</v>
      </c>
      <c r="AC111" s="300">
        <v>1294</v>
      </c>
      <c r="AD111" s="300">
        <v>2500</v>
      </c>
      <c r="AE111" s="300">
        <v>2500</v>
      </c>
      <c r="AF111" s="300">
        <v>2500</v>
      </c>
      <c r="AG111" s="300">
        <v>2500</v>
      </c>
      <c r="AH111" s="300">
        <v>2000</v>
      </c>
      <c r="AI111" s="300">
        <v>550</v>
      </c>
      <c r="AJ111" s="300">
        <v>750</v>
      </c>
      <c r="AK111" s="300">
        <v>1520</v>
      </c>
      <c r="AL111" s="300">
        <v>1500</v>
      </c>
      <c r="AM111" s="300">
        <v>2500</v>
      </c>
      <c r="AN111" s="300">
        <v>2500</v>
      </c>
      <c r="AO111" s="300">
        <v>2500</v>
      </c>
      <c r="AP111" s="300">
        <v>800</v>
      </c>
      <c r="AQ111" s="300">
        <v>849</v>
      </c>
      <c r="AR111" s="300">
        <v>1995</v>
      </c>
      <c r="AS111" s="300">
        <v>1998.9</v>
      </c>
      <c r="AT111" s="300">
        <v>1999.6</v>
      </c>
      <c r="AU111" s="300">
        <v>1500</v>
      </c>
      <c r="AV111" s="300">
        <v>1500</v>
      </c>
      <c r="AW111" s="300">
        <v>1500</v>
      </c>
      <c r="AX111" s="300">
        <v>2500</v>
      </c>
      <c r="AY111" s="300">
        <v>1000</v>
      </c>
      <c r="AZ111" s="300">
        <v>999.22</v>
      </c>
      <c r="BA111" s="300">
        <v>2400</v>
      </c>
      <c r="BB111" s="300">
        <v>2400</v>
      </c>
      <c r="BC111" s="302">
        <v>5000</v>
      </c>
      <c r="BD111" s="300">
        <v>738.1</v>
      </c>
      <c r="BE111" s="300">
        <v>749.21</v>
      </c>
      <c r="BF111" s="300">
        <v>895.45</v>
      </c>
      <c r="BG111" s="300">
        <v>1500</v>
      </c>
      <c r="BH111" s="300">
        <v>1650</v>
      </c>
      <c r="BI111" s="300">
        <v>619.49</v>
      </c>
      <c r="BJ111" s="300">
        <v>1301</v>
      </c>
      <c r="BK111" s="300">
        <v>2300</v>
      </c>
      <c r="BL111" s="300">
        <v>2500</v>
      </c>
      <c r="BM111" s="300">
        <v>2500</v>
      </c>
      <c r="BN111" s="300">
        <v>2500</v>
      </c>
      <c r="BO111" s="300">
        <v>2500</v>
      </c>
      <c r="BP111" s="300">
        <v>2050</v>
      </c>
      <c r="BQ111" s="300">
        <v>2050</v>
      </c>
      <c r="BR111" s="300">
        <v>3300</v>
      </c>
      <c r="BS111" s="302">
        <v>5000</v>
      </c>
      <c r="BT111" s="300">
        <v>2300</v>
      </c>
      <c r="BU111">
        <v>3600</v>
      </c>
      <c r="BV111" s="300">
        <v>950</v>
      </c>
      <c r="BW111" s="300">
        <v>1250</v>
      </c>
      <c r="BX111" s="300">
        <v>2100</v>
      </c>
      <c r="BY111" s="300">
        <v>600</v>
      </c>
      <c r="BZ111" s="300">
        <v>1500</v>
      </c>
      <c r="CA111" s="300">
        <v>616.46</v>
      </c>
      <c r="CB111" s="300">
        <v>609.29999999999995</v>
      </c>
      <c r="CC111" s="300">
        <v>594</v>
      </c>
      <c r="CD111" s="300">
        <v>594</v>
      </c>
      <c r="CE111" s="300">
        <v>660</v>
      </c>
      <c r="CF111" s="300">
        <v>1650</v>
      </c>
      <c r="CG111" s="300">
        <v>1802</v>
      </c>
      <c r="CH111" s="300">
        <v>1970</v>
      </c>
      <c r="CI111" s="300">
        <v>1800</v>
      </c>
      <c r="CJ111" s="300">
        <v>2000</v>
      </c>
      <c r="CK111" s="300">
        <v>3000</v>
      </c>
      <c r="CL111" s="300">
        <v>1800</v>
      </c>
      <c r="CM111" s="300">
        <v>3000</v>
      </c>
      <c r="CN111" s="300">
        <v>818.3</v>
      </c>
      <c r="CO111" s="300">
        <v>1529.6</v>
      </c>
      <c r="CP111" s="254">
        <v>15</v>
      </c>
      <c r="CQ111" s="254"/>
      <c r="CR111" s="254"/>
      <c r="CS111" s="254"/>
      <c r="CT111" s="254"/>
      <c r="CW111" s="277"/>
      <c r="CX111" s="277"/>
      <c r="CY111" s="277"/>
    </row>
    <row r="112" spans="1:103" x14ac:dyDescent="0.2">
      <c r="A112" s="254">
        <v>15.25</v>
      </c>
      <c r="B112" s="122">
        <f t="shared" si="1"/>
        <v>2.272953789982924E-2</v>
      </c>
      <c r="C112" s="122">
        <f t="shared" si="2"/>
        <v>2.1776868786598035E-2</v>
      </c>
      <c r="D112" s="122">
        <f t="shared" si="3"/>
        <v>123.83737378454727</v>
      </c>
      <c r="E112" s="122">
        <f t="shared" si="4"/>
        <v>84.824165208026557</v>
      </c>
      <c r="F112" s="122">
        <f t="shared" si="10"/>
        <v>32.665303179897052</v>
      </c>
      <c r="G112" s="299">
        <f>HLOOKUP('Input &amp; Summary'!$B$6,'AEP Input Output sheet'!$N$50:$CO$211,ROW(G112)-49,0)</f>
        <v>1500</v>
      </c>
      <c r="H112" s="122">
        <f t="shared" si="5"/>
        <v>1662.9519221382577</v>
      </c>
      <c r="I112" s="247">
        <f t="shared" si="6"/>
        <v>0.90201044301465383</v>
      </c>
      <c r="J112" s="254">
        <f t="shared" si="7"/>
        <v>4318.2978526056177</v>
      </c>
      <c r="K112" s="122">
        <f t="shared" si="8"/>
        <v>3158.0354256922551</v>
      </c>
      <c r="L112" s="122">
        <f t="shared" si="11"/>
        <v>1662.9519221382577</v>
      </c>
      <c r="M112" s="122"/>
      <c r="N112" s="254">
        <f t="shared" si="9"/>
        <v>1500</v>
      </c>
      <c r="O112" s="452">
        <v>1497.3750000000005</v>
      </c>
      <c r="P112" s="452">
        <v>3493.8750000000005</v>
      </c>
      <c r="Q112" s="452">
        <v>4991.2500000000009</v>
      </c>
      <c r="R112">
        <v>1500</v>
      </c>
      <c r="S112">
        <v>3500</v>
      </c>
      <c r="T112">
        <v>5000</v>
      </c>
      <c r="U112">
        <v>1500</v>
      </c>
      <c r="V112">
        <v>3500</v>
      </c>
      <c r="W112">
        <v>5000</v>
      </c>
      <c r="X112" s="300">
        <v>1500</v>
      </c>
      <c r="Y112" s="300">
        <v>1500</v>
      </c>
      <c r="Z112" s="300">
        <v>900</v>
      </c>
      <c r="AA112" s="300">
        <v>900</v>
      </c>
      <c r="AB112" s="302">
        <v>5000</v>
      </c>
      <c r="AC112" s="300">
        <v>1295</v>
      </c>
      <c r="AD112" s="300">
        <v>2500</v>
      </c>
      <c r="AE112" s="300">
        <v>2500</v>
      </c>
      <c r="AF112" s="300">
        <v>2500</v>
      </c>
      <c r="AG112" s="300">
        <v>2500</v>
      </c>
      <c r="AH112" s="300">
        <v>2000</v>
      </c>
      <c r="AI112" s="300">
        <v>550</v>
      </c>
      <c r="AJ112" s="300">
        <v>750</v>
      </c>
      <c r="AK112" s="300">
        <v>1520</v>
      </c>
      <c r="AL112" s="300">
        <v>1500</v>
      </c>
      <c r="AM112" s="300">
        <v>2500</v>
      </c>
      <c r="AN112" s="300">
        <v>2500</v>
      </c>
      <c r="AO112" s="300">
        <v>2500</v>
      </c>
      <c r="AP112" s="300">
        <v>800</v>
      </c>
      <c r="AQ112" s="300">
        <v>849.25</v>
      </c>
      <c r="AR112" s="300">
        <v>1996</v>
      </c>
      <c r="AS112" s="300">
        <v>1999.125</v>
      </c>
      <c r="AT112" s="300">
        <v>1999.675</v>
      </c>
      <c r="AU112" s="300">
        <v>1500</v>
      </c>
      <c r="AV112" s="300">
        <v>1500</v>
      </c>
      <c r="AW112" s="300">
        <v>1500</v>
      </c>
      <c r="AX112" s="300">
        <v>2500</v>
      </c>
      <c r="AY112" s="300">
        <v>1000</v>
      </c>
      <c r="AZ112" s="300">
        <v>1000</v>
      </c>
      <c r="BA112" s="300">
        <v>2400</v>
      </c>
      <c r="BB112" s="300">
        <v>2400</v>
      </c>
      <c r="BC112" s="302">
        <v>5000</v>
      </c>
      <c r="BD112" s="300">
        <v>745.81</v>
      </c>
      <c r="BE112" s="300">
        <v>749.27</v>
      </c>
      <c r="BF112" s="300">
        <v>899.51</v>
      </c>
      <c r="BG112" s="300">
        <v>1500</v>
      </c>
      <c r="BH112" s="300">
        <v>1650</v>
      </c>
      <c r="BI112" s="300">
        <v>618.89750000000004</v>
      </c>
      <c r="BJ112" s="300">
        <v>1311.75</v>
      </c>
      <c r="BK112" s="300">
        <v>2300</v>
      </c>
      <c r="BL112" s="300">
        <v>2500</v>
      </c>
      <c r="BM112" s="300">
        <v>2500</v>
      </c>
      <c r="BN112" s="300">
        <v>2500</v>
      </c>
      <c r="BO112" s="300">
        <v>2500</v>
      </c>
      <c r="BP112" s="300">
        <v>2050</v>
      </c>
      <c r="BQ112" s="300">
        <v>2050</v>
      </c>
      <c r="BR112" s="300">
        <v>3300</v>
      </c>
      <c r="BS112" s="302">
        <v>5000</v>
      </c>
      <c r="BT112" s="300">
        <v>2300</v>
      </c>
      <c r="BU112">
        <v>3600</v>
      </c>
      <c r="BV112" s="300">
        <v>950</v>
      </c>
      <c r="BW112" s="300">
        <v>1250</v>
      </c>
      <c r="BX112" s="300">
        <v>2100</v>
      </c>
      <c r="BY112" s="300">
        <v>600</v>
      </c>
      <c r="BZ112" s="300">
        <v>1500</v>
      </c>
      <c r="CA112" s="300">
        <v>616.46</v>
      </c>
      <c r="CB112" s="300">
        <v>611.02499999999998</v>
      </c>
      <c r="CC112" s="300">
        <v>595</v>
      </c>
      <c r="CD112" s="300">
        <v>595</v>
      </c>
      <c r="CE112" s="300">
        <v>660</v>
      </c>
      <c r="CF112" s="300">
        <v>1650</v>
      </c>
      <c r="CG112" s="300">
        <v>1802</v>
      </c>
      <c r="CH112" s="300">
        <v>1980</v>
      </c>
      <c r="CI112" s="300">
        <v>1800</v>
      </c>
      <c r="CJ112" s="300">
        <v>2000</v>
      </c>
      <c r="CK112" s="300">
        <v>3000</v>
      </c>
      <c r="CL112" s="300">
        <v>1800</v>
      </c>
      <c r="CM112" s="300">
        <v>3000</v>
      </c>
      <c r="CN112" s="300">
        <v>827.58</v>
      </c>
      <c r="CO112" s="300">
        <v>1547.8</v>
      </c>
      <c r="CP112" s="254">
        <v>15.25</v>
      </c>
      <c r="CQ112" s="254"/>
      <c r="CR112" s="254"/>
      <c r="CS112" s="254"/>
      <c r="CT112" s="254"/>
      <c r="CW112" s="277"/>
      <c r="CX112" s="277"/>
      <c r="CY112" s="277"/>
    </row>
    <row r="113" spans="1:103" x14ac:dyDescent="0.2">
      <c r="A113" s="254">
        <v>15.5</v>
      </c>
      <c r="B113" s="122">
        <f t="shared" si="1"/>
        <v>2.1079139408694336E-2</v>
      </c>
      <c r="C113" s="122">
        <f t="shared" si="2"/>
        <v>2.003584481498321E-2</v>
      </c>
      <c r="D113" s="122">
        <f t="shared" si="3"/>
        <v>119.63259456988823</v>
      </c>
      <c r="E113" s="122">
        <f t="shared" si="4"/>
        <v>81.944042060485913</v>
      </c>
      <c r="F113" s="122">
        <f t="shared" si="10"/>
        <v>30.053767222474814</v>
      </c>
      <c r="G113" s="299">
        <f>HLOOKUP('Input &amp; Summary'!$B$6,'AEP Input Output sheet'!$N$50:$CO$211,ROW(G113)-49,0)</f>
        <v>1500</v>
      </c>
      <c r="H113" s="122">
        <f t="shared" si="5"/>
        <v>1662.9519221382577</v>
      </c>
      <c r="I113" s="247">
        <f t="shared" si="6"/>
        <v>0.90201044301465383</v>
      </c>
      <c r="J113" s="254">
        <f t="shared" si="7"/>
        <v>4534.1737441274436</v>
      </c>
      <c r="K113" s="122">
        <f t="shared" si="8"/>
        <v>3250.3781168599799</v>
      </c>
      <c r="L113" s="122">
        <f t="shared" si="11"/>
        <v>1662.9519221382577</v>
      </c>
      <c r="M113" s="122"/>
      <c r="N113" s="254">
        <f t="shared" si="9"/>
        <v>1500</v>
      </c>
      <c r="O113" s="452">
        <v>1497.7500000000005</v>
      </c>
      <c r="P113" s="452">
        <v>3494.7500000000009</v>
      </c>
      <c r="Q113" s="452">
        <v>4992.5000000000009</v>
      </c>
      <c r="R113">
        <v>1500</v>
      </c>
      <c r="S113">
        <v>3500</v>
      </c>
      <c r="T113">
        <v>5000</v>
      </c>
      <c r="U113">
        <v>1500</v>
      </c>
      <c r="V113">
        <v>3500</v>
      </c>
      <c r="W113">
        <v>5000</v>
      </c>
      <c r="X113" s="300">
        <v>1500</v>
      </c>
      <c r="Y113" s="300">
        <v>1500</v>
      </c>
      <c r="Z113" s="300">
        <v>900</v>
      </c>
      <c r="AA113" s="300">
        <v>900</v>
      </c>
      <c r="AB113" s="302">
        <v>5000</v>
      </c>
      <c r="AC113" s="300">
        <v>1295.75</v>
      </c>
      <c r="AD113" s="300">
        <v>2500</v>
      </c>
      <c r="AE113" s="300">
        <v>2500</v>
      </c>
      <c r="AF113" s="300">
        <v>2500</v>
      </c>
      <c r="AG113" s="300">
        <v>2500</v>
      </c>
      <c r="AH113" s="300">
        <v>2000</v>
      </c>
      <c r="AI113" s="300">
        <v>550</v>
      </c>
      <c r="AJ113" s="300">
        <v>750</v>
      </c>
      <c r="AK113" s="300">
        <v>1520</v>
      </c>
      <c r="AL113" s="300">
        <v>1500</v>
      </c>
      <c r="AM113" s="300">
        <v>2500</v>
      </c>
      <c r="AN113" s="300">
        <v>2500</v>
      </c>
      <c r="AO113" s="300">
        <v>2500</v>
      </c>
      <c r="AP113" s="300">
        <v>800</v>
      </c>
      <c r="AQ113" s="300">
        <v>849.5</v>
      </c>
      <c r="AR113" s="300">
        <v>1997</v>
      </c>
      <c r="AS113" s="300">
        <v>1999.35</v>
      </c>
      <c r="AT113" s="300">
        <v>1999.75</v>
      </c>
      <c r="AU113" s="300">
        <v>1500</v>
      </c>
      <c r="AV113" s="300">
        <v>1500</v>
      </c>
      <c r="AW113" s="300">
        <v>1500</v>
      </c>
      <c r="AX113" s="300">
        <v>2500</v>
      </c>
      <c r="AY113" s="300">
        <v>1000</v>
      </c>
      <c r="AZ113" s="300">
        <v>1000</v>
      </c>
      <c r="BA113" s="300">
        <v>2400</v>
      </c>
      <c r="BB113" s="300">
        <v>2400</v>
      </c>
      <c r="BC113" s="302">
        <v>5000</v>
      </c>
      <c r="BD113" s="300">
        <v>749.71</v>
      </c>
      <c r="BE113" s="300">
        <v>752.2</v>
      </c>
      <c r="BF113" s="300">
        <v>901.56</v>
      </c>
      <c r="BG113" s="300">
        <v>1500</v>
      </c>
      <c r="BH113" s="300">
        <v>1650</v>
      </c>
      <c r="BI113" s="300">
        <v>618.30500000000006</v>
      </c>
      <c r="BJ113" s="300">
        <v>1322.5</v>
      </c>
      <c r="BK113" s="300">
        <v>2300</v>
      </c>
      <c r="BL113" s="300">
        <v>2500</v>
      </c>
      <c r="BM113" s="300">
        <v>2500</v>
      </c>
      <c r="BN113" s="300">
        <v>2500</v>
      </c>
      <c r="BO113" s="300">
        <v>2500</v>
      </c>
      <c r="BP113" s="300">
        <v>2050</v>
      </c>
      <c r="BQ113" s="300">
        <v>2050</v>
      </c>
      <c r="BR113" s="300">
        <v>3300</v>
      </c>
      <c r="BS113" s="302">
        <v>5000</v>
      </c>
      <c r="BT113" s="300">
        <v>2300</v>
      </c>
      <c r="BU113">
        <v>3600</v>
      </c>
      <c r="BV113" s="300">
        <v>950</v>
      </c>
      <c r="BW113" s="300">
        <v>1250</v>
      </c>
      <c r="BX113" s="300">
        <v>2100</v>
      </c>
      <c r="BY113" s="300">
        <v>600</v>
      </c>
      <c r="BZ113" s="300">
        <v>1500</v>
      </c>
      <c r="CA113" s="300">
        <v>616.46</v>
      </c>
      <c r="CB113" s="300">
        <v>612.75</v>
      </c>
      <c r="CC113" s="300">
        <v>596</v>
      </c>
      <c r="CD113" s="300">
        <v>596</v>
      </c>
      <c r="CE113" s="300">
        <v>660</v>
      </c>
      <c r="CF113" s="300">
        <v>1650</v>
      </c>
      <c r="CG113" s="300">
        <v>1802</v>
      </c>
      <c r="CH113" s="300">
        <v>1985</v>
      </c>
      <c r="CI113" s="300">
        <v>1800</v>
      </c>
      <c r="CJ113" s="300">
        <v>2000</v>
      </c>
      <c r="CK113" s="300">
        <v>3000</v>
      </c>
      <c r="CL113" s="300">
        <v>1800</v>
      </c>
      <c r="CM113" s="300">
        <v>3000</v>
      </c>
      <c r="CN113" s="300">
        <v>836.88</v>
      </c>
      <c r="CO113" s="300">
        <v>1566</v>
      </c>
      <c r="CP113" s="254">
        <v>15.5</v>
      </c>
      <c r="CQ113" s="254"/>
      <c r="CR113" s="254"/>
      <c r="CS113" s="254"/>
      <c r="CT113" s="254"/>
      <c r="CW113" s="277"/>
      <c r="CX113" s="277"/>
      <c r="CY113" s="277"/>
    </row>
    <row r="114" spans="1:103" x14ac:dyDescent="0.2">
      <c r="A114" s="254">
        <v>15.75</v>
      </c>
      <c r="B114" s="122">
        <f t="shared" si="1"/>
        <v>1.95143910460319E-2</v>
      </c>
      <c r="C114" s="122">
        <f t="shared" si="2"/>
        <v>1.8395379601908551E-2</v>
      </c>
      <c r="D114" s="122">
        <f t="shared" si="3"/>
        <v>115.23839384129978</v>
      </c>
      <c r="E114" s="122">
        <f t="shared" si="4"/>
        <v>78.934171960951176</v>
      </c>
      <c r="F114" s="122">
        <f t="shared" si="10"/>
        <v>27.593069402862827</v>
      </c>
      <c r="G114" s="299">
        <f>HLOOKUP('Input &amp; Summary'!$B$6,'AEP Input Output sheet'!$N$50:$CO$211,ROW(G114)-49,0)</f>
        <v>1500</v>
      </c>
      <c r="H114" s="122">
        <f t="shared" si="5"/>
        <v>1662.9519221382577</v>
      </c>
      <c r="I114" s="247">
        <f t="shared" si="6"/>
        <v>0.90201044301465383</v>
      </c>
      <c r="J114" s="254">
        <f t="shared" si="7"/>
        <v>4757.1269099637257</v>
      </c>
      <c r="K114" s="122">
        <f t="shared" si="8"/>
        <v>3342.7208080277042</v>
      </c>
      <c r="L114" s="122">
        <f t="shared" si="11"/>
        <v>1662.9519221382577</v>
      </c>
      <c r="M114" s="122"/>
      <c r="N114" s="254">
        <f t="shared" si="9"/>
        <v>1500</v>
      </c>
      <c r="O114" s="452">
        <v>1498.1250000000002</v>
      </c>
      <c r="P114" s="452">
        <v>3495.6250000000005</v>
      </c>
      <c r="Q114" s="452">
        <v>4993.75</v>
      </c>
      <c r="R114">
        <v>1500</v>
      </c>
      <c r="S114">
        <v>3500</v>
      </c>
      <c r="T114">
        <v>5000</v>
      </c>
      <c r="U114">
        <v>1500</v>
      </c>
      <c r="V114">
        <v>3500</v>
      </c>
      <c r="W114">
        <v>5000</v>
      </c>
      <c r="X114" s="300">
        <v>1500</v>
      </c>
      <c r="Y114" s="300">
        <v>1500</v>
      </c>
      <c r="Z114" s="300">
        <v>900</v>
      </c>
      <c r="AA114" s="300">
        <v>900</v>
      </c>
      <c r="AB114" s="302">
        <v>5000</v>
      </c>
      <c r="AC114" s="300">
        <v>1296.5</v>
      </c>
      <c r="AD114" s="300">
        <v>2500</v>
      </c>
      <c r="AE114" s="300">
        <v>2500</v>
      </c>
      <c r="AF114" s="300">
        <v>2500</v>
      </c>
      <c r="AG114" s="300">
        <v>2500</v>
      </c>
      <c r="AH114" s="300">
        <v>2000</v>
      </c>
      <c r="AI114" s="300">
        <v>550</v>
      </c>
      <c r="AJ114" s="300">
        <v>750</v>
      </c>
      <c r="AK114" s="300">
        <v>1520</v>
      </c>
      <c r="AL114" s="300">
        <v>1500</v>
      </c>
      <c r="AM114" s="300">
        <v>2500</v>
      </c>
      <c r="AN114" s="300">
        <v>2500</v>
      </c>
      <c r="AO114" s="300">
        <v>2500</v>
      </c>
      <c r="AP114" s="300">
        <v>800</v>
      </c>
      <c r="AQ114" s="300">
        <v>849.75</v>
      </c>
      <c r="AR114" s="300">
        <v>1998</v>
      </c>
      <c r="AS114" s="300">
        <v>1999.5749999999998</v>
      </c>
      <c r="AT114" s="300">
        <v>1999.825</v>
      </c>
      <c r="AU114" s="300">
        <v>1500</v>
      </c>
      <c r="AV114" s="300">
        <v>1500</v>
      </c>
      <c r="AW114" s="300">
        <v>1500</v>
      </c>
      <c r="AX114" s="300">
        <v>2500</v>
      </c>
      <c r="AY114" s="300">
        <v>1000</v>
      </c>
      <c r="AZ114" s="300">
        <v>1000</v>
      </c>
      <c r="BA114" s="300">
        <v>2400</v>
      </c>
      <c r="BB114" s="300">
        <v>2400</v>
      </c>
      <c r="BC114" s="302">
        <v>5000</v>
      </c>
      <c r="BD114" s="300">
        <v>749.8</v>
      </c>
      <c r="BE114" s="300">
        <v>752.26</v>
      </c>
      <c r="BF114" s="300">
        <v>901.6</v>
      </c>
      <c r="BG114" s="300">
        <v>1500</v>
      </c>
      <c r="BH114" s="300">
        <v>1650</v>
      </c>
      <c r="BI114" s="300">
        <v>617.71250000000009</v>
      </c>
      <c r="BJ114" s="300">
        <v>1333.25</v>
      </c>
      <c r="BK114" s="300">
        <v>2300</v>
      </c>
      <c r="BL114" s="300">
        <v>2500</v>
      </c>
      <c r="BM114" s="300">
        <v>2500</v>
      </c>
      <c r="BN114" s="300">
        <v>2500</v>
      </c>
      <c r="BO114" s="300">
        <v>2500</v>
      </c>
      <c r="BP114" s="300">
        <v>2050</v>
      </c>
      <c r="BQ114" s="300">
        <v>2050</v>
      </c>
      <c r="BR114" s="300">
        <v>3300</v>
      </c>
      <c r="BS114" s="302">
        <v>5000</v>
      </c>
      <c r="BT114" s="300">
        <v>2300</v>
      </c>
      <c r="BU114">
        <v>3600</v>
      </c>
      <c r="BV114" s="300">
        <v>950</v>
      </c>
      <c r="BW114" s="300">
        <v>1250</v>
      </c>
      <c r="BX114" s="300">
        <v>2100</v>
      </c>
      <c r="BY114" s="300">
        <v>600</v>
      </c>
      <c r="BZ114" s="300">
        <v>1500</v>
      </c>
      <c r="CA114" s="300">
        <v>616.46</v>
      </c>
      <c r="CB114" s="300">
        <v>614.47500000000002</v>
      </c>
      <c r="CC114" s="300">
        <v>597</v>
      </c>
      <c r="CD114" s="300">
        <v>597</v>
      </c>
      <c r="CE114" s="300">
        <v>660</v>
      </c>
      <c r="CF114" s="300">
        <v>1650</v>
      </c>
      <c r="CG114" s="300">
        <v>1802</v>
      </c>
      <c r="CH114" s="300">
        <v>1990</v>
      </c>
      <c r="CI114" s="300">
        <v>1800</v>
      </c>
      <c r="CJ114" s="300">
        <v>2000</v>
      </c>
      <c r="CK114" s="300">
        <v>3000</v>
      </c>
      <c r="CL114" s="300">
        <v>1800</v>
      </c>
      <c r="CM114" s="300">
        <v>3000</v>
      </c>
      <c r="CN114" s="300">
        <v>846.14</v>
      </c>
      <c r="CO114" s="300">
        <v>1584.2</v>
      </c>
      <c r="CP114" s="254">
        <v>15.75</v>
      </c>
      <c r="CQ114" s="254"/>
      <c r="CR114" s="254"/>
      <c r="CS114" s="254"/>
      <c r="CT114" s="254"/>
      <c r="CW114" s="277"/>
      <c r="CX114" s="277"/>
      <c r="CY114" s="277"/>
    </row>
    <row r="115" spans="1:103" x14ac:dyDescent="0.2">
      <c r="A115" s="254">
        <v>16</v>
      </c>
      <c r="B115" s="122">
        <f t="shared" ref="B115:B178" si="12">((PI()*$A115)/(2*$B$16*$B$16))*EXP(((-PI()*$A115*$A115)/(4*$B$16*$B$16)))</f>
        <v>1.8034352234596349E-2</v>
      </c>
      <c r="C115" s="122">
        <f t="shared" ref="C115:C178" si="13">WEIBULL(A115,$B$2,$B$16/EXP(GAMMALN(1+1/$B$2)),FALSE)</f>
        <v>1.6853937314040158E-2</v>
      </c>
      <c r="D115" s="122">
        <f t="shared" ref="D115:D178" si="14">((0.5*$B$15*0.25*PI()*$B$4^2*A115^3)*C115/(1000))*16/27</f>
        <v>110.68992424565717</v>
      </c>
      <c r="E115" s="122">
        <f t="shared" ref="E115:E178" si="15">((0.5*$B$15*0.25*PI()*$B$4^2*A115^3)*C115/(1000))*$B$7*I115</f>
        <v>75.818633213369807</v>
      </c>
      <c r="F115" s="122">
        <f t="shared" si="10"/>
        <v>25.280905971060236</v>
      </c>
      <c r="G115" s="299">
        <f>HLOOKUP('Input &amp; Summary'!$B$6,'AEP Input Output sheet'!$N$50:$CO$211,ROW(G115)-49,0)</f>
        <v>1500</v>
      </c>
      <c r="H115" s="122">
        <f t="shared" ref="H115:H178" si="16">IF(AND(A115 &gt; $B$11,A115&lt;$B$12),IF(A115&gt;$B$18,L115,IF(A115&gt;=$M$25,K115,J115)),0)</f>
        <v>1662.9519221382577</v>
      </c>
      <c r="I115" s="247">
        <f t="shared" ref="I115:I178" si="17">IF(ISERROR(((H115/$B$17)-($B$19+$B$20*(H115/$B$17)+$B$21*(H115/$B$17)^2))/(H115/$B$17)),0,((H115/$B$17)-($B$19+$B$20*(H115/$B$17)+$B$21*(H115/$B$17)^2))/(H115/$B$17))</f>
        <v>0.90201044301465383</v>
      </c>
      <c r="J115" s="254">
        <f t="shared" ref="J115:J178" si="18">$G$28*(A115*$B$8/($B$4/2))^3/1000</f>
        <v>4987.2714997001831</v>
      </c>
      <c r="K115" s="122">
        <f t="shared" ref="K115:K178" si="19">IF(A115&gt;=$M$25,($B$17-$M$26)/($B$18-$M$25)*(A115-$M$25)+$M$26,0)</f>
        <v>3435.0634991954284</v>
      </c>
      <c r="L115" s="122">
        <f t="shared" si="11"/>
        <v>1662.9519221382577</v>
      </c>
      <c r="M115" s="122"/>
      <c r="N115" s="254">
        <f t="shared" ref="N115:N178" si="20">H115*I115</f>
        <v>1500</v>
      </c>
      <c r="O115" s="452">
        <v>1498.5000000000002</v>
      </c>
      <c r="P115" s="452">
        <v>3496.5</v>
      </c>
      <c r="Q115" s="452">
        <v>4995.0000000000009</v>
      </c>
      <c r="R115">
        <v>1500</v>
      </c>
      <c r="S115">
        <v>3500</v>
      </c>
      <c r="T115">
        <v>5000</v>
      </c>
      <c r="U115">
        <v>1500</v>
      </c>
      <c r="V115">
        <v>3500</v>
      </c>
      <c r="W115">
        <v>5000</v>
      </c>
      <c r="X115" s="300">
        <v>1500</v>
      </c>
      <c r="Y115" s="300">
        <v>1500</v>
      </c>
      <c r="Z115" s="300">
        <v>900</v>
      </c>
      <c r="AA115" s="300">
        <v>900</v>
      </c>
      <c r="AB115" s="302">
        <v>5000</v>
      </c>
      <c r="AC115" s="300">
        <v>1298</v>
      </c>
      <c r="AD115" s="300">
        <v>2500</v>
      </c>
      <c r="AE115" s="300">
        <v>2500</v>
      </c>
      <c r="AF115" s="300">
        <v>2500</v>
      </c>
      <c r="AG115" s="300">
        <v>2500</v>
      </c>
      <c r="AH115" s="300">
        <v>2000</v>
      </c>
      <c r="AI115" s="300">
        <v>550</v>
      </c>
      <c r="AJ115" s="300">
        <v>750</v>
      </c>
      <c r="AK115" s="300">
        <v>1520</v>
      </c>
      <c r="AL115" s="300">
        <v>1500</v>
      </c>
      <c r="AM115" s="300">
        <v>2500</v>
      </c>
      <c r="AN115" s="300">
        <v>2500</v>
      </c>
      <c r="AO115" s="300">
        <v>2500</v>
      </c>
      <c r="AP115" s="300">
        <v>800</v>
      </c>
      <c r="AQ115" s="300">
        <v>850</v>
      </c>
      <c r="AR115" s="300">
        <v>1999</v>
      </c>
      <c r="AS115" s="300">
        <v>1999.8</v>
      </c>
      <c r="AT115" s="300">
        <v>1999.9</v>
      </c>
      <c r="AU115" s="300">
        <v>1500</v>
      </c>
      <c r="AV115" s="300">
        <v>1500</v>
      </c>
      <c r="AW115" s="300">
        <v>1500</v>
      </c>
      <c r="AX115" s="300">
        <v>2500</v>
      </c>
      <c r="AY115" s="300">
        <v>1000</v>
      </c>
      <c r="AZ115" s="300">
        <v>1000</v>
      </c>
      <c r="BA115" s="300">
        <v>2400</v>
      </c>
      <c r="BB115" s="300">
        <v>2400</v>
      </c>
      <c r="BC115" s="302">
        <v>5000</v>
      </c>
      <c r="BD115" s="300">
        <v>749.89</v>
      </c>
      <c r="BE115" s="300">
        <v>755.2</v>
      </c>
      <c r="BF115" s="300">
        <v>901.65</v>
      </c>
      <c r="BG115" s="300">
        <v>1500</v>
      </c>
      <c r="BH115" s="300">
        <v>1650</v>
      </c>
      <c r="BI115" s="300">
        <v>617.12</v>
      </c>
      <c r="BJ115" s="300">
        <v>1344</v>
      </c>
      <c r="BK115" s="300">
        <v>2300</v>
      </c>
      <c r="BL115" s="300">
        <v>2500</v>
      </c>
      <c r="BM115" s="300">
        <v>2500</v>
      </c>
      <c r="BN115" s="300">
        <v>2500</v>
      </c>
      <c r="BO115" s="300">
        <v>2500</v>
      </c>
      <c r="BP115" s="300">
        <v>2050</v>
      </c>
      <c r="BQ115" s="300">
        <v>2050</v>
      </c>
      <c r="BR115" s="300">
        <v>3300</v>
      </c>
      <c r="BS115" s="302">
        <v>5000</v>
      </c>
      <c r="BT115" s="300">
        <v>2300</v>
      </c>
      <c r="BU115">
        <v>3600</v>
      </c>
      <c r="BV115" s="300">
        <v>950</v>
      </c>
      <c r="BW115" s="300">
        <v>1250</v>
      </c>
      <c r="BX115" s="300">
        <v>2100</v>
      </c>
      <c r="BY115" s="300">
        <v>600</v>
      </c>
      <c r="BZ115" s="300">
        <v>1500</v>
      </c>
      <c r="CA115" s="300">
        <v>616.46</v>
      </c>
      <c r="CB115" s="300">
        <v>616.20000000000005</v>
      </c>
      <c r="CC115" s="300">
        <v>598</v>
      </c>
      <c r="CD115" s="300">
        <v>598</v>
      </c>
      <c r="CE115" s="300">
        <v>660</v>
      </c>
      <c r="CF115" s="300">
        <v>1650</v>
      </c>
      <c r="CG115" s="300">
        <v>1802</v>
      </c>
      <c r="CH115" s="300">
        <v>2000</v>
      </c>
      <c r="CI115" s="300">
        <v>1800</v>
      </c>
      <c r="CJ115" s="300">
        <v>2000</v>
      </c>
      <c r="CK115" s="300">
        <v>3000</v>
      </c>
      <c r="CL115" s="300">
        <v>1800</v>
      </c>
      <c r="CM115" s="300">
        <v>3000</v>
      </c>
      <c r="CN115" s="300">
        <v>850</v>
      </c>
      <c r="CO115" s="300">
        <v>1602.4</v>
      </c>
      <c r="CP115" s="254">
        <v>16</v>
      </c>
      <c r="CQ115" s="254"/>
      <c r="CR115" s="254"/>
      <c r="CS115" s="254"/>
      <c r="CT115" s="254"/>
      <c r="CW115" s="277"/>
      <c r="CX115" s="277"/>
      <c r="CY115" s="277"/>
    </row>
    <row r="116" spans="1:103" x14ac:dyDescent="0.2">
      <c r="A116" s="254">
        <v>16.25</v>
      </c>
      <c r="B116" s="122">
        <f t="shared" si="12"/>
        <v>1.663768518599101E-2</v>
      </c>
      <c r="C116" s="122">
        <f t="shared" si="13"/>
        <v>1.5409480946349464E-2</v>
      </c>
      <c r="D116" s="122">
        <f t="shared" si="14"/>
        <v>106.02172696597061</v>
      </c>
      <c r="E116" s="122">
        <f t="shared" si="15"/>
        <v>72.621085290844306</v>
      </c>
      <c r="F116" s="122">
        <f t="shared" ref="F116:F179" si="21">$G116*$C116</f>
        <v>23.114221419524196</v>
      </c>
      <c r="G116" s="299">
        <f>HLOOKUP('Input &amp; Summary'!$B$6,'AEP Input Output sheet'!$N$50:$CO$211,ROW(G116)-49,0)</f>
        <v>1500</v>
      </c>
      <c r="H116" s="122">
        <f t="shared" si="16"/>
        <v>1662.9519221382577</v>
      </c>
      <c r="I116" s="247">
        <f t="shared" si="17"/>
        <v>0.90201044301465383</v>
      </c>
      <c r="J116" s="254">
        <f t="shared" si="18"/>
        <v>5224.7216629225259</v>
      </c>
      <c r="K116" s="122">
        <f t="shared" si="19"/>
        <v>3527.4061903631527</v>
      </c>
      <c r="L116" s="122">
        <f t="shared" ref="L116:L179" si="22">$B$17</f>
        <v>1662.9519221382577</v>
      </c>
      <c r="M116" s="122"/>
      <c r="N116" s="254">
        <f t="shared" si="20"/>
        <v>1500</v>
      </c>
      <c r="O116" s="452">
        <v>1498.8750000000002</v>
      </c>
      <c r="P116" s="452">
        <v>3497.3750000000005</v>
      </c>
      <c r="Q116" s="452">
        <v>4996.2500000000009</v>
      </c>
      <c r="R116">
        <v>1500</v>
      </c>
      <c r="S116">
        <v>3500</v>
      </c>
      <c r="T116">
        <v>5000</v>
      </c>
      <c r="U116">
        <v>1500</v>
      </c>
      <c r="V116">
        <v>3500</v>
      </c>
      <c r="W116">
        <v>5000</v>
      </c>
      <c r="X116" s="300">
        <v>1500</v>
      </c>
      <c r="Y116" s="300">
        <v>1500</v>
      </c>
      <c r="Z116" s="300">
        <v>900</v>
      </c>
      <c r="AA116" s="300">
        <v>900</v>
      </c>
      <c r="AB116" s="302">
        <v>5000</v>
      </c>
      <c r="AC116" s="300">
        <v>1298.5</v>
      </c>
      <c r="AD116" s="300">
        <v>2500</v>
      </c>
      <c r="AE116" s="300">
        <v>2500</v>
      </c>
      <c r="AF116" s="300">
        <v>2500</v>
      </c>
      <c r="AG116" s="300">
        <v>2500</v>
      </c>
      <c r="AH116" s="300">
        <v>2000</v>
      </c>
      <c r="AI116" s="300">
        <v>550</v>
      </c>
      <c r="AJ116" s="300">
        <v>750</v>
      </c>
      <c r="AK116" s="300">
        <v>1520</v>
      </c>
      <c r="AL116" s="300">
        <v>1500</v>
      </c>
      <c r="AM116" s="300">
        <v>2500</v>
      </c>
      <c r="AN116" s="300">
        <v>2500</v>
      </c>
      <c r="AO116" s="300">
        <v>2500</v>
      </c>
      <c r="AP116" s="300">
        <v>800</v>
      </c>
      <c r="AQ116" s="300">
        <v>850</v>
      </c>
      <c r="AR116" s="300">
        <v>1999.25</v>
      </c>
      <c r="AS116" s="300">
        <v>1999.85</v>
      </c>
      <c r="AT116" s="300">
        <v>1999.9250000000002</v>
      </c>
      <c r="AU116" s="300">
        <v>1500</v>
      </c>
      <c r="AV116" s="300">
        <v>1500</v>
      </c>
      <c r="AW116" s="300">
        <v>1500</v>
      </c>
      <c r="AX116" s="300">
        <v>2500</v>
      </c>
      <c r="AY116" s="300">
        <v>1000</v>
      </c>
      <c r="AZ116" s="300">
        <v>1000</v>
      </c>
      <c r="BA116" s="300">
        <v>2400</v>
      </c>
      <c r="BB116" s="300">
        <v>2400</v>
      </c>
      <c r="BC116" s="302">
        <v>5000</v>
      </c>
      <c r="BD116" s="300">
        <v>749.98</v>
      </c>
      <c r="BE116" s="300">
        <v>755.26</v>
      </c>
      <c r="BF116" s="300">
        <v>899.68</v>
      </c>
      <c r="BG116" s="300">
        <v>1500</v>
      </c>
      <c r="BH116" s="300">
        <v>1650</v>
      </c>
      <c r="BI116" s="300">
        <v>608.11</v>
      </c>
      <c r="BJ116" s="300">
        <v>1349</v>
      </c>
      <c r="BK116" s="300">
        <v>2300</v>
      </c>
      <c r="BL116" s="300">
        <v>2500</v>
      </c>
      <c r="BM116" s="300">
        <v>2500</v>
      </c>
      <c r="BN116" s="300">
        <v>2500</v>
      </c>
      <c r="BO116" s="300">
        <v>2500</v>
      </c>
      <c r="BP116" s="300">
        <v>2050</v>
      </c>
      <c r="BQ116" s="300">
        <v>2050</v>
      </c>
      <c r="BR116" s="300">
        <v>3300</v>
      </c>
      <c r="BS116" s="302">
        <v>5000</v>
      </c>
      <c r="BT116" s="300">
        <v>2300</v>
      </c>
      <c r="BU116">
        <v>3600</v>
      </c>
      <c r="BV116" s="300">
        <v>950</v>
      </c>
      <c r="BW116" s="300">
        <v>1250</v>
      </c>
      <c r="BX116" s="300">
        <v>2100</v>
      </c>
      <c r="BY116" s="300">
        <v>600</v>
      </c>
      <c r="BZ116" s="300">
        <v>1500</v>
      </c>
      <c r="CA116" s="300">
        <v>616.46</v>
      </c>
      <c r="CB116" s="300">
        <v>614.72500000000002</v>
      </c>
      <c r="CC116" s="300">
        <v>598.5</v>
      </c>
      <c r="CD116" s="300">
        <v>598.5</v>
      </c>
      <c r="CE116" s="300">
        <v>660</v>
      </c>
      <c r="CF116" s="300">
        <v>1650</v>
      </c>
      <c r="CG116" s="300">
        <v>1802</v>
      </c>
      <c r="CH116" s="300">
        <v>2000</v>
      </c>
      <c r="CI116" s="300">
        <v>1800</v>
      </c>
      <c r="CJ116" s="300">
        <v>2000</v>
      </c>
      <c r="CK116" s="300">
        <v>3000</v>
      </c>
      <c r="CL116" s="300">
        <v>1800</v>
      </c>
      <c r="CM116" s="300">
        <v>3000</v>
      </c>
      <c r="CN116" s="300">
        <v>850</v>
      </c>
      <c r="CO116" s="300">
        <v>1610.8000000000002</v>
      </c>
      <c r="CP116" s="254">
        <v>16.25</v>
      </c>
      <c r="CQ116" s="254"/>
      <c r="CR116" s="254"/>
      <c r="CS116" s="254"/>
      <c r="CT116" s="254"/>
      <c r="CW116" s="277"/>
      <c r="CX116" s="277"/>
      <c r="CY116" s="277"/>
    </row>
    <row r="117" spans="1:103" x14ac:dyDescent="0.2">
      <c r="A117" s="254">
        <v>16.5</v>
      </c>
      <c r="B117" s="122">
        <f t="shared" si="12"/>
        <v>1.5322700243927399E-2</v>
      </c>
      <c r="C117" s="122">
        <f t="shared" si="13"/>
        <v>1.4059536352781911E-2</v>
      </c>
      <c r="D117" s="122">
        <f t="shared" si="14"/>
        <v>101.26738597014354</v>
      </c>
      <c r="E117" s="122">
        <f t="shared" si="15"/>
        <v>69.364532008416319</v>
      </c>
      <c r="F117" s="122">
        <f t="shared" si="21"/>
        <v>21.089304529172868</v>
      </c>
      <c r="G117" s="299">
        <f>HLOOKUP('Input &amp; Summary'!$B$6,'AEP Input Output sheet'!$N$50:$CO$211,ROW(G117)-49,0)</f>
        <v>1500</v>
      </c>
      <c r="H117" s="122">
        <f t="shared" si="16"/>
        <v>1662.9519221382577</v>
      </c>
      <c r="I117" s="247">
        <f t="shared" si="17"/>
        <v>0.90201044301465383</v>
      </c>
      <c r="J117" s="254">
        <f t="shared" si="18"/>
        <v>5469.5915492164731</v>
      </c>
      <c r="K117" s="122">
        <f t="shared" si="19"/>
        <v>3619.748881530877</v>
      </c>
      <c r="L117" s="122">
        <f t="shared" si="22"/>
        <v>1662.9519221382577</v>
      </c>
      <c r="M117" s="122"/>
      <c r="N117" s="254">
        <f t="shared" si="20"/>
        <v>1500</v>
      </c>
      <c r="O117" s="452">
        <v>1499.1562500000002</v>
      </c>
      <c r="P117" s="452">
        <v>3498.0312500000005</v>
      </c>
      <c r="Q117" s="452">
        <v>4997.1875000000009</v>
      </c>
      <c r="R117">
        <v>1500</v>
      </c>
      <c r="S117">
        <v>3500</v>
      </c>
      <c r="T117">
        <v>5000</v>
      </c>
      <c r="U117">
        <v>1500</v>
      </c>
      <c r="V117">
        <v>3500</v>
      </c>
      <c r="W117">
        <v>5000</v>
      </c>
      <c r="X117" s="300">
        <v>1500</v>
      </c>
      <c r="Y117" s="300">
        <v>1500</v>
      </c>
      <c r="Z117" s="300">
        <v>900</v>
      </c>
      <c r="AA117" s="300">
        <v>900</v>
      </c>
      <c r="AB117" s="302">
        <v>5000</v>
      </c>
      <c r="AC117" s="300">
        <v>1298.875</v>
      </c>
      <c r="AD117" s="300">
        <v>2500</v>
      </c>
      <c r="AE117" s="300">
        <v>2500</v>
      </c>
      <c r="AF117" s="300">
        <v>2500</v>
      </c>
      <c r="AG117" s="300">
        <v>2500</v>
      </c>
      <c r="AH117" s="300">
        <v>2000</v>
      </c>
      <c r="AI117" s="300">
        <v>550</v>
      </c>
      <c r="AJ117" s="300">
        <v>750</v>
      </c>
      <c r="AK117" s="300">
        <v>1520</v>
      </c>
      <c r="AL117" s="300">
        <v>1500</v>
      </c>
      <c r="AM117" s="300">
        <v>2500</v>
      </c>
      <c r="AN117" s="300">
        <v>2500</v>
      </c>
      <c r="AO117" s="300">
        <v>2500</v>
      </c>
      <c r="AP117" s="300">
        <v>800</v>
      </c>
      <c r="AQ117" s="300">
        <v>850</v>
      </c>
      <c r="AR117" s="300">
        <v>1999.5</v>
      </c>
      <c r="AS117" s="300">
        <v>1999.8999999999999</v>
      </c>
      <c r="AT117" s="300">
        <v>1999.9500000000003</v>
      </c>
      <c r="AU117" s="300">
        <v>1500</v>
      </c>
      <c r="AV117" s="300">
        <v>1500</v>
      </c>
      <c r="AW117" s="300">
        <v>1500</v>
      </c>
      <c r="AX117" s="300">
        <v>2500</v>
      </c>
      <c r="AY117" s="300">
        <v>1000</v>
      </c>
      <c r="AZ117" s="300">
        <v>1000</v>
      </c>
      <c r="BA117" s="300">
        <v>2400</v>
      </c>
      <c r="BB117" s="300">
        <v>2400</v>
      </c>
      <c r="BC117" s="302">
        <v>5000</v>
      </c>
      <c r="BD117" s="300">
        <v>750.07</v>
      </c>
      <c r="BE117" s="300">
        <v>755.32</v>
      </c>
      <c r="BF117" s="300">
        <v>895.71</v>
      </c>
      <c r="BG117" s="300">
        <v>1500</v>
      </c>
      <c r="BH117" s="300">
        <v>1650</v>
      </c>
      <c r="BI117" s="300">
        <v>599.1</v>
      </c>
      <c r="BJ117" s="300">
        <v>1354</v>
      </c>
      <c r="BK117" s="300">
        <v>2300</v>
      </c>
      <c r="BL117" s="300">
        <v>2500</v>
      </c>
      <c r="BM117" s="300">
        <v>2500</v>
      </c>
      <c r="BN117" s="300">
        <v>2500</v>
      </c>
      <c r="BO117" s="300">
        <v>2500</v>
      </c>
      <c r="BP117" s="300">
        <v>2050</v>
      </c>
      <c r="BQ117" s="300">
        <v>2050</v>
      </c>
      <c r="BR117" s="300">
        <v>3300</v>
      </c>
      <c r="BS117" s="302">
        <v>5000</v>
      </c>
      <c r="BT117" s="300">
        <v>2300</v>
      </c>
      <c r="BU117">
        <v>3600</v>
      </c>
      <c r="BV117" s="300">
        <v>950</v>
      </c>
      <c r="BW117" s="300">
        <v>1250</v>
      </c>
      <c r="BX117" s="300">
        <v>2100</v>
      </c>
      <c r="BY117" s="300">
        <v>600</v>
      </c>
      <c r="BZ117" s="300">
        <v>1500</v>
      </c>
      <c r="CA117" s="300">
        <v>616.46</v>
      </c>
      <c r="CB117" s="300">
        <v>613.25</v>
      </c>
      <c r="CC117" s="300">
        <v>599</v>
      </c>
      <c r="CD117" s="300">
        <v>599</v>
      </c>
      <c r="CE117" s="300">
        <v>660</v>
      </c>
      <c r="CF117" s="300">
        <v>1650</v>
      </c>
      <c r="CG117" s="300">
        <v>1802</v>
      </c>
      <c r="CH117" s="300">
        <v>2000</v>
      </c>
      <c r="CI117" s="300">
        <v>1800</v>
      </c>
      <c r="CJ117" s="300">
        <v>2000</v>
      </c>
      <c r="CK117" s="300">
        <v>3000</v>
      </c>
      <c r="CL117" s="300">
        <v>1800</v>
      </c>
      <c r="CM117" s="300">
        <v>3000</v>
      </c>
      <c r="CN117" s="300">
        <v>850</v>
      </c>
      <c r="CO117" s="300">
        <v>1619.2000000000003</v>
      </c>
      <c r="CP117" s="254">
        <v>16.5</v>
      </c>
      <c r="CQ117" s="254"/>
      <c r="CR117" s="254"/>
      <c r="CS117" s="254"/>
      <c r="CT117" s="254"/>
      <c r="CW117" s="277"/>
      <c r="CX117" s="277"/>
      <c r="CY117" s="277"/>
    </row>
    <row r="118" spans="1:103" x14ac:dyDescent="0.2">
      <c r="A118" s="254">
        <v>16.75</v>
      </c>
      <c r="B118" s="122">
        <f t="shared" si="12"/>
        <v>1.4087400101665093E-2</v>
      </c>
      <c r="C118" s="122">
        <f t="shared" si="13"/>
        <v>1.2801254566586354E-2</v>
      </c>
      <c r="D118" s="122">
        <f t="shared" si="14"/>
        <v>96.459217868204846</v>
      </c>
      <c r="E118" s="122">
        <f t="shared" si="15"/>
        <v>66.071109086379977</v>
      </c>
      <c r="F118" s="122">
        <f t="shared" si="21"/>
        <v>19.201881849879531</v>
      </c>
      <c r="G118" s="299">
        <f>HLOOKUP('Input &amp; Summary'!$B$6,'AEP Input Output sheet'!$N$50:$CO$211,ROW(G118)-49,0)</f>
        <v>1500</v>
      </c>
      <c r="H118" s="122">
        <f t="shared" si="16"/>
        <v>1662.9519221382577</v>
      </c>
      <c r="I118" s="247">
        <f t="shared" si="17"/>
        <v>0.90201044301465383</v>
      </c>
      <c r="J118" s="254">
        <f t="shared" si="18"/>
        <v>5721.9953081677459</v>
      </c>
      <c r="K118" s="122">
        <f t="shared" si="19"/>
        <v>3712.0915726986013</v>
      </c>
      <c r="L118" s="122">
        <f t="shared" si="22"/>
        <v>1662.9519221382577</v>
      </c>
      <c r="M118" s="122"/>
      <c r="N118" s="254">
        <f t="shared" si="20"/>
        <v>1500</v>
      </c>
      <c r="O118" s="452">
        <v>1499.3671875</v>
      </c>
      <c r="P118" s="452">
        <v>3498.5234375000005</v>
      </c>
      <c r="Q118" s="452">
        <v>4997.890625</v>
      </c>
      <c r="R118">
        <v>1500</v>
      </c>
      <c r="S118">
        <v>3500</v>
      </c>
      <c r="T118">
        <v>5000</v>
      </c>
      <c r="U118">
        <v>1500</v>
      </c>
      <c r="V118">
        <v>3500</v>
      </c>
      <c r="W118">
        <v>5000</v>
      </c>
      <c r="X118" s="300">
        <v>1500</v>
      </c>
      <c r="Y118" s="300">
        <v>1500</v>
      </c>
      <c r="Z118" s="300">
        <v>900</v>
      </c>
      <c r="AA118" s="300">
        <v>900</v>
      </c>
      <c r="AB118" s="302">
        <v>5000</v>
      </c>
      <c r="AC118" s="300">
        <v>1299.25</v>
      </c>
      <c r="AD118" s="300">
        <v>2500</v>
      </c>
      <c r="AE118" s="300">
        <v>2500</v>
      </c>
      <c r="AF118" s="300">
        <v>2500</v>
      </c>
      <c r="AG118" s="300">
        <v>2500</v>
      </c>
      <c r="AH118" s="300">
        <v>2000</v>
      </c>
      <c r="AI118" s="300">
        <v>550</v>
      </c>
      <c r="AJ118" s="300">
        <v>750</v>
      </c>
      <c r="AK118" s="300">
        <v>1520</v>
      </c>
      <c r="AL118" s="300">
        <v>1500</v>
      </c>
      <c r="AM118" s="300">
        <v>2500</v>
      </c>
      <c r="AN118" s="300">
        <v>2500</v>
      </c>
      <c r="AO118" s="300">
        <v>2500</v>
      </c>
      <c r="AP118" s="300">
        <v>800</v>
      </c>
      <c r="AQ118" s="300">
        <v>850</v>
      </c>
      <c r="AR118" s="300">
        <v>1999.75</v>
      </c>
      <c r="AS118" s="300">
        <v>1999.9499999999998</v>
      </c>
      <c r="AT118" s="300">
        <v>1999.9750000000004</v>
      </c>
      <c r="AU118" s="300">
        <v>1500</v>
      </c>
      <c r="AV118" s="300">
        <v>1500</v>
      </c>
      <c r="AW118" s="300">
        <v>1500</v>
      </c>
      <c r="AX118" s="300">
        <v>2500</v>
      </c>
      <c r="AY118" s="300">
        <v>1000</v>
      </c>
      <c r="AZ118" s="300">
        <v>1000</v>
      </c>
      <c r="BA118" s="300">
        <v>2400</v>
      </c>
      <c r="BB118" s="300">
        <v>2400</v>
      </c>
      <c r="BC118" s="302">
        <v>5000</v>
      </c>
      <c r="BD118" s="300">
        <v>750.16</v>
      </c>
      <c r="BE118" s="300">
        <v>755.38</v>
      </c>
      <c r="BF118" s="300">
        <v>889.72</v>
      </c>
      <c r="BG118" s="300">
        <v>1500</v>
      </c>
      <c r="BH118" s="300">
        <v>1650</v>
      </c>
      <c r="BI118" s="300">
        <v>599.1</v>
      </c>
      <c r="BJ118" s="300">
        <v>1359</v>
      </c>
      <c r="BK118" s="300">
        <v>2300</v>
      </c>
      <c r="BL118" s="300">
        <v>2500</v>
      </c>
      <c r="BM118" s="300">
        <v>2500</v>
      </c>
      <c r="BN118" s="300">
        <v>2500</v>
      </c>
      <c r="BO118" s="300">
        <v>2500</v>
      </c>
      <c r="BP118" s="300">
        <v>2050</v>
      </c>
      <c r="BQ118" s="300">
        <v>2050</v>
      </c>
      <c r="BR118" s="300">
        <v>3300</v>
      </c>
      <c r="BS118" s="302">
        <v>5000</v>
      </c>
      <c r="BT118" s="300">
        <v>2300</v>
      </c>
      <c r="BU118">
        <v>3600</v>
      </c>
      <c r="BV118" s="300">
        <v>950</v>
      </c>
      <c r="BW118" s="300">
        <v>1250</v>
      </c>
      <c r="BX118" s="300">
        <v>2100</v>
      </c>
      <c r="BY118" s="300">
        <v>600</v>
      </c>
      <c r="BZ118" s="300">
        <v>1500</v>
      </c>
      <c r="CA118" s="300">
        <v>620.12</v>
      </c>
      <c r="CB118" s="300">
        <v>611.77499999999998</v>
      </c>
      <c r="CC118" s="300">
        <v>599.5</v>
      </c>
      <c r="CD118" s="300">
        <v>599.5</v>
      </c>
      <c r="CE118" s="300">
        <v>660</v>
      </c>
      <c r="CF118" s="300">
        <v>1650</v>
      </c>
      <c r="CG118" s="300">
        <v>1802</v>
      </c>
      <c r="CH118" s="300">
        <v>2000</v>
      </c>
      <c r="CI118" s="300">
        <v>1800</v>
      </c>
      <c r="CJ118" s="300">
        <v>2000</v>
      </c>
      <c r="CK118" s="300">
        <v>3000</v>
      </c>
      <c r="CL118" s="300">
        <v>1800</v>
      </c>
      <c r="CM118" s="300">
        <v>3000</v>
      </c>
      <c r="CN118" s="300">
        <v>850</v>
      </c>
      <c r="CO118" s="300">
        <v>1627.6000000000004</v>
      </c>
      <c r="CP118" s="254">
        <v>16.75</v>
      </c>
      <c r="CQ118" s="254"/>
      <c r="CR118" s="254"/>
      <c r="CS118" s="254"/>
      <c r="CT118" s="254"/>
      <c r="CW118" s="277"/>
      <c r="CX118" s="277"/>
      <c r="CY118" s="277"/>
    </row>
    <row r="119" spans="1:103" x14ac:dyDescent="0.2">
      <c r="A119" s="254">
        <v>17</v>
      </c>
      <c r="B119" s="122">
        <f t="shared" si="12"/>
        <v>1.2929522557722993E-2</v>
      </c>
      <c r="C119" s="122">
        <f t="shared" si="13"/>
        <v>1.163147184610633E-2</v>
      </c>
      <c r="D119" s="122">
        <f t="shared" si="14"/>
        <v>91.627999739255458</v>
      </c>
      <c r="E119" s="122">
        <f t="shared" si="15"/>
        <v>62.761897721489483</v>
      </c>
      <c r="F119" s="122">
        <f t="shared" si="21"/>
        <v>17.447207769159494</v>
      </c>
      <c r="G119" s="299">
        <f>HLOOKUP('Input &amp; Summary'!$B$6,'AEP Input Output sheet'!$N$50:$CO$211,ROW(G119)-49,0)</f>
        <v>1500</v>
      </c>
      <c r="H119" s="122">
        <f t="shared" si="16"/>
        <v>1662.9519221382577</v>
      </c>
      <c r="I119" s="247">
        <f t="shared" si="17"/>
        <v>0.90201044301465383</v>
      </c>
      <c r="J119" s="254">
        <f t="shared" si="18"/>
        <v>5982.0470893620568</v>
      </c>
      <c r="K119" s="122">
        <f t="shared" si="19"/>
        <v>3804.4342638663256</v>
      </c>
      <c r="L119" s="122">
        <f t="shared" si="22"/>
        <v>1662.9519221382577</v>
      </c>
      <c r="M119" s="122"/>
      <c r="N119" s="254">
        <f t="shared" si="20"/>
        <v>1500</v>
      </c>
      <c r="O119" s="452">
        <v>1499.5253906250002</v>
      </c>
      <c r="P119" s="452">
        <v>3498.892578125</v>
      </c>
      <c r="Q119" s="452">
        <v>4998.41796875</v>
      </c>
      <c r="R119">
        <v>1500</v>
      </c>
      <c r="S119">
        <v>3500</v>
      </c>
      <c r="T119">
        <v>5000</v>
      </c>
      <c r="U119">
        <v>1500</v>
      </c>
      <c r="V119">
        <v>3500</v>
      </c>
      <c r="W119">
        <v>5000</v>
      </c>
      <c r="X119" s="300">
        <v>1500</v>
      </c>
      <c r="Y119" s="300">
        <v>1500</v>
      </c>
      <c r="Z119" s="300">
        <v>900</v>
      </c>
      <c r="AA119" s="300">
        <v>900</v>
      </c>
      <c r="AB119" s="302">
        <v>5000</v>
      </c>
      <c r="AC119" s="300">
        <v>1300</v>
      </c>
      <c r="AD119" s="300">
        <v>2500</v>
      </c>
      <c r="AE119" s="300">
        <v>2500</v>
      </c>
      <c r="AF119" s="300">
        <v>2500</v>
      </c>
      <c r="AG119" s="300">
        <v>2500</v>
      </c>
      <c r="AH119" s="300">
        <v>2000</v>
      </c>
      <c r="AI119" s="300">
        <v>550</v>
      </c>
      <c r="AJ119" s="300">
        <v>750</v>
      </c>
      <c r="AK119" s="300">
        <v>1520</v>
      </c>
      <c r="AL119" s="300">
        <v>1500</v>
      </c>
      <c r="AM119" s="300">
        <v>2500</v>
      </c>
      <c r="AN119" s="300">
        <v>2500</v>
      </c>
      <c r="AO119" s="300">
        <v>2500</v>
      </c>
      <c r="AP119" s="300">
        <v>800</v>
      </c>
      <c r="AQ119" s="300">
        <v>850</v>
      </c>
      <c r="AR119" s="300">
        <v>2000</v>
      </c>
      <c r="AS119" s="300">
        <v>2000</v>
      </c>
      <c r="AT119" s="300">
        <v>2000</v>
      </c>
      <c r="AU119" s="300">
        <v>1500</v>
      </c>
      <c r="AV119" s="300">
        <v>1500</v>
      </c>
      <c r="AW119" s="300">
        <v>1500</v>
      </c>
      <c r="AX119" s="300">
        <v>2500</v>
      </c>
      <c r="AY119" s="300">
        <v>1000</v>
      </c>
      <c r="AZ119" s="300">
        <v>1000</v>
      </c>
      <c r="BA119" s="300">
        <v>2400</v>
      </c>
      <c r="BB119" s="300">
        <v>2400</v>
      </c>
      <c r="BC119" s="302">
        <v>5000</v>
      </c>
      <c r="BD119" s="300">
        <v>750.23</v>
      </c>
      <c r="BE119" s="300">
        <v>755.44</v>
      </c>
      <c r="BF119" s="300">
        <v>883.74</v>
      </c>
      <c r="BG119" s="300">
        <v>1500</v>
      </c>
      <c r="BH119" s="300">
        <v>1650</v>
      </c>
      <c r="BI119" s="300">
        <v>599.1</v>
      </c>
      <c r="BJ119" s="300">
        <v>1364</v>
      </c>
      <c r="BK119" s="300">
        <v>2300</v>
      </c>
      <c r="BL119" s="300">
        <v>2500</v>
      </c>
      <c r="BM119" s="300">
        <v>2500</v>
      </c>
      <c r="BN119" s="300">
        <v>2500</v>
      </c>
      <c r="BO119" s="300">
        <v>2500</v>
      </c>
      <c r="BP119" s="300">
        <v>2050</v>
      </c>
      <c r="BQ119" s="300">
        <v>2050</v>
      </c>
      <c r="BR119" s="300">
        <v>3300</v>
      </c>
      <c r="BS119" s="302">
        <v>5000</v>
      </c>
      <c r="BT119" s="300">
        <v>2300</v>
      </c>
      <c r="BU119">
        <v>3600</v>
      </c>
      <c r="BV119" s="300">
        <v>950</v>
      </c>
      <c r="BW119" s="300">
        <v>1250</v>
      </c>
      <c r="BX119" s="300">
        <v>2100</v>
      </c>
      <c r="BY119" s="300">
        <v>600</v>
      </c>
      <c r="BZ119" s="300">
        <v>1500</v>
      </c>
      <c r="CA119" s="300">
        <v>620.12</v>
      </c>
      <c r="CB119" s="300">
        <v>610.29999999999995</v>
      </c>
      <c r="CC119" s="300">
        <v>600</v>
      </c>
      <c r="CD119" s="300">
        <v>600</v>
      </c>
      <c r="CE119" s="300">
        <v>660</v>
      </c>
      <c r="CF119" s="300">
        <v>1650</v>
      </c>
      <c r="CG119" s="300">
        <v>1802</v>
      </c>
      <c r="CH119" s="300">
        <v>2000</v>
      </c>
      <c r="CI119" s="300">
        <v>1800</v>
      </c>
      <c r="CJ119" s="300">
        <v>2000</v>
      </c>
      <c r="CK119" s="300">
        <v>3000</v>
      </c>
      <c r="CL119" s="300">
        <v>1800</v>
      </c>
      <c r="CM119" s="300">
        <v>3000</v>
      </c>
      <c r="CN119" s="300">
        <v>850</v>
      </c>
      <c r="CO119" s="300">
        <v>1636</v>
      </c>
      <c r="CP119" s="254">
        <v>17</v>
      </c>
      <c r="CQ119" s="254"/>
      <c r="CR119" s="254"/>
      <c r="CS119" s="254"/>
      <c r="CT119" s="254"/>
      <c r="CW119" s="277"/>
      <c r="CX119" s="277"/>
      <c r="CY119" s="277"/>
    </row>
    <row r="120" spans="1:103" x14ac:dyDescent="0.2">
      <c r="A120" s="254">
        <v>17.25</v>
      </c>
      <c r="B120" s="122">
        <f t="shared" si="12"/>
        <v>1.1846581521512325E-2</v>
      </c>
      <c r="C120" s="122">
        <f t="shared" si="13"/>
        <v>1.0546766965938158E-2</v>
      </c>
      <c r="D120" s="122">
        <f t="shared" si="14"/>
        <v>86.802736439218179</v>
      </c>
      <c r="E120" s="122">
        <f t="shared" si="15"/>
        <v>59.456765201102783</v>
      </c>
      <c r="F120" s="122">
        <f t="shared" si="21"/>
        <v>15.820150448907238</v>
      </c>
      <c r="G120" s="299">
        <f>HLOOKUP('Input &amp; Summary'!$B$6,'AEP Input Output sheet'!$N$50:$CO$211,ROW(G120)-49,0)</f>
        <v>1500</v>
      </c>
      <c r="H120" s="122">
        <f t="shared" si="16"/>
        <v>1662.9519221382577</v>
      </c>
      <c r="I120" s="247">
        <f t="shared" si="17"/>
        <v>0.90201044301465383</v>
      </c>
      <c r="J120" s="254">
        <f t="shared" si="18"/>
        <v>6249.8610423851278</v>
      </c>
      <c r="K120" s="122">
        <f t="shared" si="19"/>
        <v>3896.7769550340508</v>
      </c>
      <c r="L120" s="122">
        <f t="shared" si="22"/>
        <v>1662.9519221382577</v>
      </c>
      <c r="M120" s="122"/>
      <c r="N120" s="254">
        <f t="shared" si="20"/>
        <v>1500</v>
      </c>
      <c r="O120">
        <v>1500</v>
      </c>
      <c r="P120">
        <v>3500</v>
      </c>
      <c r="Q120">
        <v>5000</v>
      </c>
      <c r="R120">
        <v>1500</v>
      </c>
      <c r="S120">
        <v>3500</v>
      </c>
      <c r="T120">
        <v>5000</v>
      </c>
      <c r="U120">
        <v>1500</v>
      </c>
      <c r="V120">
        <v>3500</v>
      </c>
      <c r="W120">
        <v>5000</v>
      </c>
      <c r="X120" s="300">
        <v>1500</v>
      </c>
      <c r="Y120" s="300">
        <v>1500</v>
      </c>
      <c r="Z120" s="300">
        <v>900</v>
      </c>
      <c r="AA120" s="300">
        <v>900</v>
      </c>
      <c r="AB120" s="302">
        <v>5000</v>
      </c>
      <c r="AC120" s="300">
        <v>1300</v>
      </c>
      <c r="AD120" s="300">
        <v>2500</v>
      </c>
      <c r="AE120" s="300">
        <v>2500</v>
      </c>
      <c r="AF120" s="300">
        <v>2500</v>
      </c>
      <c r="AG120" s="300">
        <v>2500</v>
      </c>
      <c r="AH120" s="300">
        <v>2000</v>
      </c>
      <c r="AI120" s="300">
        <v>550</v>
      </c>
      <c r="AJ120" s="300">
        <v>750</v>
      </c>
      <c r="AK120" s="300">
        <v>1510</v>
      </c>
      <c r="AL120" s="300">
        <v>1500</v>
      </c>
      <c r="AM120" s="300">
        <v>2500</v>
      </c>
      <c r="AN120" s="300">
        <v>2500</v>
      </c>
      <c r="AO120" s="300">
        <v>2500</v>
      </c>
      <c r="AP120" s="300">
        <v>800</v>
      </c>
      <c r="AQ120" s="300">
        <v>850</v>
      </c>
      <c r="AR120" s="300">
        <v>2000</v>
      </c>
      <c r="AS120" s="300">
        <v>2000</v>
      </c>
      <c r="AT120" s="300">
        <v>2000</v>
      </c>
      <c r="AU120" s="300">
        <v>1500</v>
      </c>
      <c r="AV120" s="300">
        <v>1500</v>
      </c>
      <c r="AW120" s="300">
        <v>1500</v>
      </c>
      <c r="AX120" s="300">
        <v>2500</v>
      </c>
      <c r="AY120" s="300">
        <v>1000</v>
      </c>
      <c r="AZ120" s="300">
        <v>1000</v>
      </c>
      <c r="BA120" s="300">
        <v>2400</v>
      </c>
      <c r="BB120" s="300">
        <v>2400</v>
      </c>
      <c r="BC120" s="302">
        <v>5000</v>
      </c>
      <c r="BD120" s="300">
        <v>746.51</v>
      </c>
      <c r="BE120" s="300">
        <v>752.63</v>
      </c>
      <c r="BF120" s="300">
        <v>877.76</v>
      </c>
      <c r="BG120" s="300">
        <v>1500</v>
      </c>
      <c r="BH120" s="300">
        <v>1650</v>
      </c>
      <c r="BI120" s="300">
        <v>599.1</v>
      </c>
      <c r="BJ120" s="300">
        <v>1353.5</v>
      </c>
      <c r="BK120" s="300">
        <v>2300</v>
      </c>
      <c r="BL120" s="300">
        <v>2500</v>
      </c>
      <c r="BM120" s="300">
        <v>2500</v>
      </c>
      <c r="BN120" s="300">
        <v>2500</v>
      </c>
      <c r="BO120" s="300">
        <v>2500</v>
      </c>
      <c r="BP120" s="300">
        <v>2050</v>
      </c>
      <c r="BQ120" s="300">
        <v>2050</v>
      </c>
      <c r="BR120" s="300">
        <v>3300</v>
      </c>
      <c r="BS120" s="302">
        <v>5000</v>
      </c>
      <c r="BT120" s="300">
        <v>2300</v>
      </c>
      <c r="BU120">
        <v>3600</v>
      </c>
      <c r="BV120" s="300">
        <v>950</v>
      </c>
      <c r="BW120" s="300">
        <v>1250</v>
      </c>
      <c r="BX120" s="300">
        <v>2100</v>
      </c>
      <c r="BY120" s="300">
        <v>600</v>
      </c>
      <c r="BZ120" s="300">
        <v>1500</v>
      </c>
      <c r="CA120" s="300">
        <v>623.78</v>
      </c>
      <c r="CB120" s="300">
        <v>607.84999999999991</v>
      </c>
      <c r="CC120" s="300">
        <v>600</v>
      </c>
      <c r="CD120" s="300">
        <v>600</v>
      </c>
      <c r="CE120" s="300">
        <v>660</v>
      </c>
      <c r="CF120" s="300">
        <v>1650</v>
      </c>
      <c r="CG120" s="300">
        <v>1802</v>
      </c>
      <c r="CH120" s="300">
        <v>2000</v>
      </c>
      <c r="CI120" s="300">
        <v>1800</v>
      </c>
      <c r="CJ120" s="300">
        <v>2000</v>
      </c>
      <c r="CK120" s="300">
        <v>3000</v>
      </c>
      <c r="CL120" s="300">
        <v>1800</v>
      </c>
      <c r="CM120" s="300">
        <v>3000</v>
      </c>
      <c r="CN120" s="300">
        <v>850</v>
      </c>
      <c r="CO120" s="300">
        <v>1638.5</v>
      </c>
      <c r="CP120" s="254">
        <v>17.25</v>
      </c>
      <c r="CQ120" s="254"/>
      <c r="CR120" s="254"/>
      <c r="CS120" s="254"/>
      <c r="CT120" s="254"/>
      <c r="CW120" s="277"/>
      <c r="CX120" s="277"/>
      <c r="CY120" s="277"/>
    </row>
    <row r="121" spans="1:103" x14ac:dyDescent="0.2">
      <c r="A121" s="254">
        <v>17.5</v>
      </c>
      <c r="B121" s="122">
        <f t="shared" si="12"/>
        <v>1.0835906027358493E-2</v>
      </c>
      <c r="C121" s="122">
        <f t="shared" si="13"/>
        <v>9.5435153566810066E-3</v>
      </c>
      <c r="D121" s="122">
        <f t="shared" si="14"/>
        <v>82.010468086132846</v>
      </c>
      <c r="E121" s="122">
        <f t="shared" si="15"/>
        <v>56.1742330375046</v>
      </c>
      <c r="F121" s="122">
        <f t="shared" si="21"/>
        <v>14.31527303502151</v>
      </c>
      <c r="G121" s="299">
        <f>HLOOKUP('Input &amp; Summary'!$B$6,'AEP Input Output sheet'!$N$50:$CO$211,ROW(G121)-49,0)</f>
        <v>1500</v>
      </c>
      <c r="H121" s="122">
        <f t="shared" si="16"/>
        <v>1662.9519221382577</v>
      </c>
      <c r="I121" s="247">
        <f t="shared" si="17"/>
        <v>0.90201044301465383</v>
      </c>
      <c r="J121" s="254">
        <f t="shared" si="18"/>
        <v>6525.5513168226717</v>
      </c>
      <c r="K121" s="122">
        <f t="shared" si="19"/>
        <v>3989.1196462017751</v>
      </c>
      <c r="L121" s="122">
        <f t="shared" si="22"/>
        <v>1662.9519221382577</v>
      </c>
      <c r="M121" s="122"/>
      <c r="N121" s="254">
        <f t="shared" si="20"/>
        <v>1500</v>
      </c>
      <c r="O121">
        <v>1500</v>
      </c>
      <c r="P121">
        <v>3500</v>
      </c>
      <c r="Q121">
        <v>5000</v>
      </c>
      <c r="R121">
        <v>1500</v>
      </c>
      <c r="S121">
        <v>3500</v>
      </c>
      <c r="T121">
        <v>5000</v>
      </c>
      <c r="U121">
        <v>1500</v>
      </c>
      <c r="V121">
        <v>3500</v>
      </c>
      <c r="W121">
        <v>5000</v>
      </c>
      <c r="X121" s="300">
        <v>1500</v>
      </c>
      <c r="Y121" s="300">
        <v>1500</v>
      </c>
      <c r="Z121" s="300">
        <v>900</v>
      </c>
      <c r="AA121" s="300">
        <v>900</v>
      </c>
      <c r="AB121" s="302">
        <v>5000</v>
      </c>
      <c r="AC121" s="300">
        <v>1300</v>
      </c>
      <c r="AD121" s="300">
        <v>2500</v>
      </c>
      <c r="AE121" s="300">
        <v>2500</v>
      </c>
      <c r="AF121" s="300">
        <v>2500</v>
      </c>
      <c r="AG121" s="300">
        <v>2500</v>
      </c>
      <c r="AH121" s="300">
        <v>2000</v>
      </c>
      <c r="AI121" s="300">
        <v>550</v>
      </c>
      <c r="AJ121" s="300">
        <v>750</v>
      </c>
      <c r="AK121" s="300">
        <v>1510</v>
      </c>
      <c r="AL121" s="300">
        <v>1500</v>
      </c>
      <c r="AM121" s="300">
        <v>2500</v>
      </c>
      <c r="AN121" s="300">
        <v>2500</v>
      </c>
      <c r="AO121" s="300">
        <v>2500</v>
      </c>
      <c r="AP121" s="300">
        <v>800</v>
      </c>
      <c r="AQ121" s="300">
        <v>850</v>
      </c>
      <c r="AR121" s="300">
        <v>2000</v>
      </c>
      <c r="AS121" s="300">
        <v>2000</v>
      </c>
      <c r="AT121" s="300">
        <v>2000</v>
      </c>
      <c r="AU121" s="300">
        <v>1500</v>
      </c>
      <c r="AV121" s="300">
        <v>1500</v>
      </c>
      <c r="AW121" s="300">
        <v>1500</v>
      </c>
      <c r="AX121" s="300">
        <v>2500</v>
      </c>
      <c r="AY121" s="300">
        <v>1000</v>
      </c>
      <c r="AZ121" s="300">
        <v>1000</v>
      </c>
      <c r="BA121" s="300">
        <v>2400</v>
      </c>
      <c r="BB121" s="300">
        <v>2400</v>
      </c>
      <c r="BC121" s="302">
        <v>5000</v>
      </c>
      <c r="BD121" s="300">
        <v>746.58</v>
      </c>
      <c r="BE121" s="300">
        <v>752.69</v>
      </c>
      <c r="BF121" s="300">
        <v>871.78</v>
      </c>
      <c r="BG121" s="300">
        <v>1500</v>
      </c>
      <c r="BH121" s="300">
        <v>1650</v>
      </c>
      <c r="BI121" s="300">
        <v>599.1</v>
      </c>
      <c r="BJ121" s="300">
        <v>1343</v>
      </c>
      <c r="BK121" s="300">
        <v>2300</v>
      </c>
      <c r="BL121" s="300">
        <v>2500</v>
      </c>
      <c r="BM121" s="300">
        <v>2500</v>
      </c>
      <c r="BN121" s="300">
        <v>2500</v>
      </c>
      <c r="BO121" s="300">
        <v>2500</v>
      </c>
      <c r="BP121" s="300">
        <v>2050</v>
      </c>
      <c r="BQ121" s="300">
        <v>2050</v>
      </c>
      <c r="BR121" s="300">
        <v>3300</v>
      </c>
      <c r="BS121" s="302">
        <v>5000</v>
      </c>
      <c r="BT121" s="300">
        <v>2300</v>
      </c>
      <c r="BU121">
        <v>3600</v>
      </c>
      <c r="BV121" s="300">
        <v>950</v>
      </c>
      <c r="BW121" s="300">
        <v>1250</v>
      </c>
      <c r="BX121" s="300">
        <v>2100</v>
      </c>
      <c r="BY121" s="300">
        <v>600</v>
      </c>
      <c r="BZ121" s="300">
        <v>1500</v>
      </c>
      <c r="CA121" s="300">
        <v>623.78</v>
      </c>
      <c r="CB121" s="300">
        <v>605.39999999999986</v>
      </c>
      <c r="CC121" s="300">
        <v>600</v>
      </c>
      <c r="CD121" s="300">
        <v>600</v>
      </c>
      <c r="CE121" s="300">
        <v>660</v>
      </c>
      <c r="CF121" s="300">
        <v>1650</v>
      </c>
      <c r="CG121" s="300">
        <v>1802</v>
      </c>
      <c r="CH121" s="300">
        <v>2000</v>
      </c>
      <c r="CI121" s="300">
        <v>1800</v>
      </c>
      <c r="CJ121" s="300">
        <v>2000</v>
      </c>
      <c r="CK121" s="300">
        <v>3000</v>
      </c>
      <c r="CL121" s="300">
        <v>1800</v>
      </c>
      <c r="CM121" s="300">
        <v>3000</v>
      </c>
      <c r="CN121" s="300">
        <v>850</v>
      </c>
      <c r="CO121" s="300">
        <v>1641</v>
      </c>
      <c r="CP121" s="254">
        <v>17.5</v>
      </c>
      <c r="CQ121" s="254"/>
      <c r="CR121" s="254"/>
      <c r="CS121" s="254"/>
      <c r="CT121" s="254"/>
      <c r="CW121" s="277"/>
      <c r="CX121" s="277"/>
      <c r="CY121" s="277"/>
    </row>
    <row r="122" spans="1:103" x14ac:dyDescent="0.2">
      <c r="A122" s="254">
        <v>17.75</v>
      </c>
      <c r="B122" s="122">
        <f t="shared" si="12"/>
        <v>9.8946770608610984E-3</v>
      </c>
      <c r="C122" s="122">
        <f t="shared" si="13"/>
        <v>8.6179397777162419E-3</v>
      </c>
      <c r="D122" s="122">
        <f t="shared" si="14"/>
        <v>77.276117656039176</v>
      </c>
      <c r="E122" s="122">
        <f t="shared" si="15"/>
        <v>52.931372576545215</v>
      </c>
      <c r="F122" s="122">
        <f t="shared" si="21"/>
        <v>12.926909666574362</v>
      </c>
      <c r="G122" s="299">
        <f>HLOOKUP('Input &amp; Summary'!$B$6,'AEP Input Output sheet'!$N$50:$CO$211,ROW(G122)-49,0)</f>
        <v>1500</v>
      </c>
      <c r="H122" s="122">
        <f t="shared" si="16"/>
        <v>1662.9519221382577</v>
      </c>
      <c r="I122" s="247">
        <f t="shared" si="17"/>
        <v>0.90201044301465383</v>
      </c>
      <c r="J122" s="254">
        <f t="shared" si="18"/>
        <v>6809.2320622604038</v>
      </c>
      <c r="K122" s="122">
        <f t="shared" si="19"/>
        <v>4081.4623373694994</v>
      </c>
      <c r="L122" s="122">
        <f t="shared" si="22"/>
        <v>1662.9519221382577</v>
      </c>
      <c r="M122" s="122"/>
      <c r="N122" s="254">
        <f t="shared" si="20"/>
        <v>1500</v>
      </c>
      <c r="O122">
        <v>1500</v>
      </c>
      <c r="P122">
        <v>3500</v>
      </c>
      <c r="Q122">
        <v>5000</v>
      </c>
      <c r="R122">
        <v>1500</v>
      </c>
      <c r="S122">
        <v>3500</v>
      </c>
      <c r="T122">
        <v>5000</v>
      </c>
      <c r="U122">
        <v>1500</v>
      </c>
      <c r="V122">
        <v>3500</v>
      </c>
      <c r="W122">
        <v>5000</v>
      </c>
      <c r="X122" s="300">
        <v>1500</v>
      </c>
      <c r="Y122" s="300">
        <v>1500</v>
      </c>
      <c r="Z122" s="300">
        <v>900</v>
      </c>
      <c r="AA122" s="300">
        <v>900</v>
      </c>
      <c r="AB122" s="302">
        <v>5000</v>
      </c>
      <c r="AC122" s="300">
        <v>1300</v>
      </c>
      <c r="AD122" s="300">
        <v>2500</v>
      </c>
      <c r="AE122" s="300">
        <v>2500</v>
      </c>
      <c r="AF122" s="300">
        <v>2500</v>
      </c>
      <c r="AG122" s="300">
        <v>2500</v>
      </c>
      <c r="AH122" s="300">
        <v>2000</v>
      </c>
      <c r="AI122" s="300">
        <v>550</v>
      </c>
      <c r="AJ122" s="300">
        <v>750</v>
      </c>
      <c r="AK122" s="300">
        <v>1500</v>
      </c>
      <c r="AL122" s="300">
        <v>1500</v>
      </c>
      <c r="AM122" s="300">
        <v>2500</v>
      </c>
      <c r="AN122" s="300">
        <v>2500</v>
      </c>
      <c r="AO122" s="300">
        <v>2500</v>
      </c>
      <c r="AP122" s="300">
        <v>800</v>
      </c>
      <c r="AQ122" s="300">
        <v>850</v>
      </c>
      <c r="AR122" s="300">
        <v>2000</v>
      </c>
      <c r="AS122" s="300">
        <v>2000</v>
      </c>
      <c r="AT122" s="300">
        <v>2000</v>
      </c>
      <c r="AU122" s="300">
        <v>1500</v>
      </c>
      <c r="AV122" s="300">
        <v>1500</v>
      </c>
      <c r="AW122" s="300">
        <v>1500</v>
      </c>
      <c r="AX122" s="300">
        <v>2500</v>
      </c>
      <c r="AY122" s="300">
        <v>1000</v>
      </c>
      <c r="AZ122" s="300">
        <v>1000</v>
      </c>
      <c r="BA122" s="300">
        <v>2400</v>
      </c>
      <c r="BB122" s="300">
        <v>2400</v>
      </c>
      <c r="BC122" s="302">
        <v>5000</v>
      </c>
      <c r="BD122" s="300">
        <v>742.87</v>
      </c>
      <c r="BE122" s="300">
        <v>749.87</v>
      </c>
      <c r="BF122" s="300">
        <v>865.79</v>
      </c>
      <c r="BG122" s="300">
        <v>1500</v>
      </c>
      <c r="BH122" s="300">
        <v>1650</v>
      </c>
      <c r="BI122" s="300">
        <v>599.1</v>
      </c>
      <c r="BJ122" s="300">
        <v>1332.5</v>
      </c>
      <c r="BK122" s="300">
        <v>2300</v>
      </c>
      <c r="BL122" s="300">
        <v>2500</v>
      </c>
      <c r="BM122" s="300">
        <v>2500</v>
      </c>
      <c r="BN122" s="300">
        <v>2500</v>
      </c>
      <c r="BO122" s="300">
        <v>2500</v>
      </c>
      <c r="BP122" s="300">
        <v>2050</v>
      </c>
      <c r="BQ122" s="300">
        <v>2050</v>
      </c>
      <c r="BR122" s="300">
        <v>3300</v>
      </c>
      <c r="BS122" s="302">
        <v>5000</v>
      </c>
      <c r="BT122" s="300">
        <v>2300</v>
      </c>
      <c r="BU122">
        <v>3600</v>
      </c>
      <c r="BV122" s="300">
        <v>950</v>
      </c>
      <c r="BW122" s="300">
        <v>1250</v>
      </c>
      <c r="BX122" s="300">
        <v>2100</v>
      </c>
      <c r="BY122" s="300">
        <v>600</v>
      </c>
      <c r="BZ122" s="300">
        <v>1500</v>
      </c>
      <c r="CA122" s="300">
        <v>623.78</v>
      </c>
      <c r="CB122" s="300">
        <v>602.94999999999982</v>
      </c>
      <c r="CC122" s="300">
        <v>600</v>
      </c>
      <c r="CD122" s="300">
        <v>600</v>
      </c>
      <c r="CE122" s="300">
        <v>660</v>
      </c>
      <c r="CF122" s="300">
        <v>1650</v>
      </c>
      <c r="CG122" s="300">
        <v>1802</v>
      </c>
      <c r="CH122" s="300">
        <v>2000</v>
      </c>
      <c r="CI122" s="300">
        <v>1800</v>
      </c>
      <c r="CJ122" s="300">
        <v>2000</v>
      </c>
      <c r="CK122" s="300">
        <v>3000</v>
      </c>
      <c r="CL122" s="300">
        <v>1800</v>
      </c>
      <c r="CM122" s="300">
        <v>3000</v>
      </c>
      <c r="CN122" s="300">
        <v>850</v>
      </c>
      <c r="CO122" s="300">
        <v>1643.5</v>
      </c>
      <c r="CP122" s="254">
        <v>17.75</v>
      </c>
      <c r="CQ122" s="254"/>
      <c r="CR122" s="254"/>
      <c r="CS122" s="254"/>
      <c r="CT122" s="254"/>
      <c r="CW122" s="277"/>
      <c r="CX122" s="277"/>
      <c r="CY122" s="277"/>
    </row>
    <row r="123" spans="1:103" x14ac:dyDescent="0.2">
      <c r="A123" s="254">
        <v>18</v>
      </c>
      <c r="B123" s="122">
        <f t="shared" si="12"/>
        <v>9.0199620451701951E-3</v>
      </c>
      <c r="C123" s="122">
        <f t="shared" si="13"/>
        <v>7.7661572853994316E-3</v>
      </c>
      <c r="D123" s="122">
        <f t="shared" si="14"/>
        <v>72.62237792186535</v>
      </c>
      <c r="E123" s="122">
        <f t="shared" si="15"/>
        <v>49.743727554829029</v>
      </c>
      <c r="F123" s="122">
        <f t="shared" si="21"/>
        <v>11.649235928099147</v>
      </c>
      <c r="G123" s="299">
        <f>HLOOKUP('Input &amp; Summary'!$B$6,'AEP Input Output sheet'!$N$50:$CO$211,ROW(G123)-49,0)</f>
        <v>1500</v>
      </c>
      <c r="H123" s="122">
        <f t="shared" si="16"/>
        <v>1662.9519221382577</v>
      </c>
      <c r="I123" s="247">
        <f t="shared" si="17"/>
        <v>0.90201044301465383</v>
      </c>
      <c r="J123" s="254">
        <f t="shared" si="18"/>
        <v>7101.0174282840462</v>
      </c>
      <c r="K123" s="122">
        <f t="shared" si="19"/>
        <v>4173.8050285372237</v>
      </c>
      <c r="L123" s="122">
        <f t="shared" si="22"/>
        <v>1662.9519221382577</v>
      </c>
      <c r="M123" s="122"/>
      <c r="N123" s="254">
        <f t="shared" si="20"/>
        <v>1500</v>
      </c>
      <c r="O123">
        <v>1500</v>
      </c>
      <c r="P123">
        <v>3500</v>
      </c>
      <c r="Q123">
        <v>5000</v>
      </c>
      <c r="R123">
        <v>1500</v>
      </c>
      <c r="S123">
        <v>3500</v>
      </c>
      <c r="T123">
        <v>5000</v>
      </c>
      <c r="U123">
        <v>1500</v>
      </c>
      <c r="V123">
        <v>3500</v>
      </c>
      <c r="W123">
        <v>5000</v>
      </c>
      <c r="X123" s="300">
        <v>1500</v>
      </c>
      <c r="Y123" s="300">
        <v>1500</v>
      </c>
      <c r="Z123" s="300">
        <v>900</v>
      </c>
      <c r="AA123" s="300">
        <v>900</v>
      </c>
      <c r="AB123" s="302">
        <v>5000</v>
      </c>
      <c r="AC123" s="300">
        <v>1300</v>
      </c>
      <c r="AD123" s="300">
        <v>2500</v>
      </c>
      <c r="AE123" s="300">
        <v>2500</v>
      </c>
      <c r="AF123" s="300">
        <v>2500</v>
      </c>
      <c r="AG123" s="300">
        <v>2500</v>
      </c>
      <c r="AH123" s="300">
        <v>2000</v>
      </c>
      <c r="AI123" s="300">
        <v>550</v>
      </c>
      <c r="AJ123" s="300">
        <v>750</v>
      </c>
      <c r="AK123" s="300">
        <v>1500</v>
      </c>
      <c r="AL123" s="300">
        <v>1500</v>
      </c>
      <c r="AM123" s="300">
        <v>2500</v>
      </c>
      <c r="AN123" s="300">
        <v>2500</v>
      </c>
      <c r="AO123" s="300">
        <v>2500</v>
      </c>
      <c r="AP123" s="300">
        <v>800</v>
      </c>
      <c r="AQ123" s="300">
        <v>850</v>
      </c>
      <c r="AR123" s="300">
        <v>2000</v>
      </c>
      <c r="AS123" s="300">
        <v>2000</v>
      </c>
      <c r="AT123" s="300">
        <v>2000</v>
      </c>
      <c r="AU123" s="300">
        <v>1500</v>
      </c>
      <c r="AV123" s="300">
        <v>1500</v>
      </c>
      <c r="AW123" s="300">
        <v>1500</v>
      </c>
      <c r="AX123" s="300">
        <v>2500</v>
      </c>
      <c r="AY123" s="300">
        <v>1000</v>
      </c>
      <c r="AZ123" s="300">
        <v>1000</v>
      </c>
      <c r="BA123" s="300">
        <v>2400</v>
      </c>
      <c r="BB123" s="300">
        <v>2400</v>
      </c>
      <c r="BC123" s="302">
        <v>5000</v>
      </c>
      <c r="BD123" s="300">
        <v>739.14</v>
      </c>
      <c r="BE123" s="300">
        <v>749.93</v>
      </c>
      <c r="BF123" s="300">
        <v>861.81</v>
      </c>
      <c r="BG123" s="300">
        <v>1500</v>
      </c>
      <c r="BH123" s="300">
        <v>1650</v>
      </c>
      <c r="BI123" s="300">
        <v>599.1</v>
      </c>
      <c r="BJ123" s="300">
        <v>1322</v>
      </c>
      <c r="BK123" s="300">
        <v>2300</v>
      </c>
      <c r="BL123" s="300">
        <v>2500</v>
      </c>
      <c r="BM123" s="300">
        <v>2500</v>
      </c>
      <c r="BN123" s="300">
        <v>2500</v>
      </c>
      <c r="BO123" s="300">
        <v>2500</v>
      </c>
      <c r="BP123" s="300">
        <v>2050</v>
      </c>
      <c r="BQ123" s="300">
        <v>2050</v>
      </c>
      <c r="BR123" s="300">
        <v>3300</v>
      </c>
      <c r="BS123" s="302">
        <v>5000</v>
      </c>
      <c r="BT123" s="300">
        <v>2300</v>
      </c>
      <c r="BU123">
        <v>3600</v>
      </c>
      <c r="BV123" s="300">
        <v>950</v>
      </c>
      <c r="BW123" s="300">
        <v>1250</v>
      </c>
      <c r="BX123" s="300">
        <v>2100</v>
      </c>
      <c r="BY123" s="300">
        <v>600</v>
      </c>
      <c r="BZ123" s="300">
        <v>1500</v>
      </c>
      <c r="CA123" s="300">
        <v>623.78</v>
      </c>
      <c r="CB123" s="300">
        <v>600.5</v>
      </c>
      <c r="CC123" s="300">
        <v>600</v>
      </c>
      <c r="CD123" s="300">
        <v>600</v>
      </c>
      <c r="CE123" s="300">
        <v>660</v>
      </c>
      <c r="CF123" s="300">
        <v>1650</v>
      </c>
      <c r="CG123" s="300">
        <v>1802</v>
      </c>
      <c r="CH123" s="300">
        <v>2000</v>
      </c>
      <c r="CI123" s="300">
        <v>1800</v>
      </c>
      <c r="CJ123" s="300">
        <v>2000</v>
      </c>
      <c r="CK123" s="300">
        <v>3000</v>
      </c>
      <c r="CL123" s="300">
        <v>1800</v>
      </c>
      <c r="CM123" s="300">
        <v>3000</v>
      </c>
      <c r="CN123" s="300">
        <v>850</v>
      </c>
      <c r="CO123" s="300">
        <v>1646</v>
      </c>
      <c r="CP123" s="254">
        <v>18</v>
      </c>
      <c r="CQ123" s="254"/>
      <c r="CR123" s="254"/>
      <c r="CS123" s="254"/>
      <c r="CT123" s="254"/>
      <c r="CW123" s="277"/>
      <c r="CX123" s="277"/>
      <c r="CY123" s="277"/>
    </row>
    <row r="124" spans="1:103" x14ac:dyDescent="0.2">
      <c r="A124" s="254">
        <v>18.25</v>
      </c>
      <c r="B124" s="122">
        <f t="shared" si="12"/>
        <v>8.208746876096587E-3</v>
      </c>
      <c r="C124" s="122">
        <f t="shared" si="13"/>
        <v>6.9842223327418185E-3</v>
      </c>
      <c r="D124" s="122">
        <f t="shared" si="14"/>
        <v>68.069636340069437</v>
      </c>
      <c r="E124" s="122">
        <f t="shared" si="15"/>
        <v>46.62526264975449</v>
      </c>
      <c r="F124" s="122">
        <f t="shared" si="21"/>
        <v>10.476333499112728</v>
      </c>
      <c r="G124" s="299">
        <f>HLOOKUP('Input &amp; Summary'!$B$6,'AEP Input Output sheet'!$N$50:$CO$211,ROW(G124)-49,0)</f>
        <v>1500</v>
      </c>
      <c r="H124" s="122">
        <f t="shared" si="16"/>
        <v>1662.9519221382577</v>
      </c>
      <c r="I124" s="247">
        <f t="shared" si="17"/>
        <v>0.90201044301465383</v>
      </c>
      <c r="J124" s="254">
        <f t="shared" si="18"/>
        <v>7401.0215644793143</v>
      </c>
      <c r="K124" s="122">
        <f t="shared" si="19"/>
        <v>4266.147719704948</v>
      </c>
      <c r="L124" s="122">
        <f t="shared" si="22"/>
        <v>1662.9519221382577</v>
      </c>
      <c r="M124" s="122"/>
      <c r="N124" s="254">
        <f t="shared" si="20"/>
        <v>1500</v>
      </c>
      <c r="O124">
        <v>1500</v>
      </c>
      <c r="P124">
        <v>3500</v>
      </c>
      <c r="Q124">
        <v>5000</v>
      </c>
      <c r="R124">
        <v>1500</v>
      </c>
      <c r="S124">
        <v>3500</v>
      </c>
      <c r="T124">
        <v>5000</v>
      </c>
      <c r="U124">
        <v>1500</v>
      </c>
      <c r="V124">
        <v>3500</v>
      </c>
      <c r="W124">
        <v>5000</v>
      </c>
      <c r="X124" s="300">
        <v>1500</v>
      </c>
      <c r="Y124" s="300">
        <v>1500</v>
      </c>
      <c r="Z124" s="300">
        <v>900</v>
      </c>
      <c r="AA124" s="300">
        <v>900</v>
      </c>
      <c r="AB124" s="302">
        <v>5000</v>
      </c>
      <c r="AC124" s="300">
        <v>1300</v>
      </c>
      <c r="AD124" s="300">
        <v>2500</v>
      </c>
      <c r="AE124" s="300">
        <v>2500</v>
      </c>
      <c r="AF124" s="300">
        <v>2500</v>
      </c>
      <c r="AG124" s="300">
        <v>2500</v>
      </c>
      <c r="AH124" s="300">
        <v>2000</v>
      </c>
      <c r="AI124" s="300">
        <v>550</v>
      </c>
      <c r="AJ124" s="300">
        <v>750</v>
      </c>
      <c r="AK124" s="300">
        <v>1500</v>
      </c>
      <c r="AL124" s="300">
        <v>1500</v>
      </c>
      <c r="AM124" s="300">
        <v>2500</v>
      </c>
      <c r="AN124" s="300">
        <v>2500</v>
      </c>
      <c r="AO124" s="300">
        <v>2500</v>
      </c>
      <c r="AP124" s="300">
        <v>800</v>
      </c>
      <c r="AQ124" s="300">
        <v>850</v>
      </c>
      <c r="AR124" s="300">
        <v>2000</v>
      </c>
      <c r="AS124" s="300">
        <v>2000</v>
      </c>
      <c r="AT124" s="300">
        <v>2000</v>
      </c>
      <c r="AU124" s="300">
        <v>1500</v>
      </c>
      <c r="AV124" s="300">
        <v>1500</v>
      </c>
      <c r="AW124" s="300">
        <v>1500</v>
      </c>
      <c r="AX124" s="300">
        <v>2500</v>
      </c>
      <c r="AY124" s="300">
        <v>1000</v>
      </c>
      <c r="AZ124" s="300">
        <v>1000</v>
      </c>
      <c r="BA124" s="300">
        <v>2400</v>
      </c>
      <c r="BB124" s="300">
        <v>2400</v>
      </c>
      <c r="BC124" s="302">
        <v>5000</v>
      </c>
      <c r="BD124" s="300">
        <v>735.41</v>
      </c>
      <c r="BE124" s="300">
        <v>744.24</v>
      </c>
      <c r="BF124" s="300">
        <v>855.83</v>
      </c>
      <c r="BG124" s="300">
        <v>1500</v>
      </c>
      <c r="BH124" s="300">
        <v>1650</v>
      </c>
      <c r="BI124" s="300">
        <v>599.1</v>
      </c>
      <c r="BJ124" s="300">
        <v>1321.25</v>
      </c>
      <c r="BK124" s="300">
        <v>2300</v>
      </c>
      <c r="BL124" s="300">
        <v>2500</v>
      </c>
      <c r="BM124" s="300">
        <v>2500</v>
      </c>
      <c r="BN124" s="300">
        <v>2500</v>
      </c>
      <c r="BO124" s="300">
        <v>2500</v>
      </c>
      <c r="BP124" s="300">
        <v>2050</v>
      </c>
      <c r="BQ124" s="300">
        <v>2050</v>
      </c>
      <c r="BR124" s="300">
        <v>3300</v>
      </c>
      <c r="BS124" s="302">
        <v>5000</v>
      </c>
      <c r="BT124" s="300">
        <v>2300</v>
      </c>
      <c r="BU124">
        <v>3600</v>
      </c>
      <c r="BV124" s="300">
        <v>950</v>
      </c>
      <c r="BW124" s="300">
        <v>1250</v>
      </c>
      <c r="BX124" s="300">
        <v>2100</v>
      </c>
      <c r="BY124" s="300">
        <v>600</v>
      </c>
      <c r="BZ124" s="300">
        <v>1500</v>
      </c>
      <c r="CA124" s="300">
        <v>623.78</v>
      </c>
      <c r="CB124" s="300">
        <v>597.79999999999995</v>
      </c>
      <c r="CC124" s="300">
        <v>600</v>
      </c>
      <c r="CD124" s="300">
        <v>600</v>
      </c>
      <c r="CE124" s="300">
        <v>660</v>
      </c>
      <c r="CF124" s="300">
        <v>1650</v>
      </c>
      <c r="CG124" s="300">
        <v>1802</v>
      </c>
      <c r="CH124" s="300">
        <v>2000</v>
      </c>
      <c r="CI124" s="300">
        <v>1800</v>
      </c>
      <c r="CJ124" s="300">
        <v>2000</v>
      </c>
      <c r="CK124" s="300">
        <v>3000</v>
      </c>
      <c r="CL124" s="300">
        <v>1800</v>
      </c>
      <c r="CM124" s="300">
        <v>3000</v>
      </c>
      <c r="CN124" s="300">
        <v>850</v>
      </c>
      <c r="CO124" s="300">
        <v>1647</v>
      </c>
      <c r="CP124" s="254">
        <v>18.25</v>
      </c>
      <c r="CQ124" s="254"/>
      <c r="CR124" s="254"/>
      <c r="CS124" s="254"/>
      <c r="CT124" s="254"/>
      <c r="CW124" s="277"/>
      <c r="CX124" s="277"/>
      <c r="CY124" s="277"/>
    </row>
    <row r="125" spans="1:103" x14ac:dyDescent="0.2">
      <c r="A125" s="254">
        <v>18.5</v>
      </c>
      <c r="B125" s="122">
        <f t="shared" si="12"/>
        <v>7.4579654336612454E-3</v>
      </c>
      <c r="C125" s="122">
        <f t="shared" si="13"/>
        <v>6.268165905291132E-3</v>
      </c>
      <c r="D125" s="122">
        <f t="shared" si="14"/>
        <v>63.635935942391662</v>
      </c>
      <c r="E125" s="122">
        <f t="shared" si="15"/>
        <v>43.588336691765214</v>
      </c>
      <c r="F125" s="122">
        <f t="shared" si="21"/>
        <v>9.4022488579366978</v>
      </c>
      <c r="G125" s="299">
        <f>HLOOKUP('Input &amp; Summary'!$B$6,'AEP Input Output sheet'!$N$50:$CO$211,ROW(G125)-49,0)</f>
        <v>1500</v>
      </c>
      <c r="H125" s="122">
        <f t="shared" si="16"/>
        <v>1662.9519221382577</v>
      </c>
      <c r="I125" s="247">
        <f t="shared" si="17"/>
        <v>0.90201044301465383</v>
      </c>
      <c r="J125" s="254">
        <f t="shared" si="18"/>
        <v>7709.3586204319254</v>
      </c>
      <c r="K125" s="122">
        <f t="shared" si="19"/>
        <v>4358.4904108726723</v>
      </c>
      <c r="L125" s="122">
        <f t="shared" si="22"/>
        <v>1662.9519221382577</v>
      </c>
      <c r="M125" s="122"/>
      <c r="N125" s="254">
        <f t="shared" si="20"/>
        <v>1500</v>
      </c>
      <c r="O125">
        <v>1500</v>
      </c>
      <c r="P125">
        <v>3500</v>
      </c>
      <c r="Q125">
        <v>5000</v>
      </c>
      <c r="R125">
        <v>1500</v>
      </c>
      <c r="S125">
        <v>3500</v>
      </c>
      <c r="T125">
        <v>5000</v>
      </c>
      <c r="U125">
        <v>1500</v>
      </c>
      <c r="V125">
        <v>3500</v>
      </c>
      <c r="W125">
        <v>5000</v>
      </c>
      <c r="X125" s="300">
        <v>1500</v>
      </c>
      <c r="Y125" s="300">
        <v>1500</v>
      </c>
      <c r="Z125" s="300">
        <v>900</v>
      </c>
      <c r="AA125" s="300">
        <v>900</v>
      </c>
      <c r="AB125" s="302">
        <v>5000</v>
      </c>
      <c r="AC125" s="300">
        <v>1300</v>
      </c>
      <c r="AD125" s="300">
        <v>2500</v>
      </c>
      <c r="AE125" s="300">
        <v>2500</v>
      </c>
      <c r="AF125" s="300">
        <v>2500</v>
      </c>
      <c r="AG125" s="300">
        <v>2500</v>
      </c>
      <c r="AH125" s="300">
        <v>2000</v>
      </c>
      <c r="AI125" s="300">
        <v>550</v>
      </c>
      <c r="AJ125" s="300">
        <v>750</v>
      </c>
      <c r="AK125" s="300">
        <v>1500</v>
      </c>
      <c r="AL125" s="300">
        <v>1500</v>
      </c>
      <c r="AM125" s="300">
        <v>2500</v>
      </c>
      <c r="AN125" s="300">
        <v>2500</v>
      </c>
      <c r="AO125" s="300">
        <v>2500</v>
      </c>
      <c r="AP125" s="300">
        <v>800</v>
      </c>
      <c r="AQ125" s="300">
        <v>850</v>
      </c>
      <c r="AR125" s="300">
        <v>2000</v>
      </c>
      <c r="AS125" s="300">
        <v>2000</v>
      </c>
      <c r="AT125" s="300">
        <v>2000</v>
      </c>
      <c r="AU125" s="300">
        <v>1500</v>
      </c>
      <c r="AV125" s="300">
        <v>1500</v>
      </c>
      <c r="AW125" s="300">
        <v>1500</v>
      </c>
      <c r="AX125" s="300">
        <v>2500</v>
      </c>
      <c r="AY125" s="300">
        <v>1000</v>
      </c>
      <c r="AZ125" s="300">
        <v>1000</v>
      </c>
      <c r="BA125" s="300">
        <v>2400</v>
      </c>
      <c r="BB125" s="300">
        <v>2400</v>
      </c>
      <c r="BC125" s="302">
        <v>5000</v>
      </c>
      <c r="BD125" s="300">
        <v>731.68</v>
      </c>
      <c r="BE125" s="300">
        <v>741.43</v>
      </c>
      <c r="BF125" s="300">
        <v>851.85</v>
      </c>
      <c r="BG125" s="300">
        <v>1500</v>
      </c>
      <c r="BH125" s="300">
        <v>1650</v>
      </c>
      <c r="BI125" s="300">
        <v>599.1</v>
      </c>
      <c r="BJ125" s="300">
        <v>1320.5</v>
      </c>
      <c r="BK125" s="300">
        <v>2300</v>
      </c>
      <c r="BL125" s="300">
        <v>2500</v>
      </c>
      <c r="BM125" s="300">
        <v>2500</v>
      </c>
      <c r="BN125" s="300">
        <v>2500</v>
      </c>
      <c r="BO125" s="300">
        <v>2500</v>
      </c>
      <c r="BP125" s="300">
        <v>2050</v>
      </c>
      <c r="BQ125" s="300">
        <v>2050</v>
      </c>
      <c r="BR125" s="300">
        <v>3300</v>
      </c>
      <c r="BS125" s="302">
        <v>5000</v>
      </c>
      <c r="BT125" s="300">
        <v>2300</v>
      </c>
      <c r="BU125">
        <v>3600</v>
      </c>
      <c r="BV125" s="300">
        <v>950</v>
      </c>
      <c r="BW125" s="300">
        <v>1250</v>
      </c>
      <c r="BX125" s="300">
        <v>2100</v>
      </c>
      <c r="BY125" s="300">
        <v>600</v>
      </c>
      <c r="BZ125" s="300">
        <v>1500</v>
      </c>
      <c r="CA125" s="300">
        <v>623.78</v>
      </c>
      <c r="CB125" s="300">
        <v>595.09999999999991</v>
      </c>
      <c r="CC125" s="300">
        <v>600</v>
      </c>
      <c r="CD125" s="300">
        <v>600</v>
      </c>
      <c r="CE125" s="300">
        <v>660</v>
      </c>
      <c r="CF125" s="300">
        <v>1650</v>
      </c>
      <c r="CG125" s="300">
        <v>1802</v>
      </c>
      <c r="CH125" s="300">
        <v>2000</v>
      </c>
      <c r="CI125" s="300">
        <v>1800</v>
      </c>
      <c r="CJ125" s="300">
        <v>2000</v>
      </c>
      <c r="CK125" s="300">
        <v>3000</v>
      </c>
      <c r="CL125" s="300">
        <v>1800</v>
      </c>
      <c r="CM125" s="300">
        <v>3000</v>
      </c>
      <c r="CN125" s="300">
        <v>850</v>
      </c>
      <c r="CO125" s="300">
        <v>1648</v>
      </c>
      <c r="CP125" s="254">
        <v>18.5</v>
      </c>
      <c r="CQ125" s="254"/>
      <c r="CR125" s="254"/>
      <c r="CS125" s="254"/>
      <c r="CT125" s="254"/>
      <c r="CW125" s="277"/>
      <c r="CX125" s="277"/>
      <c r="CY125" s="277"/>
    </row>
    <row r="126" spans="1:103" x14ac:dyDescent="0.2">
      <c r="A126" s="254">
        <v>18.75</v>
      </c>
      <c r="B126" s="122">
        <f t="shared" si="12"/>
        <v>6.7645265334423405E-3</v>
      </c>
      <c r="C126" s="122">
        <f t="shared" si="13"/>
        <v>5.6140306608603351E-3</v>
      </c>
      <c r="D126" s="122">
        <f t="shared" si="14"/>
        <v>59.336969827761607</v>
      </c>
      <c r="E126" s="122">
        <f t="shared" si="15"/>
        <v>40.643698891503732</v>
      </c>
      <c r="F126" s="122">
        <f t="shared" si="21"/>
        <v>8.4210459912905034</v>
      </c>
      <c r="G126" s="299">
        <f>HLOOKUP('Input &amp; Summary'!$B$6,'AEP Input Output sheet'!$N$50:$CO$211,ROW(G126)-49,0)</f>
        <v>1500</v>
      </c>
      <c r="H126" s="122">
        <f t="shared" si="16"/>
        <v>1662.9519221382577</v>
      </c>
      <c r="I126" s="247">
        <f t="shared" si="17"/>
        <v>0.90201044301465383</v>
      </c>
      <c r="J126" s="254">
        <f t="shared" si="18"/>
        <v>8026.1427457275922</v>
      </c>
      <c r="K126" s="122">
        <f t="shared" si="19"/>
        <v>4450.8331020403966</v>
      </c>
      <c r="L126" s="122">
        <f t="shared" si="22"/>
        <v>1662.9519221382577</v>
      </c>
      <c r="M126" s="122"/>
      <c r="N126" s="254">
        <f t="shared" si="20"/>
        <v>1500</v>
      </c>
      <c r="O126">
        <v>1500</v>
      </c>
      <c r="P126">
        <v>3500</v>
      </c>
      <c r="Q126">
        <v>5000</v>
      </c>
      <c r="R126">
        <v>1500</v>
      </c>
      <c r="S126">
        <v>3500</v>
      </c>
      <c r="T126">
        <v>5000</v>
      </c>
      <c r="U126">
        <v>1500</v>
      </c>
      <c r="V126">
        <v>3500</v>
      </c>
      <c r="W126">
        <v>5000</v>
      </c>
      <c r="X126" s="300">
        <v>1500</v>
      </c>
      <c r="Y126" s="300">
        <v>1500</v>
      </c>
      <c r="Z126" s="300">
        <v>900</v>
      </c>
      <c r="AA126" s="300">
        <v>900</v>
      </c>
      <c r="AB126" s="302">
        <v>5000</v>
      </c>
      <c r="AC126" s="300">
        <v>1300</v>
      </c>
      <c r="AD126" s="300">
        <v>2500</v>
      </c>
      <c r="AE126" s="300">
        <v>2500</v>
      </c>
      <c r="AF126" s="300">
        <v>2500</v>
      </c>
      <c r="AG126" s="300">
        <v>2500</v>
      </c>
      <c r="AH126" s="300">
        <v>2000</v>
      </c>
      <c r="AI126" s="300">
        <v>550</v>
      </c>
      <c r="AJ126" s="300">
        <v>750</v>
      </c>
      <c r="AK126" s="300">
        <v>1500</v>
      </c>
      <c r="AL126" s="300">
        <v>1500</v>
      </c>
      <c r="AM126" s="300">
        <v>2500</v>
      </c>
      <c r="AN126" s="300">
        <v>2500</v>
      </c>
      <c r="AO126" s="300">
        <v>2500</v>
      </c>
      <c r="AP126" s="300">
        <v>800</v>
      </c>
      <c r="AQ126" s="300">
        <v>850</v>
      </c>
      <c r="AR126" s="300">
        <v>2000</v>
      </c>
      <c r="AS126" s="300">
        <v>2000</v>
      </c>
      <c r="AT126" s="300">
        <v>2000</v>
      </c>
      <c r="AU126" s="300">
        <v>1500</v>
      </c>
      <c r="AV126" s="300">
        <v>1500</v>
      </c>
      <c r="AW126" s="300">
        <v>1500</v>
      </c>
      <c r="AX126" s="300">
        <v>2500</v>
      </c>
      <c r="AY126" s="300">
        <v>1000</v>
      </c>
      <c r="AZ126" s="300">
        <v>1000</v>
      </c>
      <c r="BA126" s="300">
        <v>2400</v>
      </c>
      <c r="BB126" s="300">
        <v>2400</v>
      </c>
      <c r="BC126" s="302">
        <v>5000</v>
      </c>
      <c r="BD126" s="300">
        <v>727.94</v>
      </c>
      <c r="BE126" s="300">
        <v>738.62</v>
      </c>
      <c r="BF126" s="300">
        <v>847.89</v>
      </c>
      <c r="BG126" s="300">
        <v>1500</v>
      </c>
      <c r="BH126" s="300">
        <v>1650</v>
      </c>
      <c r="BI126" s="300">
        <v>599.1</v>
      </c>
      <c r="BJ126" s="300">
        <v>1319.75</v>
      </c>
      <c r="BK126" s="300">
        <v>2300</v>
      </c>
      <c r="BL126" s="300">
        <v>2500</v>
      </c>
      <c r="BM126" s="300">
        <v>2500</v>
      </c>
      <c r="BN126" s="300">
        <v>2500</v>
      </c>
      <c r="BO126" s="300">
        <v>2500</v>
      </c>
      <c r="BP126" s="300">
        <v>2050</v>
      </c>
      <c r="BQ126" s="300">
        <v>2050</v>
      </c>
      <c r="BR126" s="300">
        <v>3300</v>
      </c>
      <c r="BS126" s="302">
        <v>5000</v>
      </c>
      <c r="BT126" s="300">
        <v>2300</v>
      </c>
      <c r="BU126">
        <v>3600</v>
      </c>
      <c r="BV126" s="300">
        <v>950</v>
      </c>
      <c r="BW126" s="300">
        <v>1250</v>
      </c>
      <c r="BX126" s="300">
        <v>2100</v>
      </c>
      <c r="BY126" s="300">
        <v>600</v>
      </c>
      <c r="BZ126" s="300">
        <v>1500</v>
      </c>
      <c r="CA126" s="300">
        <v>623.78</v>
      </c>
      <c r="CB126" s="300">
        <v>592.39999999999986</v>
      </c>
      <c r="CC126" s="300">
        <v>600</v>
      </c>
      <c r="CD126" s="300">
        <v>600</v>
      </c>
      <c r="CE126" s="300">
        <v>660</v>
      </c>
      <c r="CF126" s="300">
        <v>1650</v>
      </c>
      <c r="CG126" s="300">
        <v>1802</v>
      </c>
      <c r="CH126" s="300">
        <v>2000</v>
      </c>
      <c r="CI126" s="300">
        <v>1800</v>
      </c>
      <c r="CJ126" s="300">
        <v>2000</v>
      </c>
      <c r="CK126" s="300">
        <v>3000</v>
      </c>
      <c r="CL126" s="300">
        <v>1800</v>
      </c>
      <c r="CM126" s="300">
        <v>3000</v>
      </c>
      <c r="CN126" s="300">
        <v>850</v>
      </c>
      <c r="CO126" s="300">
        <v>1649</v>
      </c>
      <c r="CP126" s="254">
        <v>18.75</v>
      </c>
      <c r="CQ126" s="254"/>
      <c r="CR126" s="254"/>
      <c r="CS126" s="254"/>
      <c r="CT126" s="254"/>
      <c r="CW126" s="277"/>
      <c r="CX126" s="277"/>
      <c r="CY126" s="277"/>
    </row>
    <row r="127" spans="1:103" x14ac:dyDescent="0.2">
      <c r="A127" s="254">
        <v>19</v>
      </c>
      <c r="B127" s="122">
        <f t="shared" si="12"/>
        <v>6.1253383136864147E-3</v>
      </c>
      <c r="C127" s="122">
        <f t="shared" si="13"/>
        <v>5.0179020975336872E-3</v>
      </c>
      <c r="D127" s="122">
        <f t="shared" si="14"/>
        <v>55.186106474532259</v>
      </c>
      <c r="E127" s="122">
        <f t="shared" si="15"/>
        <v>37.800506177785152</v>
      </c>
      <c r="F127" s="122">
        <f t="shared" si="21"/>
        <v>7.5268531463005308</v>
      </c>
      <c r="G127" s="299">
        <f>HLOOKUP('Input &amp; Summary'!$B$6,'AEP Input Output sheet'!$N$50:$CO$211,ROW(G127)-49,0)</f>
        <v>1500</v>
      </c>
      <c r="H127" s="122">
        <f t="shared" si="16"/>
        <v>1662.9519221382577</v>
      </c>
      <c r="I127" s="247">
        <f t="shared" si="17"/>
        <v>0.90201044301465383</v>
      </c>
      <c r="J127" s="254">
        <f t="shared" si="18"/>
        <v>8351.4880899520394</v>
      </c>
      <c r="K127" s="122">
        <f t="shared" si="19"/>
        <v>4543.1757932081218</v>
      </c>
      <c r="L127" s="122">
        <f t="shared" si="22"/>
        <v>1662.9519221382577</v>
      </c>
      <c r="M127" s="122"/>
      <c r="N127" s="254">
        <f t="shared" si="20"/>
        <v>1500</v>
      </c>
      <c r="O127">
        <v>1500</v>
      </c>
      <c r="P127">
        <v>3500</v>
      </c>
      <c r="Q127">
        <v>5000</v>
      </c>
      <c r="R127">
        <v>1500</v>
      </c>
      <c r="S127">
        <v>3500</v>
      </c>
      <c r="T127">
        <v>5000</v>
      </c>
      <c r="U127">
        <v>1500</v>
      </c>
      <c r="V127">
        <v>3500</v>
      </c>
      <c r="W127">
        <v>5000</v>
      </c>
      <c r="X127" s="300">
        <v>1500</v>
      </c>
      <c r="Y127" s="300">
        <v>1500</v>
      </c>
      <c r="Z127" s="300">
        <v>900</v>
      </c>
      <c r="AA127" s="300">
        <v>900</v>
      </c>
      <c r="AB127" s="302">
        <v>5000</v>
      </c>
      <c r="AC127" s="300">
        <v>1300</v>
      </c>
      <c r="AD127" s="300">
        <v>2500</v>
      </c>
      <c r="AE127" s="300">
        <v>2500</v>
      </c>
      <c r="AF127" s="300">
        <v>2500</v>
      </c>
      <c r="AG127" s="300">
        <v>2500</v>
      </c>
      <c r="AH127" s="300">
        <v>2000</v>
      </c>
      <c r="AI127" s="300">
        <v>550</v>
      </c>
      <c r="AJ127" s="300">
        <v>750</v>
      </c>
      <c r="AK127" s="300">
        <v>1500</v>
      </c>
      <c r="AL127" s="300">
        <v>1500</v>
      </c>
      <c r="AM127" s="300">
        <v>2500</v>
      </c>
      <c r="AN127" s="300">
        <v>2500</v>
      </c>
      <c r="AO127" s="300">
        <v>2500</v>
      </c>
      <c r="AP127" s="300">
        <v>800</v>
      </c>
      <c r="AQ127" s="300">
        <v>850</v>
      </c>
      <c r="AR127" s="300">
        <v>2000</v>
      </c>
      <c r="AS127" s="300">
        <v>2000</v>
      </c>
      <c r="AT127" s="300">
        <v>2000</v>
      </c>
      <c r="AU127" s="300">
        <v>1500</v>
      </c>
      <c r="AV127" s="300">
        <v>1500</v>
      </c>
      <c r="AW127" s="300">
        <v>1500</v>
      </c>
      <c r="AX127" s="300">
        <v>2500</v>
      </c>
      <c r="AY127" s="300">
        <v>1000</v>
      </c>
      <c r="AZ127" s="300">
        <v>1000</v>
      </c>
      <c r="BA127" s="300">
        <v>2400</v>
      </c>
      <c r="BB127" s="300">
        <v>2400</v>
      </c>
      <c r="BC127" s="302">
        <v>5000</v>
      </c>
      <c r="BD127" s="300">
        <v>724.21</v>
      </c>
      <c r="BE127" s="300">
        <v>735.8</v>
      </c>
      <c r="BF127" s="300">
        <v>841.91</v>
      </c>
      <c r="BG127" s="300">
        <v>1500</v>
      </c>
      <c r="BH127" s="300">
        <v>1650</v>
      </c>
      <c r="BI127" s="300">
        <v>599.1</v>
      </c>
      <c r="BJ127" s="300">
        <v>1319</v>
      </c>
      <c r="BK127" s="300">
        <v>2300</v>
      </c>
      <c r="BL127" s="300">
        <v>2500</v>
      </c>
      <c r="BM127" s="300">
        <v>2500</v>
      </c>
      <c r="BN127" s="300">
        <v>2500</v>
      </c>
      <c r="BO127" s="300">
        <v>2500</v>
      </c>
      <c r="BP127" s="300">
        <v>2050</v>
      </c>
      <c r="BQ127" s="300">
        <v>2050</v>
      </c>
      <c r="BR127" s="300">
        <v>3300</v>
      </c>
      <c r="BS127" s="302">
        <v>5000</v>
      </c>
      <c r="BT127" s="300">
        <v>2300</v>
      </c>
      <c r="BU127">
        <v>3600</v>
      </c>
      <c r="BV127" s="300">
        <v>950</v>
      </c>
      <c r="BW127" s="300">
        <v>1250</v>
      </c>
      <c r="BX127" s="300">
        <v>2100</v>
      </c>
      <c r="BY127" s="300">
        <v>600</v>
      </c>
      <c r="BZ127" s="300">
        <v>1500</v>
      </c>
      <c r="CA127" s="300">
        <v>623.78</v>
      </c>
      <c r="CB127" s="300">
        <v>589.70000000000005</v>
      </c>
      <c r="CC127" s="300">
        <v>600</v>
      </c>
      <c r="CD127" s="300">
        <v>600</v>
      </c>
      <c r="CE127" s="300">
        <v>660</v>
      </c>
      <c r="CF127" s="300">
        <v>1650</v>
      </c>
      <c r="CG127" s="300">
        <v>1802</v>
      </c>
      <c r="CH127" s="300">
        <v>2000</v>
      </c>
      <c r="CI127" s="300">
        <v>1800</v>
      </c>
      <c r="CJ127" s="300">
        <v>2000</v>
      </c>
      <c r="CK127" s="300">
        <v>3000</v>
      </c>
      <c r="CL127" s="300">
        <v>1800</v>
      </c>
      <c r="CM127" s="300">
        <v>3000</v>
      </c>
      <c r="CN127" s="300">
        <v>850</v>
      </c>
      <c r="CO127" s="300">
        <v>1650</v>
      </c>
      <c r="CP127" s="254">
        <v>19</v>
      </c>
      <c r="CQ127" s="254"/>
      <c r="CR127" s="254"/>
      <c r="CS127" s="254"/>
      <c r="CT127" s="254"/>
      <c r="CW127" s="277"/>
      <c r="CX127" s="277"/>
      <c r="CY127" s="277"/>
    </row>
    <row r="128" spans="1:103" x14ac:dyDescent="0.2">
      <c r="A128" s="254">
        <v>19.25</v>
      </c>
      <c r="B128" s="122">
        <f t="shared" si="12"/>
        <v>5.5373300834737418E-3</v>
      </c>
      <c r="C128" s="122">
        <f t="shared" si="13"/>
        <v>4.4759358247027526E-3</v>
      </c>
      <c r="D128" s="122">
        <f t="shared" si="14"/>
        <v>51.194442805907023</v>
      </c>
      <c r="E128" s="122">
        <f t="shared" si="15"/>
        <v>35.066359545513833</v>
      </c>
      <c r="F128" s="122">
        <f t="shared" si="21"/>
        <v>6.713903737054129</v>
      </c>
      <c r="G128" s="299">
        <f>HLOOKUP('Input &amp; Summary'!$B$6,'AEP Input Output sheet'!$N$50:$CO$211,ROW(G128)-49,0)</f>
        <v>1500</v>
      </c>
      <c r="H128" s="122">
        <f t="shared" si="16"/>
        <v>1662.9519221382577</v>
      </c>
      <c r="I128" s="247">
        <f t="shared" si="17"/>
        <v>0.90201044301465383</v>
      </c>
      <c r="J128" s="254">
        <f t="shared" si="18"/>
        <v>8685.5088026909743</v>
      </c>
      <c r="K128" s="122">
        <f t="shared" si="19"/>
        <v>4635.5184843758461</v>
      </c>
      <c r="L128" s="122">
        <f t="shared" si="22"/>
        <v>1662.9519221382577</v>
      </c>
      <c r="M128" s="122"/>
      <c r="N128" s="254">
        <f t="shared" si="20"/>
        <v>1500</v>
      </c>
      <c r="O128">
        <v>1500</v>
      </c>
      <c r="P128">
        <v>3500</v>
      </c>
      <c r="Q128">
        <v>5000</v>
      </c>
      <c r="R128">
        <v>1500</v>
      </c>
      <c r="S128">
        <v>3500</v>
      </c>
      <c r="T128">
        <v>5000</v>
      </c>
      <c r="U128">
        <v>1500</v>
      </c>
      <c r="V128">
        <v>3500</v>
      </c>
      <c r="W128">
        <v>5000</v>
      </c>
      <c r="X128" s="300">
        <v>1500</v>
      </c>
      <c r="Y128" s="300">
        <v>1500</v>
      </c>
      <c r="Z128" s="300">
        <v>900</v>
      </c>
      <c r="AA128" s="300">
        <v>900</v>
      </c>
      <c r="AB128" s="302">
        <v>5000</v>
      </c>
      <c r="AC128" s="300">
        <v>1300</v>
      </c>
      <c r="AD128" s="300">
        <v>2500</v>
      </c>
      <c r="AE128" s="300">
        <v>2500</v>
      </c>
      <c r="AF128" s="300">
        <v>2500</v>
      </c>
      <c r="AG128" s="300">
        <v>2500</v>
      </c>
      <c r="AH128" s="300">
        <v>2000</v>
      </c>
      <c r="AI128" s="300">
        <v>550</v>
      </c>
      <c r="AJ128" s="300">
        <v>750</v>
      </c>
      <c r="AK128" s="300">
        <v>1500</v>
      </c>
      <c r="AL128" s="300">
        <v>1500</v>
      </c>
      <c r="AM128" s="300">
        <v>2500</v>
      </c>
      <c r="AN128" s="300">
        <v>2500</v>
      </c>
      <c r="AO128" s="300">
        <v>2500</v>
      </c>
      <c r="AP128" s="300">
        <v>800</v>
      </c>
      <c r="AQ128" s="300">
        <v>850</v>
      </c>
      <c r="AR128" s="300">
        <v>2000</v>
      </c>
      <c r="AS128" s="300">
        <v>2000</v>
      </c>
      <c r="AT128" s="300">
        <v>2000</v>
      </c>
      <c r="AU128" s="300">
        <v>1500</v>
      </c>
      <c r="AV128" s="300">
        <v>1500</v>
      </c>
      <c r="AW128" s="300">
        <v>1500</v>
      </c>
      <c r="AX128" s="300">
        <v>2500</v>
      </c>
      <c r="AY128" s="300">
        <v>1000</v>
      </c>
      <c r="AZ128" s="300">
        <v>1000</v>
      </c>
      <c r="BA128" s="300">
        <v>2400</v>
      </c>
      <c r="BB128" s="300">
        <v>2400</v>
      </c>
      <c r="BC128" s="302">
        <v>5000</v>
      </c>
      <c r="BD128" s="300">
        <v>720.48</v>
      </c>
      <c r="BE128" s="300">
        <v>730.11</v>
      </c>
      <c r="BF128" s="300">
        <v>837.93</v>
      </c>
      <c r="BG128" s="300">
        <v>1500</v>
      </c>
      <c r="BH128" s="300">
        <v>1650</v>
      </c>
      <c r="BI128" s="300">
        <v>599.1</v>
      </c>
      <c r="BJ128" s="300">
        <v>1317.75</v>
      </c>
      <c r="BK128" s="300">
        <v>2300</v>
      </c>
      <c r="BL128" s="300">
        <v>2500</v>
      </c>
      <c r="BM128" s="300">
        <v>2500</v>
      </c>
      <c r="BN128" s="300">
        <v>2500</v>
      </c>
      <c r="BO128" s="300">
        <v>2500</v>
      </c>
      <c r="BP128" s="300">
        <v>2050</v>
      </c>
      <c r="BQ128" s="300">
        <v>2050</v>
      </c>
      <c r="BR128" s="300">
        <v>3300</v>
      </c>
      <c r="BS128" s="302">
        <v>5000</v>
      </c>
      <c r="BT128" s="300">
        <v>2300</v>
      </c>
      <c r="BU128">
        <v>3600</v>
      </c>
      <c r="BV128" s="300">
        <v>950</v>
      </c>
      <c r="BW128" s="300">
        <v>1250</v>
      </c>
      <c r="BX128" s="300">
        <v>2100</v>
      </c>
      <c r="BY128" s="300">
        <v>600</v>
      </c>
      <c r="BZ128" s="300">
        <v>1500</v>
      </c>
      <c r="CA128" s="300">
        <v>623.78</v>
      </c>
      <c r="CB128" s="300">
        <v>592.65000000000009</v>
      </c>
      <c r="CC128" s="300">
        <v>600</v>
      </c>
      <c r="CD128" s="300">
        <v>600</v>
      </c>
      <c r="CE128" s="300">
        <v>660</v>
      </c>
      <c r="CF128" s="300">
        <v>1650</v>
      </c>
      <c r="CG128" s="300">
        <v>1802</v>
      </c>
      <c r="CH128" s="300">
        <v>2000</v>
      </c>
      <c r="CI128" s="300">
        <v>1800</v>
      </c>
      <c r="CJ128" s="300">
        <v>2000</v>
      </c>
      <c r="CK128" s="300">
        <v>3000</v>
      </c>
      <c r="CL128" s="300">
        <v>1800</v>
      </c>
      <c r="CM128" s="300">
        <v>3000</v>
      </c>
      <c r="CN128" s="300">
        <v>850</v>
      </c>
      <c r="CO128" s="300">
        <v>1650</v>
      </c>
      <c r="CP128" s="254">
        <v>19.25</v>
      </c>
      <c r="CQ128" s="254"/>
      <c r="CR128" s="254"/>
      <c r="CS128" s="254"/>
      <c r="CT128" s="254"/>
      <c r="CW128" s="277"/>
      <c r="CX128" s="277"/>
      <c r="CY128" s="277"/>
    </row>
    <row r="129" spans="1:103" x14ac:dyDescent="0.2">
      <c r="A129" s="254">
        <v>19.5</v>
      </c>
      <c r="B129" s="122">
        <f t="shared" si="12"/>
        <v>4.997471683191727E-3</v>
      </c>
      <c r="C129" s="122">
        <f t="shared" si="13"/>
        <v>3.9843810556001074E-3</v>
      </c>
      <c r="D129" s="122">
        <f t="shared" si="14"/>
        <v>47.37088173973504</v>
      </c>
      <c r="E129" s="122">
        <f t="shared" si="15"/>
        <v>32.447357174515389</v>
      </c>
      <c r="F129" s="122">
        <f t="shared" si="21"/>
        <v>5.9765715834001609</v>
      </c>
      <c r="G129" s="299">
        <f>HLOOKUP('Input &amp; Summary'!$B$6,'AEP Input Output sheet'!$N$50:$CO$211,ROW(G129)-49,0)</f>
        <v>1500</v>
      </c>
      <c r="H129" s="122">
        <f t="shared" si="16"/>
        <v>1662.9519221382577</v>
      </c>
      <c r="I129" s="247">
        <f t="shared" si="17"/>
        <v>0.90201044301465383</v>
      </c>
      <c r="J129" s="254">
        <f t="shared" si="18"/>
        <v>9028.3190335301242</v>
      </c>
      <c r="K129" s="122">
        <f t="shared" si="19"/>
        <v>4727.8611755435704</v>
      </c>
      <c r="L129" s="122">
        <f t="shared" si="22"/>
        <v>1662.9519221382577</v>
      </c>
      <c r="M129" s="122"/>
      <c r="N129" s="254">
        <f t="shared" si="20"/>
        <v>1500</v>
      </c>
      <c r="O129">
        <v>1500</v>
      </c>
      <c r="P129">
        <v>3500</v>
      </c>
      <c r="Q129">
        <v>5000</v>
      </c>
      <c r="R129">
        <v>1500</v>
      </c>
      <c r="S129">
        <v>3500</v>
      </c>
      <c r="T129">
        <v>5000</v>
      </c>
      <c r="U129">
        <v>1500</v>
      </c>
      <c r="V129">
        <v>3500</v>
      </c>
      <c r="W129">
        <v>5000</v>
      </c>
      <c r="X129" s="300">
        <v>1500</v>
      </c>
      <c r="Y129" s="300">
        <v>1500</v>
      </c>
      <c r="Z129" s="300">
        <v>900</v>
      </c>
      <c r="AA129" s="300">
        <v>900</v>
      </c>
      <c r="AB129" s="302">
        <v>5000</v>
      </c>
      <c r="AC129" s="300">
        <v>1300</v>
      </c>
      <c r="AD129" s="300">
        <v>2500</v>
      </c>
      <c r="AE129" s="300">
        <v>2500</v>
      </c>
      <c r="AF129" s="300">
        <v>2500</v>
      </c>
      <c r="AG129" s="300">
        <v>2500</v>
      </c>
      <c r="AH129" s="300">
        <v>2000</v>
      </c>
      <c r="AI129" s="300">
        <v>550</v>
      </c>
      <c r="AJ129" s="300">
        <v>750</v>
      </c>
      <c r="AK129" s="300">
        <v>1500</v>
      </c>
      <c r="AL129" s="300">
        <v>1500</v>
      </c>
      <c r="AM129" s="300">
        <v>2500</v>
      </c>
      <c r="AN129" s="300">
        <v>2500</v>
      </c>
      <c r="AO129" s="300">
        <v>2500</v>
      </c>
      <c r="AP129" s="300">
        <v>800</v>
      </c>
      <c r="AQ129" s="300">
        <v>850</v>
      </c>
      <c r="AR129" s="300">
        <v>2000</v>
      </c>
      <c r="AS129" s="300">
        <v>2000</v>
      </c>
      <c r="AT129" s="300">
        <v>2000</v>
      </c>
      <c r="AU129" s="300">
        <v>1500</v>
      </c>
      <c r="AV129" s="300">
        <v>1500</v>
      </c>
      <c r="AW129" s="300">
        <v>1500</v>
      </c>
      <c r="AX129" s="300">
        <v>2500</v>
      </c>
      <c r="AY129" s="300">
        <v>1000</v>
      </c>
      <c r="AZ129" s="300">
        <v>1000</v>
      </c>
      <c r="BA129" s="300">
        <v>2400</v>
      </c>
      <c r="BB129" s="300">
        <v>2400</v>
      </c>
      <c r="BC129" s="302">
        <v>5000</v>
      </c>
      <c r="BD129" s="300">
        <v>716.76</v>
      </c>
      <c r="BE129" s="300">
        <v>727.3</v>
      </c>
      <c r="BF129" s="300">
        <v>833.96</v>
      </c>
      <c r="BG129" s="300">
        <v>1500</v>
      </c>
      <c r="BH129" s="300">
        <v>1650</v>
      </c>
      <c r="BI129" s="300">
        <v>599.1</v>
      </c>
      <c r="BJ129" s="300">
        <v>1316.5</v>
      </c>
      <c r="BK129" s="300">
        <v>2300</v>
      </c>
      <c r="BL129" s="300">
        <v>2500</v>
      </c>
      <c r="BM129" s="300">
        <v>2500</v>
      </c>
      <c r="BN129" s="300">
        <v>2500</v>
      </c>
      <c r="BO129" s="300">
        <v>2500</v>
      </c>
      <c r="BP129" s="300">
        <v>2050</v>
      </c>
      <c r="BQ129" s="300">
        <v>2050</v>
      </c>
      <c r="BR129" s="300">
        <v>3300</v>
      </c>
      <c r="BS129" s="302">
        <v>5000</v>
      </c>
      <c r="BT129" s="300">
        <v>2300</v>
      </c>
      <c r="BU129">
        <v>3600</v>
      </c>
      <c r="BV129" s="300">
        <v>950</v>
      </c>
      <c r="BW129" s="300">
        <v>1250</v>
      </c>
      <c r="BX129" s="300">
        <v>2100</v>
      </c>
      <c r="BY129" s="300">
        <v>600</v>
      </c>
      <c r="BZ129" s="300">
        <v>1500</v>
      </c>
      <c r="CA129" s="300">
        <v>623.78</v>
      </c>
      <c r="CB129" s="300">
        <v>595.60000000000014</v>
      </c>
      <c r="CC129" s="300">
        <v>600</v>
      </c>
      <c r="CD129" s="300">
        <v>600</v>
      </c>
      <c r="CE129" s="300">
        <v>660</v>
      </c>
      <c r="CF129" s="300">
        <v>1650</v>
      </c>
      <c r="CG129" s="300">
        <v>1802</v>
      </c>
      <c r="CH129" s="300">
        <v>2000</v>
      </c>
      <c r="CI129" s="300">
        <v>1800</v>
      </c>
      <c r="CJ129" s="300">
        <v>2000</v>
      </c>
      <c r="CK129" s="300">
        <v>3000</v>
      </c>
      <c r="CL129" s="300">
        <v>1800</v>
      </c>
      <c r="CM129" s="300">
        <v>3000</v>
      </c>
      <c r="CN129" s="300">
        <v>850</v>
      </c>
      <c r="CO129" s="300">
        <v>1650</v>
      </c>
      <c r="CP129" s="254">
        <v>19.5</v>
      </c>
      <c r="CQ129" s="254"/>
      <c r="CR129" s="254"/>
      <c r="CS129" s="254"/>
      <c r="CT129" s="254"/>
      <c r="CW129" s="277"/>
      <c r="CX129" s="277"/>
      <c r="CY129" s="277"/>
    </row>
    <row r="130" spans="1:103" x14ac:dyDescent="0.2">
      <c r="A130" s="254">
        <v>19.75</v>
      </c>
      <c r="B130" s="122">
        <f t="shared" si="12"/>
        <v>4.5027904311588209E-3</v>
      </c>
      <c r="C130" s="122">
        <f t="shared" si="13"/>
        <v>3.539600476894791E-3</v>
      </c>
      <c r="D130" s="122">
        <f t="shared" si="14"/>
        <v>43.722230834029865</v>
      </c>
      <c r="E130" s="122">
        <f t="shared" si="15"/>
        <v>29.948161998183476</v>
      </c>
      <c r="F130" s="122">
        <f t="shared" si="21"/>
        <v>5.3094007153421865</v>
      </c>
      <c r="G130" s="299">
        <f>HLOOKUP('Input &amp; Summary'!$B$6,'AEP Input Output sheet'!$N$50:$CO$211,ROW(G130)-49,0)</f>
        <v>1500</v>
      </c>
      <c r="H130" s="122">
        <f t="shared" si="16"/>
        <v>1662.9519221382577</v>
      </c>
      <c r="I130" s="247">
        <f t="shared" si="17"/>
        <v>0.90201044301465383</v>
      </c>
      <c r="J130" s="254">
        <f t="shared" si="18"/>
        <v>9380.0329320551937</v>
      </c>
      <c r="K130" s="122">
        <f t="shared" si="19"/>
        <v>4820.2038667112947</v>
      </c>
      <c r="L130" s="122">
        <f t="shared" si="22"/>
        <v>1662.9519221382577</v>
      </c>
      <c r="M130" s="122"/>
      <c r="N130" s="254">
        <f t="shared" si="20"/>
        <v>1500</v>
      </c>
      <c r="O130">
        <v>1500</v>
      </c>
      <c r="P130">
        <v>3500</v>
      </c>
      <c r="Q130">
        <v>5000</v>
      </c>
      <c r="R130">
        <v>1500</v>
      </c>
      <c r="S130">
        <v>3500</v>
      </c>
      <c r="T130">
        <v>5000</v>
      </c>
      <c r="U130">
        <v>1500</v>
      </c>
      <c r="V130">
        <v>3500</v>
      </c>
      <c r="W130">
        <v>5000</v>
      </c>
      <c r="X130" s="300">
        <v>1500</v>
      </c>
      <c r="Y130" s="300">
        <v>1500</v>
      </c>
      <c r="Z130" s="300">
        <v>900</v>
      </c>
      <c r="AA130" s="300">
        <v>900</v>
      </c>
      <c r="AB130" s="302">
        <v>5000</v>
      </c>
      <c r="AC130" s="300">
        <v>1300</v>
      </c>
      <c r="AD130" s="300">
        <v>2500</v>
      </c>
      <c r="AE130" s="300">
        <v>2500</v>
      </c>
      <c r="AF130" s="300">
        <v>2500</v>
      </c>
      <c r="AG130" s="300">
        <v>2500</v>
      </c>
      <c r="AH130" s="300">
        <v>2000</v>
      </c>
      <c r="AI130" s="300">
        <v>550</v>
      </c>
      <c r="AJ130" s="300">
        <v>750</v>
      </c>
      <c r="AK130" s="300">
        <v>1500</v>
      </c>
      <c r="AL130" s="300">
        <v>1500</v>
      </c>
      <c r="AM130" s="300">
        <v>2500</v>
      </c>
      <c r="AN130" s="300">
        <v>2500</v>
      </c>
      <c r="AO130" s="300">
        <v>2500</v>
      </c>
      <c r="AP130" s="300">
        <v>800</v>
      </c>
      <c r="AQ130" s="300">
        <v>850</v>
      </c>
      <c r="AR130" s="300">
        <v>2000</v>
      </c>
      <c r="AS130" s="300">
        <v>2000</v>
      </c>
      <c r="AT130" s="300">
        <v>2000</v>
      </c>
      <c r="AU130" s="300">
        <v>1500</v>
      </c>
      <c r="AV130" s="300">
        <v>1500</v>
      </c>
      <c r="AW130" s="300">
        <v>1500</v>
      </c>
      <c r="AX130" s="300">
        <v>2500</v>
      </c>
      <c r="AY130" s="300">
        <v>1000</v>
      </c>
      <c r="AZ130" s="300">
        <v>1000</v>
      </c>
      <c r="BA130" s="300">
        <v>2400</v>
      </c>
      <c r="BB130" s="300">
        <v>2400</v>
      </c>
      <c r="BC130" s="302">
        <v>5000</v>
      </c>
      <c r="BD130" s="300">
        <v>713.03</v>
      </c>
      <c r="BE130" s="300">
        <v>721.62</v>
      </c>
      <c r="BF130" s="300">
        <v>829.98</v>
      </c>
      <c r="BG130" s="300">
        <v>1500</v>
      </c>
      <c r="BH130" s="300">
        <v>1650</v>
      </c>
      <c r="BI130" s="300">
        <v>599.1</v>
      </c>
      <c r="BJ130" s="300">
        <v>1315.25</v>
      </c>
      <c r="BK130" s="300">
        <v>2300</v>
      </c>
      <c r="BL130" s="300">
        <v>2500</v>
      </c>
      <c r="BM130" s="300">
        <v>2500</v>
      </c>
      <c r="BN130" s="300">
        <v>2500</v>
      </c>
      <c r="BO130" s="300">
        <v>2500</v>
      </c>
      <c r="BP130" s="300">
        <v>2050</v>
      </c>
      <c r="BQ130" s="300">
        <v>2050</v>
      </c>
      <c r="BR130" s="300">
        <v>3300</v>
      </c>
      <c r="BS130" s="302">
        <v>5000</v>
      </c>
      <c r="BT130" s="300">
        <v>2300</v>
      </c>
      <c r="BU130">
        <v>3600</v>
      </c>
      <c r="BV130" s="300">
        <v>950</v>
      </c>
      <c r="BW130" s="300">
        <v>1250</v>
      </c>
      <c r="BX130" s="300">
        <v>2100</v>
      </c>
      <c r="BY130" s="300">
        <v>600</v>
      </c>
      <c r="BZ130" s="300">
        <v>1500</v>
      </c>
      <c r="CA130" s="300">
        <v>623.78</v>
      </c>
      <c r="CB130" s="300">
        <v>598.55000000000018</v>
      </c>
      <c r="CC130" s="300">
        <v>600</v>
      </c>
      <c r="CD130" s="300">
        <v>600</v>
      </c>
      <c r="CE130" s="300">
        <v>660</v>
      </c>
      <c r="CF130" s="300">
        <v>1650</v>
      </c>
      <c r="CG130" s="300">
        <v>1802</v>
      </c>
      <c r="CH130" s="300">
        <v>2000</v>
      </c>
      <c r="CI130" s="300">
        <v>1800</v>
      </c>
      <c r="CJ130" s="300">
        <v>2000</v>
      </c>
      <c r="CK130" s="300">
        <v>3000</v>
      </c>
      <c r="CL130" s="300">
        <v>1800</v>
      </c>
      <c r="CM130" s="300">
        <v>3000</v>
      </c>
      <c r="CN130" s="300">
        <v>850</v>
      </c>
      <c r="CO130" s="300">
        <v>1650</v>
      </c>
      <c r="CP130" s="254">
        <v>19.75</v>
      </c>
      <c r="CQ130" s="254"/>
      <c r="CR130" s="254"/>
      <c r="CS130" s="254"/>
      <c r="CT130" s="254"/>
      <c r="CW130" s="277"/>
      <c r="CX130" s="277"/>
      <c r="CY130" s="277"/>
    </row>
    <row r="131" spans="1:103" x14ac:dyDescent="0.2">
      <c r="A131" s="254">
        <v>20</v>
      </c>
      <c r="B131" s="122">
        <f t="shared" si="12"/>
        <v>4.0503857494951084E-3</v>
      </c>
      <c r="C131" s="122">
        <f t="shared" si="13"/>
        <v>3.1380866815035597E-3</v>
      </c>
      <c r="D131" s="122">
        <f t="shared" si="14"/>
        <v>40.253318596325684</v>
      </c>
      <c r="E131" s="122">
        <f t="shared" si="15"/>
        <v>27.572081371222691</v>
      </c>
      <c r="F131" s="122">
        <f t="shared" si="21"/>
        <v>4.7071300222553401</v>
      </c>
      <c r="G131" s="299">
        <f>HLOOKUP('Input &amp; Summary'!$B$6,'AEP Input Output sheet'!$N$50:$CO$211,ROW(G131)-49,0)</f>
        <v>1500</v>
      </c>
      <c r="H131" s="122">
        <f t="shared" si="16"/>
        <v>1662.9519221382577</v>
      </c>
      <c r="I131" s="247">
        <f t="shared" si="17"/>
        <v>0.90201044301465383</v>
      </c>
      <c r="J131" s="254">
        <f t="shared" si="18"/>
        <v>9740.7646478519164</v>
      </c>
      <c r="K131" s="122">
        <f t="shared" si="19"/>
        <v>4912.546557879019</v>
      </c>
      <c r="L131" s="122">
        <f t="shared" si="22"/>
        <v>1662.9519221382577</v>
      </c>
      <c r="M131" s="122"/>
      <c r="N131" s="254">
        <f t="shared" si="20"/>
        <v>1500</v>
      </c>
      <c r="O131">
        <v>1500</v>
      </c>
      <c r="P131">
        <v>3500</v>
      </c>
      <c r="Q131">
        <v>5000</v>
      </c>
      <c r="R131">
        <v>1500</v>
      </c>
      <c r="S131">
        <v>3500</v>
      </c>
      <c r="T131">
        <v>5000</v>
      </c>
      <c r="U131">
        <v>1500</v>
      </c>
      <c r="V131">
        <v>3500</v>
      </c>
      <c r="W131">
        <v>5000</v>
      </c>
      <c r="X131" s="300">
        <v>1500</v>
      </c>
      <c r="Y131" s="300">
        <v>1500</v>
      </c>
      <c r="Z131" s="300">
        <v>900</v>
      </c>
      <c r="AA131" s="300">
        <v>900</v>
      </c>
      <c r="AB131" s="302">
        <v>5000</v>
      </c>
      <c r="AC131" s="300">
        <v>1300</v>
      </c>
      <c r="AD131" s="300">
        <v>2500</v>
      </c>
      <c r="AE131" s="300">
        <v>2500</v>
      </c>
      <c r="AF131" s="300">
        <v>2500</v>
      </c>
      <c r="AG131" s="300">
        <v>2500</v>
      </c>
      <c r="AH131" s="300">
        <v>2000</v>
      </c>
      <c r="AI131" s="300">
        <v>550</v>
      </c>
      <c r="AJ131" s="300">
        <v>750</v>
      </c>
      <c r="AK131" s="300">
        <v>1500</v>
      </c>
      <c r="AL131" s="300">
        <v>1500</v>
      </c>
      <c r="AM131" s="300">
        <v>2500</v>
      </c>
      <c r="AN131" s="300">
        <v>2500</v>
      </c>
      <c r="AO131" s="300">
        <v>2500</v>
      </c>
      <c r="AP131" s="300">
        <v>800</v>
      </c>
      <c r="AQ131" s="300">
        <v>850</v>
      </c>
      <c r="AR131" s="300">
        <v>2000</v>
      </c>
      <c r="AS131" s="300">
        <v>2000</v>
      </c>
      <c r="AT131" s="300">
        <v>2000</v>
      </c>
      <c r="AU131" s="300">
        <v>1500</v>
      </c>
      <c r="AV131" s="300">
        <v>1500</v>
      </c>
      <c r="AW131" s="300">
        <v>1500</v>
      </c>
      <c r="AX131" s="300">
        <v>2500</v>
      </c>
      <c r="AY131" s="300">
        <v>1000</v>
      </c>
      <c r="AZ131" s="300">
        <v>1000</v>
      </c>
      <c r="BA131" s="300">
        <v>2400</v>
      </c>
      <c r="BB131" s="300">
        <v>2400</v>
      </c>
      <c r="BC131" s="302">
        <v>5000</v>
      </c>
      <c r="BD131" s="300">
        <v>705.48</v>
      </c>
      <c r="BE131" s="300">
        <v>715.93</v>
      </c>
      <c r="BF131" s="300">
        <v>828.02</v>
      </c>
      <c r="BG131" s="300">
        <v>1500</v>
      </c>
      <c r="BH131" s="300">
        <v>1650</v>
      </c>
      <c r="BI131" s="300">
        <v>599.1</v>
      </c>
      <c r="BJ131" s="300">
        <v>1314</v>
      </c>
      <c r="BK131" s="300">
        <v>2300</v>
      </c>
      <c r="BL131" s="300">
        <v>2500</v>
      </c>
      <c r="BM131" s="300">
        <v>2500</v>
      </c>
      <c r="BN131" s="300">
        <v>2500</v>
      </c>
      <c r="BO131" s="300">
        <v>2500</v>
      </c>
      <c r="BP131" s="300">
        <v>2050</v>
      </c>
      <c r="BQ131" s="300">
        <v>2050</v>
      </c>
      <c r="BR131" s="300">
        <v>3300</v>
      </c>
      <c r="BS131" s="302">
        <v>5000</v>
      </c>
      <c r="BT131" s="300">
        <v>2300</v>
      </c>
      <c r="BU131">
        <v>3600</v>
      </c>
      <c r="BV131" s="300">
        <v>950</v>
      </c>
      <c r="BW131" s="300">
        <v>1250</v>
      </c>
      <c r="BX131" s="300">
        <v>2100</v>
      </c>
      <c r="BY131" s="300">
        <v>600</v>
      </c>
      <c r="BZ131" s="300">
        <v>1500</v>
      </c>
      <c r="CA131" s="300">
        <v>623.78</v>
      </c>
      <c r="CB131" s="300">
        <v>601.5</v>
      </c>
      <c r="CC131" s="300">
        <v>600</v>
      </c>
      <c r="CD131" s="300">
        <v>600</v>
      </c>
      <c r="CE131" s="300">
        <v>660</v>
      </c>
      <c r="CF131" s="300">
        <v>1650</v>
      </c>
      <c r="CG131" s="300">
        <v>1802</v>
      </c>
      <c r="CH131" s="300">
        <v>2000</v>
      </c>
      <c r="CI131" s="300">
        <v>1800</v>
      </c>
      <c r="CJ131" s="300">
        <v>2000</v>
      </c>
      <c r="CK131" s="300">
        <v>3000</v>
      </c>
      <c r="CL131" s="300">
        <v>1800</v>
      </c>
      <c r="CM131" s="300">
        <v>3000</v>
      </c>
      <c r="CN131" s="300">
        <v>850</v>
      </c>
      <c r="CO131" s="300">
        <v>1650</v>
      </c>
      <c r="CP131" s="254">
        <v>20</v>
      </c>
      <c r="CQ131" s="254"/>
      <c r="CR131" s="254"/>
      <c r="CS131" s="254"/>
      <c r="CT131" s="254"/>
      <c r="CW131" s="277"/>
      <c r="CX131" s="277"/>
      <c r="CY131" s="277"/>
    </row>
    <row r="132" spans="1:103" x14ac:dyDescent="0.2">
      <c r="A132" s="254">
        <v>20.25</v>
      </c>
      <c r="B132" s="122">
        <f t="shared" si="12"/>
        <v>3.637441578338528E-3</v>
      </c>
      <c r="C132" s="122">
        <f t="shared" si="13"/>
        <v>2.776475375075603E-3</v>
      </c>
      <c r="D132" s="122">
        <f t="shared" si="14"/>
        <v>36.967125051775028</v>
      </c>
      <c r="E132" s="122">
        <f t="shared" si="15"/>
        <v>25.321156504118491</v>
      </c>
      <c r="F132" s="122">
        <f t="shared" si="21"/>
        <v>4.1647130626134041</v>
      </c>
      <c r="G132" s="299">
        <f>HLOOKUP('Input &amp; Summary'!$B$6,'AEP Input Output sheet'!$N$50:$CO$211,ROW(G132)-49,0)</f>
        <v>1500</v>
      </c>
      <c r="H132" s="122">
        <f t="shared" si="16"/>
        <v>1662.9519221382577</v>
      </c>
      <c r="I132" s="247">
        <f t="shared" si="17"/>
        <v>0.90201044301465383</v>
      </c>
      <c r="J132" s="254">
        <f t="shared" si="18"/>
        <v>10110.628330505999</v>
      </c>
      <c r="K132" s="122">
        <f t="shared" si="19"/>
        <v>5004.8892490467433</v>
      </c>
      <c r="L132" s="122">
        <f t="shared" si="22"/>
        <v>1662.9519221382577</v>
      </c>
      <c r="M132" s="122"/>
      <c r="N132" s="254">
        <f t="shared" si="20"/>
        <v>1500</v>
      </c>
      <c r="O132">
        <v>1500</v>
      </c>
      <c r="P132">
        <v>3500</v>
      </c>
      <c r="Q132">
        <v>5000</v>
      </c>
      <c r="R132">
        <v>1500</v>
      </c>
      <c r="S132">
        <v>3500</v>
      </c>
      <c r="T132">
        <v>5000</v>
      </c>
      <c r="U132">
        <v>1500</v>
      </c>
      <c r="V132">
        <v>3500</v>
      </c>
      <c r="W132">
        <v>5000</v>
      </c>
      <c r="X132" s="300">
        <v>1500</v>
      </c>
      <c r="Y132" s="300">
        <v>0</v>
      </c>
      <c r="Z132" s="300">
        <v>900</v>
      </c>
      <c r="AA132" s="300">
        <v>900</v>
      </c>
      <c r="AB132" s="302">
        <v>5000</v>
      </c>
      <c r="AC132" s="300">
        <v>1300</v>
      </c>
      <c r="AD132" s="300">
        <v>2500</v>
      </c>
      <c r="AE132" s="300">
        <v>2500</v>
      </c>
      <c r="AF132" s="300">
        <v>2500</v>
      </c>
      <c r="AG132" s="300">
        <v>2500</v>
      </c>
      <c r="AH132" s="300">
        <v>2000</v>
      </c>
      <c r="AI132" s="300">
        <v>550</v>
      </c>
      <c r="AJ132" s="300">
        <v>750</v>
      </c>
      <c r="AK132" s="300">
        <v>1500</v>
      </c>
      <c r="AL132" s="300">
        <v>1500</v>
      </c>
      <c r="AM132" s="300">
        <v>2500</v>
      </c>
      <c r="AN132" s="300">
        <v>2500</v>
      </c>
      <c r="AO132" s="300">
        <v>2500</v>
      </c>
      <c r="AP132" s="300">
        <v>800</v>
      </c>
      <c r="AQ132" s="300">
        <v>850</v>
      </c>
      <c r="AR132" s="300">
        <v>2000</v>
      </c>
      <c r="AS132" s="300">
        <v>2000</v>
      </c>
      <c r="AT132" s="300">
        <v>2000</v>
      </c>
      <c r="AU132" s="300">
        <v>1500</v>
      </c>
      <c r="AV132" s="300">
        <v>1500</v>
      </c>
      <c r="AW132" s="300">
        <v>0</v>
      </c>
      <c r="AX132" s="300">
        <v>2500</v>
      </c>
      <c r="AY132" s="300">
        <v>1000</v>
      </c>
      <c r="AZ132" s="300">
        <v>1000</v>
      </c>
      <c r="BA132" s="300">
        <v>2400</v>
      </c>
      <c r="BB132" s="300">
        <v>2400</v>
      </c>
      <c r="BC132" s="302">
        <v>5000</v>
      </c>
      <c r="BD132" s="300">
        <v>705.56</v>
      </c>
      <c r="BE132" s="300">
        <v>710.24</v>
      </c>
      <c r="BF132" s="300">
        <v>824.04</v>
      </c>
      <c r="BG132" s="300">
        <v>1500</v>
      </c>
      <c r="BH132" s="300">
        <v>0</v>
      </c>
      <c r="BI132" s="300">
        <v>599.1</v>
      </c>
      <c r="BJ132" s="300">
        <v>1313.5</v>
      </c>
      <c r="BK132" s="300">
        <v>2300</v>
      </c>
      <c r="BL132" s="300">
        <v>2500</v>
      </c>
      <c r="BM132" s="300">
        <v>2500</v>
      </c>
      <c r="BN132" s="300">
        <v>2500</v>
      </c>
      <c r="BO132" s="300">
        <v>0</v>
      </c>
      <c r="BP132" s="300">
        <v>2050</v>
      </c>
      <c r="BQ132" s="300">
        <v>2050</v>
      </c>
      <c r="BR132" s="300">
        <v>3300</v>
      </c>
      <c r="BS132" s="302">
        <v>5000</v>
      </c>
      <c r="BT132" s="300">
        <v>2300</v>
      </c>
      <c r="BU132">
        <v>3600</v>
      </c>
      <c r="BV132" s="300">
        <v>950</v>
      </c>
      <c r="BW132" s="300">
        <v>1250</v>
      </c>
      <c r="BX132" s="300">
        <v>2100</v>
      </c>
      <c r="BY132" s="300">
        <v>600</v>
      </c>
      <c r="BZ132" s="300">
        <v>0</v>
      </c>
      <c r="CA132" s="300">
        <v>623.78</v>
      </c>
      <c r="CB132" s="300">
        <v>0</v>
      </c>
      <c r="CC132" s="300">
        <v>600</v>
      </c>
      <c r="CD132" s="300">
        <v>0</v>
      </c>
      <c r="CE132" s="300">
        <v>660</v>
      </c>
      <c r="CF132" s="300">
        <v>0</v>
      </c>
      <c r="CG132" s="300">
        <v>1802</v>
      </c>
      <c r="CH132" s="300">
        <v>2000</v>
      </c>
      <c r="CI132" s="300">
        <v>1800</v>
      </c>
      <c r="CJ132" s="300">
        <v>2000</v>
      </c>
      <c r="CK132" s="300">
        <v>3000</v>
      </c>
      <c r="CL132" s="300">
        <v>1800</v>
      </c>
      <c r="CM132" s="300">
        <v>3000</v>
      </c>
      <c r="CN132" s="300">
        <v>850</v>
      </c>
      <c r="CO132" s="300">
        <v>1650</v>
      </c>
      <c r="CP132" s="254">
        <v>20.25</v>
      </c>
      <c r="CQ132" s="254"/>
      <c r="CR132" s="254"/>
      <c r="CS132" s="254"/>
      <c r="CT132" s="254"/>
      <c r="CW132" s="277"/>
      <c r="CX132" s="277"/>
      <c r="CY132" s="277"/>
    </row>
    <row r="133" spans="1:103" x14ac:dyDescent="0.2">
      <c r="A133" s="254">
        <v>20.5</v>
      </c>
      <c r="B133" s="122">
        <f t="shared" si="12"/>
        <v>3.2612367003868265E-3</v>
      </c>
      <c r="C133" s="122">
        <f t="shared" si="13"/>
        <v>2.4515555849367919E-3</v>
      </c>
      <c r="D133" s="122">
        <f t="shared" si="14"/>
        <v>33.8649232541933</v>
      </c>
      <c r="E133" s="122">
        <f t="shared" si="15"/>
        <v>23.196259393133854</v>
      </c>
      <c r="F133" s="122">
        <f t="shared" si="21"/>
        <v>3.677333377405188</v>
      </c>
      <c r="G133" s="299">
        <f>HLOOKUP('Input &amp; Summary'!$B$6,'AEP Input Output sheet'!$N$50:$CO$211,ROW(G133)-49,0)</f>
        <v>1500</v>
      </c>
      <c r="H133" s="122">
        <f t="shared" si="16"/>
        <v>1662.9519221382577</v>
      </c>
      <c r="I133" s="247">
        <f t="shared" si="17"/>
        <v>0.90201044301465383</v>
      </c>
      <c r="J133" s="254">
        <f t="shared" si="18"/>
        <v>10489.738129603153</v>
      </c>
      <c r="K133" s="122">
        <f t="shared" si="19"/>
        <v>5097.2319402144676</v>
      </c>
      <c r="L133" s="122">
        <f t="shared" si="22"/>
        <v>1662.9519221382577</v>
      </c>
      <c r="M133" s="122"/>
      <c r="N133" s="254">
        <f t="shared" si="20"/>
        <v>1500</v>
      </c>
      <c r="O133">
        <v>1500</v>
      </c>
      <c r="P133">
        <v>3500</v>
      </c>
      <c r="Q133">
        <v>5000</v>
      </c>
      <c r="R133">
        <v>1500</v>
      </c>
      <c r="S133">
        <v>3500</v>
      </c>
      <c r="T133">
        <v>5000</v>
      </c>
      <c r="U133">
        <v>1500</v>
      </c>
      <c r="V133">
        <v>3500</v>
      </c>
      <c r="W133">
        <v>5000</v>
      </c>
      <c r="X133" s="300">
        <v>1500</v>
      </c>
      <c r="Y133" s="300">
        <v>0</v>
      </c>
      <c r="Z133" s="300">
        <v>900</v>
      </c>
      <c r="AA133" s="300">
        <v>900</v>
      </c>
      <c r="AB133" s="302">
        <v>5000</v>
      </c>
      <c r="AC133" s="300">
        <v>1300</v>
      </c>
      <c r="AD133" s="300">
        <v>2500</v>
      </c>
      <c r="AE133" s="300">
        <v>2500</v>
      </c>
      <c r="AF133" s="300">
        <v>2500</v>
      </c>
      <c r="AG133" s="300">
        <v>2500</v>
      </c>
      <c r="AH133" s="300">
        <v>2000</v>
      </c>
      <c r="AI133" s="300">
        <v>550</v>
      </c>
      <c r="AJ133" s="300">
        <v>750</v>
      </c>
      <c r="AK133" s="300">
        <v>1500</v>
      </c>
      <c r="AL133" s="300">
        <v>1500</v>
      </c>
      <c r="AM133" s="300">
        <v>2500</v>
      </c>
      <c r="AN133" s="300">
        <v>2500</v>
      </c>
      <c r="AO133" s="300">
        <v>2500</v>
      </c>
      <c r="AP133" s="300">
        <v>800</v>
      </c>
      <c r="AQ133" s="300">
        <v>850</v>
      </c>
      <c r="AR133" s="300">
        <v>2000</v>
      </c>
      <c r="AS133" s="300">
        <v>2000</v>
      </c>
      <c r="AT133" s="300">
        <v>2000</v>
      </c>
      <c r="AU133" s="300">
        <v>1500</v>
      </c>
      <c r="AV133" s="300">
        <v>1500</v>
      </c>
      <c r="AW133" s="300">
        <v>0</v>
      </c>
      <c r="AX133" s="300">
        <v>2500</v>
      </c>
      <c r="AY133" s="300">
        <v>1000</v>
      </c>
      <c r="AZ133" s="300">
        <v>1000</v>
      </c>
      <c r="BA133" s="300">
        <v>2400</v>
      </c>
      <c r="BB133" s="300">
        <v>2400</v>
      </c>
      <c r="BC133" s="302">
        <v>5000</v>
      </c>
      <c r="BD133" s="300">
        <v>705.65</v>
      </c>
      <c r="BE133" s="300">
        <v>707.43</v>
      </c>
      <c r="BF133" s="300">
        <v>822.08</v>
      </c>
      <c r="BG133" s="300">
        <v>1500</v>
      </c>
      <c r="BH133" s="300">
        <v>0</v>
      </c>
      <c r="BI133" s="300">
        <v>599.1</v>
      </c>
      <c r="BJ133" s="300">
        <v>1313</v>
      </c>
      <c r="BK133" s="300">
        <v>2300</v>
      </c>
      <c r="BL133" s="300">
        <v>2500</v>
      </c>
      <c r="BM133" s="300">
        <v>2500</v>
      </c>
      <c r="BN133" s="300">
        <v>2500</v>
      </c>
      <c r="BO133" s="300">
        <v>0</v>
      </c>
      <c r="BP133" s="300">
        <v>2050</v>
      </c>
      <c r="BQ133" s="300">
        <v>2050</v>
      </c>
      <c r="BR133" s="300">
        <v>3300</v>
      </c>
      <c r="BS133" s="302">
        <v>5000</v>
      </c>
      <c r="BT133" s="300">
        <v>2300</v>
      </c>
      <c r="BU133">
        <v>3600</v>
      </c>
      <c r="BV133" s="300">
        <v>950</v>
      </c>
      <c r="BW133" s="300">
        <v>1250</v>
      </c>
      <c r="BX133" s="300">
        <v>2100</v>
      </c>
      <c r="BY133" s="300">
        <v>600</v>
      </c>
      <c r="BZ133" s="300">
        <v>0</v>
      </c>
      <c r="CA133" s="300">
        <v>623.78</v>
      </c>
      <c r="CB133" s="300">
        <v>0</v>
      </c>
      <c r="CC133" s="300">
        <v>600</v>
      </c>
      <c r="CD133" s="300">
        <v>0</v>
      </c>
      <c r="CE133" s="300">
        <v>660</v>
      </c>
      <c r="CF133" s="300">
        <v>0</v>
      </c>
      <c r="CG133" s="300">
        <v>1802</v>
      </c>
      <c r="CH133" s="300">
        <v>2000</v>
      </c>
      <c r="CI133" s="300">
        <v>1800</v>
      </c>
      <c r="CJ133" s="300">
        <v>2000</v>
      </c>
      <c r="CK133" s="300">
        <v>3000</v>
      </c>
      <c r="CL133" s="300">
        <v>1800</v>
      </c>
      <c r="CM133" s="300">
        <v>3000</v>
      </c>
      <c r="CN133" s="300">
        <v>850</v>
      </c>
      <c r="CO133" s="300">
        <v>1650</v>
      </c>
      <c r="CP133" s="254">
        <v>20.5</v>
      </c>
      <c r="CQ133" s="254"/>
      <c r="CR133" s="254"/>
      <c r="CS133" s="254"/>
      <c r="CT133" s="254"/>
      <c r="CW133" s="277"/>
      <c r="CX133" s="277"/>
      <c r="CY133" s="277"/>
    </row>
    <row r="134" spans="1:103" x14ac:dyDescent="0.2">
      <c r="A134" s="254">
        <v>20.75</v>
      </c>
      <c r="B134" s="122">
        <f t="shared" si="12"/>
        <v>2.9191531076649788E-3</v>
      </c>
      <c r="C134" s="122">
        <f t="shared" si="13"/>
        <v>2.1602771130195377E-3</v>
      </c>
      <c r="D134" s="122">
        <f t="shared" si="14"/>
        <v>30.946428567881323</v>
      </c>
      <c r="E134" s="122">
        <f t="shared" si="15"/>
        <v>21.197195073010441</v>
      </c>
      <c r="F134" s="122">
        <f t="shared" si="21"/>
        <v>3.2404156695293067</v>
      </c>
      <c r="G134" s="299">
        <f>HLOOKUP('Input &amp; Summary'!$B$6,'AEP Input Output sheet'!$N$50:$CO$211,ROW(G134)-49,0)</f>
        <v>1500</v>
      </c>
      <c r="H134" s="122">
        <f t="shared" si="16"/>
        <v>1662.9519221382577</v>
      </c>
      <c r="I134" s="247">
        <f t="shared" si="17"/>
        <v>0.90201044301465383</v>
      </c>
      <c r="J134" s="254">
        <f t="shared" si="18"/>
        <v>10878.208194729108</v>
      </c>
      <c r="K134" s="122">
        <f t="shared" si="19"/>
        <v>5189.5746313821928</v>
      </c>
      <c r="L134" s="122">
        <f t="shared" si="22"/>
        <v>1662.9519221382577</v>
      </c>
      <c r="M134" s="122"/>
      <c r="N134" s="254">
        <f t="shared" si="20"/>
        <v>1500</v>
      </c>
      <c r="O134">
        <v>1500</v>
      </c>
      <c r="P134">
        <v>3500</v>
      </c>
      <c r="Q134">
        <v>5000</v>
      </c>
      <c r="R134">
        <v>1500</v>
      </c>
      <c r="S134">
        <v>3500</v>
      </c>
      <c r="T134">
        <v>5000</v>
      </c>
      <c r="U134">
        <v>1500</v>
      </c>
      <c r="V134">
        <v>3500</v>
      </c>
      <c r="W134">
        <v>5000</v>
      </c>
      <c r="X134" s="300">
        <v>1500</v>
      </c>
      <c r="Y134" s="300">
        <v>0</v>
      </c>
      <c r="Z134" s="300">
        <v>900</v>
      </c>
      <c r="AA134" s="300">
        <v>900</v>
      </c>
      <c r="AB134" s="302">
        <v>5000</v>
      </c>
      <c r="AC134" s="300">
        <v>1300</v>
      </c>
      <c r="AD134" s="300">
        <v>2500</v>
      </c>
      <c r="AE134" s="300">
        <v>2500</v>
      </c>
      <c r="AF134" s="300">
        <v>2500</v>
      </c>
      <c r="AG134" s="300">
        <v>2500</v>
      </c>
      <c r="AH134" s="300">
        <v>2000</v>
      </c>
      <c r="AI134" s="300">
        <v>550</v>
      </c>
      <c r="AJ134" s="300">
        <v>750</v>
      </c>
      <c r="AK134" s="300">
        <v>1500</v>
      </c>
      <c r="AL134" s="300">
        <v>1500</v>
      </c>
      <c r="AM134" s="300">
        <v>2500</v>
      </c>
      <c r="AN134" s="300">
        <v>2500</v>
      </c>
      <c r="AO134" s="300">
        <v>2500</v>
      </c>
      <c r="AP134" s="300">
        <v>800</v>
      </c>
      <c r="AQ134" s="300">
        <v>850</v>
      </c>
      <c r="AR134" s="300">
        <v>2000</v>
      </c>
      <c r="AS134" s="300">
        <v>2000</v>
      </c>
      <c r="AT134" s="300">
        <v>2000</v>
      </c>
      <c r="AU134" s="300">
        <v>1500</v>
      </c>
      <c r="AV134" s="300">
        <v>1500</v>
      </c>
      <c r="AW134" s="300">
        <v>0</v>
      </c>
      <c r="AX134" s="300">
        <v>2500</v>
      </c>
      <c r="AY134" s="300">
        <v>1000</v>
      </c>
      <c r="AZ134" s="300">
        <v>1000</v>
      </c>
      <c r="BA134" s="300">
        <v>2400</v>
      </c>
      <c r="BB134" s="300">
        <v>2400</v>
      </c>
      <c r="BC134" s="302">
        <v>5000</v>
      </c>
      <c r="BD134" s="300">
        <v>705.73</v>
      </c>
      <c r="BE134" s="300">
        <v>701.74</v>
      </c>
      <c r="BF134" s="300">
        <v>820.11</v>
      </c>
      <c r="BG134" s="300">
        <v>1500</v>
      </c>
      <c r="BH134" s="300">
        <v>0</v>
      </c>
      <c r="BI134" s="300">
        <v>599.1</v>
      </c>
      <c r="BJ134" s="300">
        <v>1312.5</v>
      </c>
      <c r="BK134" s="300">
        <v>2300</v>
      </c>
      <c r="BL134" s="300">
        <v>2500</v>
      </c>
      <c r="BM134" s="300">
        <v>2500</v>
      </c>
      <c r="BN134" s="300">
        <v>2500</v>
      </c>
      <c r="BO134" s="300">
        <v>0</v>
      </c>
      <c r="BP134" s="300">
        <v>2050</v>
      </c>
      <c r="BQ134" s="300">
        <v>2050</v>
      </c>
      <c r="BR134" s="300">
        <v>3300</v>
      </c>
      <c r="BS134" s="302">
        <v>5000</v>
      </c>
      <c r="BT134" s="300">
        <v>2300</v>
      </c>
      <c r="BU134">
        <v>3600</v>
      </c>
      <c r="BV134" s="300">
        <v>950</v>
      </c>
      <c r="BW134" s="300">
        <v>1250</v>
      </c>
      <c r="BX134" s="300">
        <v>2100</v>
      </c>
      <c r="BY134" s="300">
        <v>600</v>
      </c>
      <c r="BZ134" s="300">
        <v>0</v>
      </c>
      <c r="CA134" s="300">
        <v>623.78</v>
      </c>
      <c r="CB134" s="300">
        <v>0</v>
      </c>
      <c r="CC134" s="300">
        <v>600</v>
      </c>
      <c r="CD134" s="300">
        <v>0</v>
      </c>
      <c r="CE134" s="300">
        <v>660</v>
      </c>
      <c r="CF134" s="300">
        <v>0</v>
      </c>
      <c r="CG134" s="300">
        <v>1802</v>
      </c>
      <c r="CH134" s="300">
        <v>2000</v>
      </c>
      <c r="CI134" s="300">
        <v>1800</v>
      </c>
      <c r="CJ134" s="300">
        <v>2000</v>
      </c>
      <c r="CK134" s="300">
        <v>3000</v>
      </c>
      <c r="CL134" s="300">
        <v>1800</v>
      </c>
      <c r="CM134" s="300">
        <v>3000</v>
      </c>
      <c r="CN134" s="300">
        <v>850</v>
      </c>
      <c r="CO134" s="300">
        <v>1650</v>
      </c>
      <c r="CP134" s="254">
        <v>20.75</v>
      </c>
      <c r="CQ134" s="254"/>
      <c r="CR134" s="254"/>
      <c r="CS134" s="254"/>
      <c r="CT134" s="254"/>
      <c r="CW134" s="277"/>
      <c r="CX134" s="277"/>
      <c r="CY134" s="277"/>
    </row>
    <row r="135" spans="1:103" x14ac:dyDescent="0.2">
      <c r="A135" s="254">
        <v>21</v>
      </c>
      <c r="B135" s="122">
        <f t="shared" si="12"/>
        <v>2.6086825495656939E-3</v>
      </c>
      <c r="C135" s="122">
        <f t="shared" si="13"/>
        <v>1.8997554818993374E-3</v>
      </c>
      <c r="D135" s="122">
        <f t="shared" si="14"/>
        <v>28.209952737392207</v>
      </c>
      <c r="E135" s="122">
        <f t="shared" si="15"/>
        <v>19.322807149240173</v>
      </c>
      <c r="F135" s="122">
        <f t="shared" si="21"/>
        <v>2.8496332228490062</v>
      </c>
      <c r="G135" s="299">
        <f>HLOOKUP('Input &amp; Summary'!$B$6,'AEP Input Output sheet'!$N$50:$CO$211,ROW(G135)-49,0)</f>
        <v>1500</v>
      </c>
      <c r="H135" s="122">
        <f t="shared" si="16"/>
        <v>1662.9519221382577</v>
      </c>
      <c r="I135" s="247">
        <f t="shared" si="17"/>
        <v>0.90201044301465383</v>
      </c>
      <c r="J135" s="254">
        <f t="shared" si="18"/>
        <v>11276.152675469577</v>
      </c>
      <c r="K135" s="122">
        <f t="shared" si="19"/>
        <v>5281.9173225499171</v>
      </c>
      <c r="L135" s="122">
        <f t="shared" si="22"/>
        <v>1662.9519221382577</v>
      </c>
      <c r="M135" s="122"/>
      <c r="N135" s="254">
        <f t="shared" si="20"/>
        <v>1500</v>
      </c>
      <c r="O135">
        <v>1500</v>
      </c>
      <c r="P135">
        <v>3500</v>
      </c>
      <c r="Q135">
        <v>5000</v>
      </c>
      <c r="R135">
        <v>1500</v>
      </c>
      <c r="S135">
        <v>3500</v>
      </c>
      <c r="T135">
        <v>5000</v>
      </c>
      <c r="U135">
        <v>1500</v>
      </c>
      <c r="V135">
        <v>3500</v>
      </c>
      <c r="W135">
        <v>5000</v>
      </c>
      <c r="X135" s="300">
        <v>1500</v>
      </c>
      <c r="Y135" s="300">
        <v>0</v>
      </c>
      <c r="Z135" s="300">
        <v>900</v>
      </c>
      <c r="AA135" s="300">
        <v>900</v>
      </c>
      <c r="AB135" s="302">
        <v>5000</v>
      </c>
      <c r="AC135" s="300">
        <v>1300</v>
      </c>
      <c r="AD135" s="300">
        <v>2500</v>
      </c>
      <c r="AE135" s="300">
        <v>2500</v>
      </c>
      <c r="AF135" s="300">
        <v>2500</v>
      </c>
      <c r="AG135" s="300">
        <v>2500</v>
      </c>
      <c r="AH135" s="300">
        <v>2000</v>
      </c>
      <c r="AI135" s="300">
        <v>550</v>
      </c>
      <c r="AJ135" s="300">
        <v>750</v>
      </c>
      <c r="AK135" s="300">
        <v>1500</v>
      </c>
      <c r="AL135" s="300">
        <v>1500</v>
      </c>
      <c r="AM135" s="300">
        <v>2500</v>
      </c>
      <c r="AN135" s="300">
        <v>2500</v>
      </c>
      <c r="AO135" s="300">
        <v>2500</v>
      </c>
      <c r="AP135" s="300">
        <v>800</v>
      </c>
      <c r="AQ135" s="300">
        <v>850</v>
      </c>
      <c r="AR135" s="300">
        <v>2000</v>
      </c>
      <c r="AS135" s="300">
        <v>2000</v>
      </c>
      <c r="AT135" s="300">
        <v>2000</v>
      </c>
      <c r="AU135" s="300">
        <v>1500</v>
      </c>
      <c r="AV135" s="300">
        <v>1500</v>
      </c>
      <c r="AW135" s="300">
        <v>0</v>
      </c>
      <c r="AX135" s="300">
        <v>2500</v>
      </c>
      <c r="AY135" s="300">
        <v>1000</v>
      </c>
      <c r="AZ135" s="300">
        <v>1000</v>
      </c>
      <c r="BA135" s="300">
        <v>2400</v>
      </c>
      <c r="BB135" s="300">
        <v>2400</v>
      </c>
      <c r="BC135" s="302">
        <v>5000</v>
      </c>
      <c r="BD135" s="300">
        <v>705.81</v>
      </c>
      <c r="BE135" s="300">
        <v>698.93</v>
      </c>
      <c r="BF135" s="300">
        <v>812.12</v>
      </c>
      <c r="BG135" s="300">
        <v>1500</v>
      </c>
      <c r="BH135" s="300">
        <v>0</v>
      </c>
      <c r="BI135" s="300">
        <v>599.1</v>
      </c>
      <c r="BJ135" s="300">
        <v>1312</v>
      </c>
      <c r="BK135" s="300">
        <v>2300</v>
      </c>
      <c r="BL135" s="300">
        <v>2500</v>
      </c>
      <c r="BM135" s="300">
        <v>2500</v>
      </c>
      <c r="BN135" s="300">
        <v>2500</v>
      </c>
      <c r="BO135" s="300">
        <v>0</v>
      </c>
      <c r="BP135" s="300">
        <v>2050</v>
      </c>
      <c r="BQ135" s="300">
        <v>2050</v>
      </c>
      <c r="BR135" s="300">
        <v>3300</v>
      </c>
      <c r="BS135" s="302">
        <v>5000</v>
      </c>
      <c r="BT135" s="300">
        <v>2300</v>
      </c>
      <c r="BU135">
        <v>3600</v>
      </c>
      <c r="BV135" s="300">
        <v>950</v>
      </c>
      <c r="BW135" s="300">
        <v>1250</v>
      </c>
      <c r="BX135" s="300">
        <v>2100</v>
      </c>
      <c r="BY135" s="300">
        <v>600</v>
      </c>
      <c r="BZ135" s="300">
        <v>0</v>
      </c>
      <c r="CA135" s="300">
        <v>627.44000000000005</v>
      </c>
      <c r="CB135" s="300">
        <v>0</v>
      </c>
      <c r="CC135" s="300">
        <v>600</v>
      </c>
      <c r="CD135" s="300">
        <v>0</v>
      </c>
      <c r="CE135" s="300">
        <v>660</v>
      </c>
      <c r="CF135" s="300">
        <v>0</v>
      </c>
      <c r="CG135" s="300">
        <v>1802</v>
      </c>
      <c r="CH135" s="300">
        <v>2000</v>
      </c>
      <c r="CI135" s="300">
        <v>1800</v>
      </c>
      <c r="CJ135" s="300">
        <v>2000</v>
      </c>
      <c r="CK135" s="300">
        <v>3000</v>
      </c>
      <c r="CL135" s="300">
        <v>1800</v>
      </c>
      <c r="CM135" s="300">
        <v>3000</v>
      </c>
      <c r="CN135" s="300">
        <v>850</v>
      </c>
      <c r="CO135" s="300">
        <v>1650</v>
      </c>
      <c r="CP135" s="254">
        <v>21</v>
      </c>
      <c r="CQ135" s="254"/>
      <c r="CR135" s="254"/>
      <c r="CS135" s="254"/>
      <c r="CT135" s="254"/>
      <c r="CW135" s="277"/>
      <c r="CX135" s="277"/>
      <c r="CY135" s="277"/>
    </row>
    <row r="136" spans="1:103" x14ac:dyDescent="0.2">
      <c r="A136" s="254">
        <v>21.25</v>
      </c>
      <c r="B136" s="122">
        <f t="shared" si="12"/>
        <v>2.3274314057982752E-3</v>
      </c>
      <c r="C136" s="122">
        <f t="shared" si="13"/>
        <v>1.6672746259967567E-3</v>
      </c>
      <c r="D136" s="122">
        <f t="shared" si="14"/>
        <v>25.652559988711715</v>
      </c>
      <c r="E136" s="122">
        <f t="shared" si="15"/>
        <v>17.571084721782235</v>
      </c>
      <c r="F136" s="122">
        <f t="shared" si="21"/>
        <v>2.5009119389951349</v>
      </c>
      <c r="G136" s="299">
        <f>HLOOKUP('Input &amp; Summary'!$B$6,'AEP Input Output sheet'!$N$50:$CO$211,ROW(G136)-49,0)</f>
        <v>1500</v>
      </c>
      <c r="H136" s="122">
        <f t="shared" si="16"/>
        <v>1662.9519221382577</v>
      </c>
      <c r="I136" s="247">
        <f t="shared" si="17"/>
        <v>0.90201044301465383</v>
      </c>
      <c r="J136" s="254">
        <f t="shared" si="18"/>
        <v>11683.685721410269</v>
      </c>
      <c r="K136" s="122">
        <f t="shared" si="19"/>
        <v>5374.2600137176414</v>
      </c>
      <c r="L136" s="122">
        <f t="shared" si="22"/>
        <v>1662.9519221382577</v>
      </c>
      <c r="M136" s="122"/>
      <c r="N136" s="254">
        <f t="shared" si="20"/>
        <v>1500</v>
      </c>
      <c r="O136">
        <v>1500</v>
      </c>
      <c r="P136">
        <v>3500</v>
      </c>
      <c r="Q136">
        <v>5000</v>
      </c>
      <c r="R136">
        <v>1500</v>
      </c>
      <c r="S136">
        <v>3500</v>
      </c>
      <c r="T136">
        <v>5000</v>
      </c>
      <c r="U136">
        <v>1500</v>
      </c>
      <c r="V136">
        <v>3500</v>
      </c>
      <c r="W136">
        <v>5000</v>
      </c>
      <c r="X136" s="300">
        <v>1500</v>
      </c>
      <c r="Y136" s="300">
        <v>0</v>
      </c>
      <c r="Z136" s="300">
        <v>900</v>
      </c>
      <c r="AA136" s="300">
        <v>900</v>
      </c>
      <c r="AB136" s="302">
        <v>5000</v>
      </c>
      <c r="AC136" s="300">
        <v>1300</v>
      </c>
      <c r="AD136" s="300">
        <v>2500</v>
      </c>
      <c r="AE136" s="300">
        <v>2500</v>
      </c>
      <c r="AF136" s="300">
        <v>2500</v>
      </c>
      <c r="AG136" s="300">
        <v>2500</v>
      </c>
      <c r="AH136" s="300">
        <v>2000</v>
      </c>
      <c r="AI136" s="300">
        <v>550</v>
      </c>
      <c r="AJ136" s="300">
        <v>750</v>
      </c>
      <c r="AK136" s="300">
        <v>1500</v>
      </c>
      <c r="AL136" s="300">
        <v>1500</v>
      </c>
      <c r="AM136" s="300">
        <v>2500</v>
      </c>
      <c r="AN136" s="300">
        <v>2500</v>
      </c>
      <c r="AO136" s="300">
        <v>2500</v>
      </c>
      <c r="AP136" s="300">
        <v>800</v>
      </c>
      <c r="AQ136" s="300">
        <v>850</v>
      </c>
      <c r="AR136" s="300">
        <v>2000</v>
      </c>
      <c r="AS136" s="300">
        <v>2000</v>
      </c>
      <c r="AT136" s="300">
        <v>0</v>
      </c>
      <c r="AU136" s="300">
        <v>1500</v>
      </c>
      <c r="AV136" s="300">
        <v>1500</v>
      </c>
      <c r="AW136" s="300">
        <v>0</v>
      </c>
      <c r="AX136" s="300">
        <v>2500</v>
      </c>
      <c r="AY136" s="300">
        <v>1000</v>
      </c>
      <c r="AZ136" s="300">
        <v>1000</v>
      </c>
      <c r="BA136" s="300">
        <v>2400</v>
      </c>
      <c r="BB136" s="300">
        <v>2400</v>
      </c>
      <c r="BC136" s="302">
        <v>5000</v>
      </c>
      <c r="BD136" s="300">
        <v>705.91</v>
      </c>
      <c r="BE136" s="300">
        <v>698.99</v>
      </c>
      <c r="BF136" s="300">
        <v>810.16</v>
      </c>
      <c r="BG136" s="300">
        <v>1500</v>
      </c>
      <c r="BH136" s="300">
        <v>0</v>
      </c>
      <c r="BI136" s="300">
        <v>599.1</v>
      </c>
      <c r="BJ136" s="300">
        <v>1310.75</v>
      </c>
      <c r="BK136" s="300">
        <v>2300</v>
      </c>
      <c r="BL136" s="300">
        <v>2500</v>
      </c>
      <c r="BM136" s="300">
        <v>2500</v>
      </c>
      <c r="BN136" s="300">
        <v>2500</v>
      </c>
      <c r="BO136" s="300">
        <v>0</v>
      </c>
      <c r="BP136" s="300">
        <v>2050</v>
      </c>
      <c r="BQ136" s="300">
        <v>2050</v>
      </c>
      <c r="BR136" s="300">
        <v>3300</v>
      </c>
      <c r="BS136" s="302">
        <v>5000</v>
      </c>
      <c r="BT136" s="300">
        <v>2300</v>
      </c>
      <c r="BU136">
        <v>3600</v>
      </c>
      <c r="BV136" s="300">
        <v>950</v>
      </c>
      <c r="BW136" s="300">
        <v>1250</v>
      </c>
      <c r="BX136" s="300">
        <v>2100</v>
      </c>
      <c r="BY136" s="300">
        <v>600</v>
      </c>
      <c r="BZ136" s="300">
        <v>0</v>
      </c>
      <c r="CA136" s="300">
        <v>627.44000000000005</v>
      </c>
      <c r="CB136" s="300">
        <v>0</v>
      </c>
      <c r="CC136" s="300">
        <v>600</v>
      </c>
      <c r="CD136" s="300">
        <v>0</v>
      </c>
      <c r="CE136" s="300">
        <v>660</v>
      </c>
      <c r="CF136" s="300">
        <v>0</v>
      </c>
      <c r="CG136" s="300">
        <v>1802</v>
      </c>
      <c r="CH136" s="300">
        <v>2000</v>
      </c>
      <c r="CI136" s="300">
        <v>1800</v>
      </c>
      <c r="CJ136" s="300">
        <v>2000</v>
      </c>
      <c r="CK136" s="300">
        <v>3000</v>
      </c>
      <c r="CL136" s="300">
        <v>1800</v>
      </c>
      <c r="CM136" s="300">
        <v>3000</v>
      </c>
      <c r="CN136" s="300">
        <v>850</v>
      </c>
      <c r="CO136" s="300">
        <v>1650</v>
      </c>
      <c r="CP136" s="254">
        <v>21.25</v>
      </c>
      <c r="CQ136" s="254"/>
      <c r="CR136" s="254"/>
      <c r="CS136" s="254"/>
      <c r="CT136" s="254"/>
      <c r="CW136" s="277"/>
      <c r="CX136" s="277"/>
      <c r="CY136" s="277"/>
    </row>
    <row r="137" spans="1:103" x14ac:dyDescent="0.2">
      <c r="A137" s="254">
        <v>21.5</v>
      </c>
      <c r="B137" s="122">
        <f t="shared" si="12"/>
        <v>2.0731240301339738E-3</v>
      </c>
      <c r="C137" s="122">
        <f t="shared" si="13"/>
        <v>1.4602875787980486E-3</v>
      </c>
      <c r="D137" s="122">
        <f t="shared" si="14"/>
        <v>23.270222659917703</v>
      </c>
      <c r="E137" s="122">
        <f t="shared" si="15"/>
        <v>15.939268986490147</v>
      </c>
      <c r="F137" s="122">
        <f t="shared" si="21"/>
        <v>2.1904313681970726</v>
      </c>
      <c r="G137" s="299">
        <f>HLOOKUP('Input &amp; Summary'!$B$6,'AEP Input Output sheet'!$N$50:$CO$211,ROW(G137)-49,0)</f>
        <v>1500</v>
      </c>
      <c r="H137" s="122">
        <f t="shared" si="16"/>
        <v>1662.9519221382577</v>
      </c>
      <c r="I137" s="247">
        <f t="shared" si="17"/>
        <v>0.90201044301465383</v>
      </c>
      <c r="J137" s="254">
        <f t="shared" si="18"/>
        <v>12100.921482136911</v>
      </c>
      <c r="K137" s="122">
        <f t="shared" si="19"/>
        <v>5466.6027048853657</v>
      </c>
      <c r="L137" s="122">
        <f t="shared" si="22"/>
        <v>1662.9519221382577</v>
      </c>
      <c r="M137" s="122"/>
      <c r="N137" s="254">
        <f t="shared" si="20"/>
        <v>1500</v>
      </c>
      <c r="O137">
        <v>1500</v>
      </c>
      <c r="P137">
        <v>3500</v>
      </c>
      <c r="Q137">
        <v>5000</v>
      </c>
      <c r="R137">
        <v>1500</v>
      </c>
      <c r="S137">
        <v>3500</v>
      </c>
      <c r="T137">
        <v>5000</v>
      </c>
      <c r="U137">
        <v>1500</v>
      </c>
      <c r="V137">
        <v>3500</v>
      </c>
      <c r="W137">
        <v>5000</v>
      </c>
      <c r="X137" s="300">
        <v>1500</v>
      </c>
      <c r="Y137" s="300">
        <v>0</v>
      </c>
      <c r="Z137" s="300">
        <v>900</v>
      </c>
      <c r="AA137" s="300">
        <v>900</v>
      </c>
      <c r="AB137" s="302">
        <v>5000</v>
      </c>
      <c r="AC137" s="300">
        <v>1300</v>
      </c>
      <c r="AD137" s="300">
        <v>2500</v>
      </c>
      <c r="AE137" s="300">
        <v>2500</v>
      </c>
      <c r="AF137" s="300">
        <v>2500</v>
      </c>
      <c r="AG137" s="300">
        <v>2500</v>
      </c>
      <c r="AH137" s="300">
        <v>2000</v>
      </c>
      <c r="AI137" s="300">
        <v>550</v>
      </c>
      <c r="AJ137" s="300">
        <v>750</v>
      </c>
      <c r="AK137" s="300">
        <v>1500</v>
      </c>
      <c r="AL137" s="300">
        <v>1500</v>
      </c>
      <c r="AM137" s="300">
        <v>2500</v>
      </c>
      <c r="AN137" s="300">
        <v>2500</v>
      </c>
      <c r="AO137" s="300">
        <v>2500</v>
      </c>
      <c r="AP137" s="300">
        <v>800</v>
      </c>
      <c r="AQ137" s="300">
        <v>850</v>
      </c>
      <c r="AR137" s="300">
        <v>2000</v>
      </c>
      <c r="AS137" s="300">
        <v>2000</v>
      </c>
      <c r="AT137" s="300">
        <v>0</v>
      </c>
      <c r="AU137" s="300">
        <v>1500</v>
      </c>
      <c r="AV137" s="300">
        <v>1500</v>
      </c>
      <c r="AW137" s="300">
        <v>0</v>
      </c>
      <c r="AX137" s="300">
        <v>2500</v>
      </c>
      <c r="AY137" s="300">
        <v>1000</v>
      </c>
      <c r="AZ137" s="300">
        <v>1000</v>
      </c>
      <c r="BA137" s="300">
        <v>2400</v>
      </c>
      <c r="BB137" s="300">
        <v>2400</v>
      </c>
      <c r="BC137" s="302">
        <v>5000</v>
      </c>
      <c r="BD137" s="300">
        <v>706</v>
      </c>
      <c r="BE137" s="300">
        <v>696.17</v>
      </c>
      <c r="BF137" s="300">
        <v>806.18</v>
      </c>
      <c r="BG137" s="300">
        <v>1500</v>
      </c>
      <c r="BH137" s="300">
        <v>0</v>
      </c>
      <c r="BI137" s="300">
        <v>599.1</v>
      </c>
      <c r="BJ137" s="300">
        <v>1309.5</v>
      </c>
      <c r="BK137" s="300">
        <v>2300</v>
      </c>
      <c r="BL137" s="300">
        <v>2500</v>
      </c>
      <c r="BM137" s="300">
        <v>2500</v>
      </c>
      <c r="BN137" s="300">
        <v>2500</v>
      </c>
      <c r="BO137" s="300">
        <v>0</v>
      </c>
      <c r="BP137" s="300">
        <v>2050</v>
      </c>
      <c r="BQ137" s="300">
        <v>2050</v>
      </c>
      <c r="BR137" s="300">
        <v>3300</v>
      </c>
      <c r="BS137" s="302">
        <v>5000</v>
      </c>
      <c r="BT137" s="300">
        <v>2300</v>
      </c>
      <c r="BU137">
        <v>3600</v>
      </c>
      <c r="BV137" s="300">
        <v>950</v>
      </c>
      <c r="BW137" s="300">
        <v>1250</v>
      </c>
      <c r="BX137" s="300">
        <v>2100</v>
      </c>
      <c r="BY137" s="300">
        <v>600</v>
      </c>
      <c r="BZ137" s="300">
        <v>0</v>
      </c>
      <c r="CA137" s="300">
        <v>627.44000000000005</v>
      </c>
      <c r="CB137" s="300">
        <v>0</v>
      </c>
      <c r="CC137" s="300">
        <v>600</v>
      </c>
      <c r="CD137" s="300">
        <v>0</v>
      </c>
      <c r="CE137" s="300">
        <v>660</v>
      </c>
      <c r="CF137" s="300">
        <v>0</v>
      </c>
      <c r="CG137" s="300">
        <v>1802</v>
      </c>
      <c r="CH137" s="300">
        <v>2000</v>
      </c>
      <c r="CI137" s="300">
        <v>1800</v>
      </c>
      <c r="CJ137" s="300">
        <v>2000</v>
      </c>
      <c r="CK137" s="300">
        <v>3000</v>
      </c>
      <c r="CL137" s="300">
        <v>1800</v>
      </c>
      <c r="CM137" s="300">
        <v>3000</v>
      </c>
      <c r="CN137" s="300">
        <v>850</v>
      </c>
      <c r="CO137" s="300">
        <v>1650</v>
      </c>
      <c r="CP137" s="254">
        <v>21.5</v>
      </c>
      <c r="CQ137" s="254"/>
      <c r="CR137" s="254"/>
      <c r="CS137" s="254"/>
      <c r="CT137" s="254"/>
      <c r="CW137" s="277"/>
      <c r="CX137" s="277"/>
      <c r="CY137" s="277"/>
    </row>
    <row r="138" spans="1:103" x14ac:dyDescent="0.2">
      <c r="A138" s="254">
        <v>21.75</v>
      </c>
      <c r="B138" s="122">
        <f t="shared" si="12"/>
        <v>1.8436047109921562E-3</v>
      </c>
      <c r="C138" s="122">
        <f t="shared" si="13"/>
        <v>1.2764154021273403E-3</v>
      </c>
      <c r="D138" s="122">
        <f t="shared" si="14"/>
        <v>21.057974133896362</v>
      </c>
      <c r="E138" s="122">
        <f t="shared" si="15"/>
        <v>14.423957988544363</v>
      </c>
      <c r="F138" s="122">
        <f t="shared" si="21"/>
        <v>1.9146231031910104</v>
      </c>
      <c r="G138" s="299">
        <f>HLOOKUP('Input &amp; Summary'!$B$6,'AEP Input Output sheet'!$N$50:$CO$211,ROW(G138)-49,0)</f>
        <v>1500</v>
      </c>
      <c r="H138" s="122">
        <f t="shared" si="16"/>
        <v>1662.9519221382577</v>
      </c>
      <c r="I138" s="247">
        <f t="shared" si="17"/>
        <v>0.90201044301465383</v>
      </c>
      <c r="J138" s="254">
        <f t="shared" si="18"/>
        <v>12527.974107235214</v>
      </c>
      <c r="K138" s="122">
        <f t="shared" si="19"/>
        <v>5558.94539605309</v>
      </c>
      <c r="L138" s="122">
        <f t="shared" si="22"/>
        <v>1662.9519221382577</v>
      </c>
      <c r="M138" s="122"/>
      <c r="N138" s="254">
        <f t="shared" si="20"/>
        <v>1500</v>
      </c>
      <c r="O138">
        <v>1500</v>
      </c>
      <c r="P138">
        <v>3500</v>
      </c>
      <c r="Q138">
        <v>5000</v>
      </c>
      <c r="R138">
        <v>1500</v>
      </c>
      <c r="S138">
        <v>3500</v>
      </c>
      <c r="T138">
        <v>5000</v>
      </c>
      <c r="U138">
        <v>1500</v>
      </c>
      <c r="V138">
        <v>3500</v>
      </c>
      <c r="W138">
        <v>5000</v>
      </c>
      <c r="X138" s="300">
        <v>1500</v>
      </c>
      <c r="Y138" s="300">
        <v>0</v>
      </c>
      <c r="Z138" s="300">
        <v>900</v>
      </c>
      <c r="AA138" s="300">
        <v>900</v>
      </c>
      <c r="AB138" s="302">
        <v>5000</v>
      </c>
      <c r="AC138" s="300">
        <v>1300</v>
      </c>
      <c r="AD138" s="300">
        <v>2500</v>
      </c>
      <c r="AE138" s="300">
        <v>2500</v>
      </c>
      <c r="AF138" s="300">
        <v>2500</v>
      </c>
      <c r="AG138" s="300">
        <v>2500</v>
      </c>
      <c r="AH138" s="300">
        <v>2000</v>
      </c>
      <c r="AI138" s="300">
        <v>550</v>
      </c>
      <c r="AJ138" s="300">
        <v>750</v>
      </c>
      <c r="AK138" s="300">
        <v>1500</v>
      </c>
      <c r="AL138" s="300">
        <v>1500</v>
      </c>
      <c r="AM138" s="300">
        <v>2500</v>
      </c>
      <c r="AN138" s="300">
        <v>2500</v>
      </c>
      <c r="AO138" s="300">
        <v>2500</v>
      </c>
      <c r="AP138" s="300">
        <v>800</v>
      </c>
      <c r="AQ138" s="300">
        <v>850</v>
      </c>
      <c r="AR138" s="300">
        <v>2000</v>
      </c>
      <c r="AS138" s="300">
        <v>2000</v>
      </c>
      <c r="AT138" s="300">
        <v>0</v>
      </c>
      <c r="AU138" s="300">
        <v>1500</v>
      </c>
      <c r="AV138" s="300">
        <v>1500</v>
      </c>
      <c r="AW138" s="300">
        <v>0</v>
      </c>
      <c r="AX138" s="300">
        <v>2500</v>
      </c>
      <c r="AY138" s="300">
        <v>1000</v>
      </c>
      <c r="AZ138" s="300">
        <v>1000</v>
      </c>
      <c r="BA138" s="300">
        <v>2400</v>
      </c>
      <c r="BB138" s="300">
        <v>2400</v>
      </c>
      <c r="BC138" s="302">
        <v>5000</v>
      </c>
      <c r="BD138" s="300">
        <v>706.09</v>
      </c>
      <c r="BE138" s="300">
        <v>696.23</v>
      </c>
      <c r="BF138" s="300">
        <v>802.21</v>
      </c>
      <c r="BG138" s="300">
        <v>1500</v>
      </c>
      <c r="BH138" s="300">
        <v>0</v>
      </c>
      <c r="BI138" s="300">
        <v>599.1</v>
      </c>
      <c r="BJ138" s="300">
        <v>1308.25</v>
      </c>
      <c r="BK138" s="300">
        <v>2300</v>
      </c>
      <c r="BL138" s="300">
        <v>2500</v>
      </c>
      <c r="BM138" s="300">
        <v>2500</v>
      </c>
      <c r="BN138" s="300">
        <v>2500</v>
      </c>
      <c r="BO138" s="300">
        <v>0</v>
      </c>
      <c r="BP138" s="300">
        <v>2050</v>
      </c>
      <c r="BQ138" s="300">
        <v>2050</v>
      </c>
      <c r="BR138" s="300">
        <v>3300</v>
      </c>
      <c r="BS138" s="302">
        <v>5000</v>
      </c>
      <c r="BT138" s="300">
        <v>2300</v>
      </c>
      <c r="BU138">
        <v>3600</v>
      </c>
      <c r="BV138" s="300">
        <v>950</v>
      </c>
      <c r="BW138" s="300">
        <v>1250</v>
      </c>
      <c r="BX138" s="300">
        <v>2100</v>
      </c>
      <c r="BY138" s="300">
        <v>600</v>
      </c>
      <c r="BZ138" s="300">
        <v>0</v>
      </c>
      <c r="CA138" s="300">
        <v>627.44000000000005</v>
      </c>
      <c r="CB138" s="300">
        <v>0</v>
      </c>
      <c r="CC138" s="300">
        <v>600</v>
      </c>
      <c r="CD138" s="300">
        <v>0</v>
      </c>
      <c r="CE138" s="300">
        <v>660</v>
      </c>
      <c r="CF138" s="300">
        <v>0</v>
      </c>
      <c r="CG138" s="300">
        <v>1802</v>
      </c>
      <c r="CH138" s="300">
        <v>2000</v>
      </c>
      <c r="CI138" s="300">
        <v>1800</v>
      </c>
      <c r="CJ138" s="300">
        <v>2000</v>
      </c>
      <c r="CK138" s="300">
        <v>3000</v>
      </c>
      <c r="CL138" s="300">
        <v>1800</v>
      </c>
      <c r="CM138" s="300">
        <v>3000</v>
      </c>
      <c r="CN138" s="300">
        <v>850</v>
      </c>
      <c r="CO138" s="300">
        <v>1650</v>
      </c>
      <c r="CP138" s="254">
        <v>21.75</v>
      </c>
      <c r="CQ138" s="254"/>
      <c r="CR138" s="254"/>
      <c r="CS138" s="254"/>
      <c r="CT138" s="254"/>
      <c r="CW138" s="277"/>
      <c r="CX138" s="277"/>
      <c r="CY138" s="277"/>
    </row>
    <row r="139" spans="1:103" x14ac:dyDescent="0.2">
      <c r="A139" s="254">
        <v>22</v>
      </c>
      <c r="B139" s="122">
        <f t="shared" si="12"/>
        <v>1.6368383932112126E-3</v>
      </c>
      <c r="C139" s="122">
        <f t="shared" si="13"/>
        <v>1.1134445955987725E-3</v>
      </c>
      <c r="D139" s="122">
        <f t="shared" si="14"/>
        <v>19.010057132212737</v>
      </c>
      <c r="E139" s="122">
        <f t="shared" si="15"/>
        <v>13.021208198441704</v>
      </c>
      <c r="F139" s="122">
        <f t="shared" si="21"/>
        <v>1.6701668933981586</v>
      </c>
      <c r="G139" s="299">
        <f>HLOOKUP('Input &amp; Summary'!$B$6,'AEP Input Output sheet'!$N$50:$CO$211,ROW(G139)-49,0)</f>
        <v>1500</v>
      </c>
      <c r="H139" s="122">
        <f t="shared" si="16"/>
        <v>1662.9519221382577</v>
      </c>
      <c r="I139" s="247">
        <f t="shared" si="17"/>
        <v>0.90201044301465383</v>
      </c>
      <c r="J139" s="254">
        <f t="shared" si="18"/>
        <v>12964.957746290902</v>
      </c>
      <c r="K139" s="122">
        <f t="shared" si="19"/>
        <v>5651.2880872208152</v>
      </c>
      <c r="L139" s="122">
        <f t="shared" si="22"/>
        <v>1662.9519221382577</v>
      </c>
      <c r="M139" s="122"/>
      <c r="N139" s="254">
        <f t="shared" si="20"/>
        <v>1500</v>
      </c>
      <c r="O139">
        <v>1500</v>
      </c>
      <c r="P139">
        <v>3500</v>
      </c>
      <c r="Q139">
        <v>5000</v>
      </c>
      <c r="R139">
        <v>1500</v>
      </c>
      <c r="S139">
        <v>3500</v>
      </c>
      <c r="T139">
        <v>5000</v>
      </c>
      <c r="U139">
        <v>1500</v>
      </c>
      <c r="V139">
        <v>3500</v>
      </c>
      <c r="W139">
        <v>5000</v>
      </c>
      <c r="X139" s="300">
        <v>1500</v>
      </c>
      <c r="Y139" s="300">
        <v>0</v>
      </c>
      <c r="Z139" s="300">
        <v>900</v>
      </c>
      <c r="AA139" s="300">
        <v>900</v>
      </c>
      <c r="AB139" s="302">
        <v>5000</v>
      </c>
      <c r="AC139" s="300">
        <v>1300</v>
      </c>
      <c r="AD139" s="300">
        <v>2500</v>
      </c>
      <c r="AE139" s="300">
        <v>2500</v>
      </c>
      <c r="AF139" s="300">
        <v>2500</v>
      </c>
      <c r="AG139" s="300">
        <v>2500</v>
      </c>
      <c r="AH139" s="300">
        <v>2000</v>
      </c>
      <c r="AI139" s="300">
        <v>550</v>
      </c>
      <c r="AJ139" s="300">
        <v>750</v>
      </c>
      <c r="AK139" s="300">
        <v>1500</v>
      </c>
      <c r="AL139" s="300">
        <v>1500</v>
      </c>
      <c r="AM139" s="300">
        <v>2500</v>
      </c>
      <c r="AN139" s="300">
        <v>2500</v>
      </c>
      <c r="AO139" s="300">
        <v>2500</v>
      </c>
      <c r="AP139" s="300">
        <v>800</v>
      </c>
      <c r="AQ139" s="300">
        <v>850</v>
      </c>
      <c r="AR139" s="300">
        <v>2000</v>
      </c>
      <c r="AS139" s="300">
        <v>2000</v>
      </c>
      <c r="AT139" s="300">
        <v>0</v>
      </c>
      <c r="AU139" s="300">
        <v>1500</v>
      </c>
      <c r="AV139" s="300">
        <v>1500</v>
      </c>
      <c r="AW139" s="300">
        <v>0</v>
      </c>
      <c r="AX139" s="300">
        <v>2500</v>
      </c>
      <c r="AY139" s="300">
        <v>1000</v>
      </c>
      <c r="AZ139" s="300">
        <v>1000</v>
      </c>
      <c r="BA139" s="300">
        <v>2400</v>
      </c>
      <c r="BB139" s="300">
        <v>2400</v>
      </c>
      <c r="BC139" s="302">
        <v>5000</v>
      </c>
      <c r="BD139" s="300">
        <v>706.18</v>
      </c>
      <c r="BE139" s="300">
        <v>693.42</v>
      </c>
      <c r="BF139" s="300">
        <v>800.24</v>
      </c>
      <c r="BG139" s="300">
        <v>1500</v>
      </c>
      <c r="BH139" s="300">
        <v>0</v>
      </c>
      <c r="BI139" s="300">
        <v>599.1</v>
      </c>
      <c r="BJ139" s="300">
        <v>1307</v>
      </c>
      <c r="BK139" s="300">
        <v>2300</v>
      </c>
      <c r="BL139" s="300">
        <v>2500</v>
      </c>
      <c r="BM139" s="300">
        <v>2500</v>
      </c>
      <c r="BN139" s="300">
        <v>2500</v>
      </c>
      <c r="BO139" s="300">
        <v>0</v>
      </c>
      <c r="BP139" s="300">
        <v>2050</v>
      </c>
      <c r="BQ139" s="300">
        <v>2050</v>
      </c>
      <c r="BR139" s="300">
        <v>3300</v>
      </c>
      <c r="BS139" s="302">
        <v>5000</v>
      </c>
      <c r="BT139" s="300">
        <v>2300</v>
      </c>
      <c r="BU139">
        <v>3600</v>
      </c>
      <c r="BV139" s="300">
        <v>950</v>
      </c>
      <c r="BW139" s="300">
        <v>1250</v>
      </c>
      <c r="BX139" s="300">
        <v>2100</v>
      </c>
      <c r="BY139" s="300">
        <v>600</v>
      </c>
      <c r="BZ139" s="300">
        <v>0</v>
      </c>
      <c r="CA139" s="300">
        <v>627.44000000000005</v>
      </c>
      <c r="CB139" s="300">
        <v>0</v>
      </c>
      <c r="CC139" s="300">
        <v>600</v>
      </c>
      <c r="CD139" s="300">
        <v>0</v>
      </c>
      <c r="CE139" s="300">
        <v>660</v>
      </c>
      <c r="CF139" s="300">
        <v>0</v>
      </c>
      <c r="CG139" s="300">
        <v>1802</v>
      </c>
      <c r="CH139" s="300">
        <v>2000</v>
      </c>
      <c r="CI139" s="300">
        <v>1800</v>
      </c>
      <c r="CJ139" s="300">
        <v>2000</v>
      </c>
      <c r="CK139" s="300">
        <v>3000</v>
      </c>
      <c r="CL139" s="300">
        <v>1800</v>
      </c>
      <c r="CM139" s="300">
        <v>3000</v>
      </c>
      <c r="CN139" s="300">
        <v>850</v>
      </c>
      <c r="CO139" s="300">
        <v>1650</v>
      </c>
      <c r="CP139" s="254">
        <v>22</v>
      </c>
      <c r="CQ139" s="254"/>
      <c r="CR139" s="254"/>
      <c r="CS139" s="254"/>
      <c r="CT139" s="254"/>
      <c r="CW139" s="277"/>
      <c r="CX139" s="277"/>
      <c r="CY139" s="277"/>
    </row>
    <row r="140" spans="1:103" x14ac:dyDescent="0.2">
      <c r="A140" s="254">
        <v>22.25</v>
      </c>
      <c r="B140" s="122">
        <f t="shared" si="12"/>
        <v>1.450910302034292E-3</v>
      </c>
      <c r="C140" s="122">
        <f t="shared" si="13"/>
        <v>9.6932321390884844E-4</v>
      </c>
      <c r="D140" s="122">
        <f t="shared" si="14"/>
        <v>17.120065720456946</v>
      </c>
      <c r="E140" s="122">
        <f t="shared" si="15"/>
        <v>11.726631780570919</v>
      </c>
      <c r="F140" s="122">
        <f t="shared" si="21"/>
        <v>1.4539848208632726</v>
      </c>
      <c r="G140" s="299">
        <f>HLOOKUP('Input &amp; Summary'!$B$6,'AEP Input Output sheet'!$N$50:$CO$211,ROW(G140)-49,0)</f>
        <v>1500</v>
      </c>
      <c r="H140" s="122">
        <f t="shared" si="16"/>
        <v>1662.9519221382577</v>
      </c>
      <c r="I140" s="247">
        <f t="shared" si="17"/>
        <v>0.90201044301465383</v>
      </c>
      <c r="J140" s="254">
        <f t="shared" si="18"/>
        <v>13411.986548889687</v>
      </c>
      <c r="K140" s="122">
        <f t="shared" si="19"/>
        <v>5743.6307783885395</v>
      </c>
      <c r="L140" s="122">
        <f t="shared" si="22"/>
        <v>1662.9519221382577</v>
      </c>
      <c r="M140" s="122"/>
      <c r="N140" s="254">
        <f t="shared" si="20"/>
        <v>1500</v>
      </c>
      <c r="O140">
        <v>1500</v>
      </c>
      <c r="P140">
        <v>3500</v>
      </c>
      <c r="Q140">
        <v>5000</v>
      </c>
      <c r="R140">
        <v>1500</v>
      </c>
      <c r="S140">
        <v>3500</v>
      </c>
      <c r="T140">
        <v>5000</v>
      </c>
      <c r="U140">
        <v>0</v>
      </c>
      <c r="V140">
        <v>0</v>
      </c>
      <c r="W140">
        <v>0</v>
      </c>
      <c r="X140" s="300">
        <v>1500</v>
      </c>
      <c r="Y140" s="300">
        <v>0</v>
      </c>
      <c r="Z140" s="300">
        <v>900</v>
      </c>
      <c r="AA140" s="300">
        <v>900</v>
      </c>
      <c r="AB140" s="302">
        <v>5000</v>
      </c>
      <c r="AC140" s="300">
        <v>1300</v>
      </c>
      <c r="AD140" s="300">
        <v>2500</v>
      </c>
      <c r="AE140" s="300">
        <v>2500</v>
      </c>
      <c r="AF140" s="300">
        <v>2500</v>
      </c>
      <c r="AG140" s="300">
        <v>2500</v>
      </c>
      <c r="AH140" s="300">
        <v>2000</v>
      </c>
      <c r="AI140" s="300">
        <v>550</v>
      </c>
      <c r="AJ140" s="300">
        <v>750</v>
      </c>
      <c r="AK140" s="300">
        <v>1500</v>
      </c>
      <c r="AL140" s="300">
        <v>1500</v>
      </c>
      <c r="AM140" s="300">
        <v>2500</v>
      </c>
      <c r="AN140" s="300">
        <v>2500</v>
      </c>
      <c r="AO140" s="300">
        <v>2500</v>
      </c>
      <c r="AP140" s="300">
        <v>800</v>
      </c>
      <c r="AQ140" s="300">
        <v>850</v>
      </c>
      <c r="AR140" s="300">
        <v>2000</v>
      </c>
      <c r="AS140" s="300">
        <v>2000</v>
      </c>
      <c r="AT140" s="300">
        <v>0</v>
      </c>
      <c r="AU140" s="300">
        <v>1500</v>
      </c>
      <c r="AV140" s="300">
        <v>1500</v>
      </c>
      <c r="AW140" s="300">
        <v>0</v>
      </c>
      <c r="AX140" s="300">
        <v>2500</v>
      </c>
      <c r="AY140" s="300">
        <v>1000</v>
      </c>
      <c r="AZ140" s="300">
        <v>1000</v>
      </c>
      <c r="BA140" s="300">
        <v>2400</v>
      </c>
      <c r="BB140" s="300">
        <v>2400</v>
      </c>
      <c r="BC140" s="302">
        <v>5000</v>
      </c>
      <c r="BD140" s="300">
        <v>706.25</v>
      </c>
      <c r="BE140" s="300">
        <v>693.48</v>
      </c>
      <c r="BF140" s="300">
        <v>798.28</v>
      </c>
      <c r="BG140" s="300">
        <v>1500</v>
      </c>
      <c r="BH140" s="300">
        <v>0</v>
      </c>
      <c r="BI140" s="300">
        <v>599.1</v>
      </c>
      <c r="BJ140" s="300">
        <v>1305</v>
      </c>
      <c r="BK140" s="300">
        <v>2300</v>
      </c>
      <c r="BL140" s="300">
        <v>2500</v>
      </c>
      <c r="BM140" s="300">
        <v>2500</v>
      </c>
      <c r="BN140" s="300">
        <v>2500</v>
      </c>
      <c r="BO140" s="300">
        <v>0</v>
      </c>
      <c r="BP140" s="300">
        <v>2050</v>
      </c>
      <c r="BQ140" s="300">
        <v>2050</v>
      </c>
      <c r="BR140" s="300">
        <v>3300</v>
      </c>
      <c r="BS140" s="302">
        <v>5000</v>
      </c>
      <c r="BT140" s="300">
        <v>2300</v>
      </c>
      <c r="BU140">
        <v>3600</v>
      </c>
      <c r="BV140" s="300">
        <v>950</v>
      </c>
      <c r="BW140" s="300">
        <v>1250</v>
      </c>
      <c r="BX140" s="300">
        <v>2100</v>
      </c>
      <c r="BY140" s="300">
        <v>600</v>
      </c>
      <c r="BZ140" s="300">
        <v>0</v>
      </c>
      <c r="CA140" s="300">
        <v>627.44000000000005</v>
      </c>
      <c r="CB140" s="300">
        <v>0</v>
      </c>
      <c r="CC140" s="300">
        <v>600</v>
      </c>
      <c r="CD140" s="300">
        <v>0</v>
      </c>
      <c r="CE140" s="300">
        <v>660</v>
      </c>
      <c r="CF140" s="300">
        <v>0</v>
      </c>
      <c r="CG140" s="300">
        <v>1802</v>
      </c>
      <c r="CH140" s="300">
        <v>2000</v>
      </c>
      <c r="CI140" s="300">
        <v>1800</v>
      </c>
      <c r="CJ140" s="300">
        <v>2000</v>
      </c>
      <c r="CK140" s="300">
        <v>3000</v>
      </c>
      <c r="CL140" s="300">
        <v>1800</v>
      </c>
      <c r="CM140" s="300">
        <v>3000</v>
      </c>
      <c r="CN140" s="300">
        <v>850</v>
      </c>
      <c r="CO140" s="300">
        <v>1650</v>
      </c>
      <c r="CP140" s="254">
        <v>22.25</v>
      </c>
      <c r="CQ140" s="254"/>
      <c r="CR140" s="254"/>
      <c r="CS140" s="254"/>
      <c r="CT140" s="254"/>
      <c r="CW140" s="277"/>
      <c r="CX140" s="277"/>
      <c r="CY140" s="277"/>
    </row>
    <row r="141" spans="1:103" x14ac:dyDescent="0.2">
      <c r="A141" s="254">
        <v>22.5</v>
      </c>
      <c r="B141" s="122">
        <f t="shared" si="12"/>
        <v>1.2840246056499307E-3</v>
      </c>
      <c r="C141" s="122">
        <f t="shared" si="13"/>
        <v>8.4215590709959057E-4</v>
      </c>
      <c r="D141" s="122">
        <f t="shared" si="14"/>
        <v>15.381079664728793</v>
      </c>
      <c r="E141" s="122">
        <f t="shared" si="15"/>
        <v>10.535488622592016</v>
      </c>
      <c r="F141" s="122">
        <f t="shared" si="21"/>
        <v>1.2632338606493858</v>
      </c>
      <c r="G141" s="299">
        <f>HLOOKUP('Input &amp; Summary'!$B$6,'AEP Input Output sheet'!$N$50:$CO$211,ROW(G141)-49,0)</f>
        <v>1500</v>
      </c>
      <c r="H141" s="122">
        <f t="shared" si="16"/>
        <v>1662.9519221382577</v>
      </c>
      <c r="I141" s="247">
        <f t="shared" si="17"/>
        <v>0.90201044301465383</v>
      </c>
      <c r="J141" s="254">
        <f t="shared" si="18"/>
        <v>13869.17466461728</v>
      </c>
      <c r="K141" s="122">
        <f t="shared" si="19"/>
        <v>5835.9734695562638</v>
      </c>
      <c r="L141" s="122">
        <f t="shared" si="22"/>
        <v>1662.9519221382577</v>
      </c>
      <c r="M141" s="122"/>
      <c r="N141" s="254">
        <f t="shared" si="20"/>
        <v>1500</v>
      </c>
      <c r="O141">
        <v>1500</v>
      </c>
      <c r="P141">
        <v>3500</v>
      </c>
      <c r="Q141">
        <v>5000</v>
      </c>
      <c r="R141">
        <v>1500</v>
      </c>
      <c r="S141">
        <v>3500</v>
      </c>
      <c r="T141">
        <v>5000</v>
      </c>
      <c r="U141">
        <v>0</v>
      </c>
      <c r="V141">
        <v>0</v>
      </c>
      <c r="W141">
        <v>0</v>
      </c>
      <c r="X141" s="300">
        <v>1500</v>
      </c>
      <c r="Y141" s="300">
        <v>0</v>
      </c>
      <c r="Z141" s="300">
        <v>900</v>
      </c>
      <c r="AA141" s="300">
        <v>900</v>
      </c>
      <c r="AB141" s="302">
        <v>5000</v>
      </c>
      <c r="AC141" s="300">
        <v>1300</v>
      </c>
      <c r="AD141" s="300">
        <v>2500</v>
      </c>
      <c r="AE141" s="300">
        <v>2500</v>
      </c>
      <c r="AF141" s="300">
        <v>2500</v>
      </c>
      <c r="AG141" s="300">
        <v>2500</v>
      </c>
      <c r="AH141" s="300">
        <v>2000</v>
      </c>
      <c r="AI141" s="300">
        <v>550</v>
      </c>
      <c r="AJ141" s="300">
        <v>750</v>
      </c>
      <c r="AK141" s="300">
        <v>1500</v>
      </c>
      <c r="AL141" s="300">
        <v>1500</v>
      </c>
      <c r="AM141" s="300">
        <v>2500</v>
      </c>
      <c r="AN141" s="300">
        <v>2500</v>
      </c>
      <c r="AO141" s="300">
        <v>2500</v>
      </c>
      <c r="AP141" s="300">
        <v>800</v>
      </c>
      <c r="AQ141" s="300">
        <v>850</v>
      </c>
      <c r="AR141" s="300">
        <v>2000</v>
      </c>
      <c r="AS141" s="300">
        <v>2000</v>
      </c>
      <c r="AT141" s="300">
        <v>0</v>
      </c>
      <c r="AU141" s="300">
        <v>1500</v>
      </c>
      <c r="AV141" s="300">
        <v>1500</v>
      </c>
      <c r="AW141" s="300">
        <v>0</v>
      </c>
      <c r="AX141" s="300">
        <v>2500</v>
      </c>
      <c r="AY141" s="300">
        <v>1000</v>
      </c>
      <c r="AZ141" s="300">
        <v>1000</v>
      </c>
      <c r="BA141" s="300">
        <v>2400</v>
      </c>
      <c r="BB141" s="300">
        <v>2400</v>
      </c>
      <c r="BC141" s="302">
        <v>5000</v>
      </c>
      <c r="BD141" s="300">
        <v>710.16</v>
      </c>
      <c r="BE141" s="300">
        <v>693.54</v>
      </c>
      <c r="BF141" s="300">
        <v>796.31</v>
      </c>
      <c r="BG141" s="300">
        <v>1500</v>
      </c>
      <c r="BH141" s="300">
        <v>0</v>
      </c>
      <c r="BI141" s="300">
        <v>599.1</v>
      </c>
      <c r="BJ141" s="300">
        <v>1303</v>
      </c>
      <c r="BK141" s="300">
        <v>2300</v>
      </c>
      <c r="BL141" s="300">
        <v>2500</v>
      </c>
      <c r="BM141" s="300">
        <v>2500</v>
      </c>
      <c r="BN141" s="300">
        <v>2500</v>
      </c>
      <c r="BO141" s="300">
        <v>0</v>
      </c>
      <c r="BP141" s="300">
        <v>2050</v>
      </c>
      <c r="BQ141" s="300">
        <v>2050</v>
      </c>
      <c r="BR141" s="300">
        <v>3300</v>
      </c>
      <c r="BS141" s="302">
        <v>5000</v>
      </c>
      <c r="BT141" s="300">
        <v>2300</v>
      </c>
      <c r="BU141">
        <v>3600</v>
      </c>
      <c r="BV141" s="300">
        <v>950</v>
      </c>
      <c r="BW141" s="300">
        <v>1250</v>
      </c>
      <c r="BX141" s="300">
        <v>2100</v>
      </c>
      <c r="BY141" s="300">
        <v>600</v>
      </c>
      <c r="BZ141" s="300">
        <v>0</v>
      </c>
      <c r="CA141" s="300">
        <v>627.44000000000005</v>
      </c>
      <c r="CB141" s="300">
        <v>0</v>
      </c>
      <c r="CC141" s="300">
        <v>600</v>
      </c>
      <c r="CD141" s="300">
        <v>0</v>
      </c>
      <c r="CE141" s="300">
        <v>660</v>
      </c>
      <c r="CF141" s="300">
        <v>0</v>
      </c>
      <c r="CG141" s="300">
        <v>1802</v>
      </c>
      <c r="CH141" s="300">
        <v>2000</v>
      </c>
      <c r="CI141" s="300">
        <v>1800</v>
      </c>
      <c r="CJ141" s="300">
        <v>2000</v>
      </c>
      <c r="CK141" s="300">
        <v>3000</v>
      </c>
      <c r="CL141" s="300">
        <v>1800</v>
      </c>
      <c r="CM141" s="300">
        <v>3000</v>
      </c>
      <c r="CN141" s="300">
        <v>850</v>
      </c>
      <c r="CO141" s="300">
        <v>1650</v>
      </c>
      <c r="CP141" s="254">
        <v>22.5</v>
      </c>
      <c r="CQ141" s="254"/>
      <c r="CR141" s="254"/>
      <c r="CS141" s="254"/>
      <c r="CT141" s="254"/>
      <c r="CW141" s="277"/>
      <c r="CX141" s="277"/>
      <c r="CY141" s="277"/>
    </row>
    <row r="142" spans="1:103" x14ac:dyDescent="0.2">
      <c r="A142" s="254">
        <v>22.75</v>
      </c>
      <c r="B142" s="122">
        <f t="shared" si="12"/>
        <v>1.134502246792436E-3</v>
      </c>
      <c r="C142" s="122">
        <f t="shared" si="13"/>
        <v>7.3019808480839527E-4</v>
      </c>
      <c r="D142" s="122">
        <f t="shared" si="14"/>
        <v>13.78579006061117</v>
      </c>
      <c r="E142" s="122">
        <f t="shared" si="15"/>
        <v>9.4427723867830338</v>
      </c>
      <c r="F142" s="122">
        <f t="shared" si="21"/>
        <v>1.0952971272125929</v>
      </c>
      <c r="G142" s="299">
        <f>HLOOKUP('Input &amp; Summary'!$B$6,'AEP Input Output sheet'!$N$50:$CO$211,ROW(G142)-49,0)</f>
        <v>1500</v>
      </c>
      <c r="H142" s="122">
        <f t="shared" si="16"/>
        <v>1662.9519221382577</v>
      </c>
      <c r="I142" s="247">
        <f t="shared" si="17"/>
        <v>0.90201044301465383</v>
      </c>
      <c r="J142" s="254">
        <f t="shared" si="18"/>
        <v>14336.636243059407</v>
      </c>
      <c r="K142" s="122">
        <f t="shared" si="19"/>
        <v>5928.3161607239881</v>
      </c>
      <c r="L142" s="122">
        <f t="shared" si="22"/>
        <v>1662.9519221382577</v>
      </c>
      <c r="M142" s="122"/>
      <c r="N142" s="254">
        <f t="shared" si="20"/>
        <v>1500</v>
      </c>
      <c r="O142">
        <v>1500</v>
      </c>
      <c r="P142">
        <v>3500</v>
      </c>
      <c r="Q142">
        <v>5000</v>
      </c>
      <c r="R142">
        <v>1500</v>
      </c>
      <c r="S142">
        <v>3500</v>
      </c>
      <c r="T142">
        <v>5000</v>
      </c>
      <c r="U142">
        <v>0</v>
      </c>
      <c r="V142">
        <v>0</v>
      </c>
      <c r="W142">
        <v>0</v>
      </c>
      <c r="X142" s="300">
        <v>1500</v>
      </c>
      <c r="Y142" s="300">
        <v>0</v>
      </c>
      <c r="Z142" s="300">
        <v>900</v>
      </c>
      <c r="AA142" s="300">
        <v>900</v>
      </c>
      <c r="AB142" s="302">
        <v>5000</v>
      </c>
      <c r="AC142" s="300">
        <v>1300</v>
      </c>
      <c r="AD142" s="300">
        <v>2500</v>
      </c>
      <c r="AE142" s="300">
        <v>2500</v>
      </c>
      <c r="AF142" s="300">
        <v>2500</v>
      </c>
      <c r="AG142" s="300">
        <v>2500</v>
      </c>
      <c r="AH142" s="300">
        <v>2000</v>
      </c>
      <c r="AI142" s="300">
        <v>550</v>
      </c>
      <c r="AJ142" s="300">
        <v>750</v>
      </c>
      <c r="AK142" s="300">
        <v>1500</v>
      </c>
      <c r="AL142" s="300">
        <v>1500</v>
      </c>
      <c r="AM142" s="300">
        <v>2500</v>
      </c>
      <c r="AN142" s="300">
        <v>2500</v>
      </c>
      <c r="AO142" s="300">
        <v>2500</v>
      </c>
      <c r="AP142" s="300">
        <v>800</v>
      </c>
      <c r="AQ142" s="300">
        <v>850</v>
      </c>
      <c r="AR142" s="300">
        <v>2000</v>
      </c>
      <c r="AS142" s="300">
        <v>2000</v>
      </c>
      <c r="AT142" s="300">
        <v>0</v>
      </c>
      <c r="AU142" s="300">
        <v>1500</v>
      </c>
      <c r="AV142" s="300">
        <v>1500</v>
      </c>
      <c r="AW142" s="300">
        <v>0</v>
      </c>
      <c r="AX142" s="300">
        <v>2500</v>
      </c>
      <c r="AY142" s="300">
        <v>1000</v>
      </c>
      <c r="AZ142" s="300">
        <v>1000</v>
      </c>
      <c r="BA142" s="300">
        <v>2400</v>
      </c>
      <c r="BB142" s="300">
        <v>2400</v>
      </c>
      <c r="BC142" s="302">
        <v>5000</v>
      </c>
      <c r="BD142" s="300">
        <v>710.25</v>
      </c>
      <c r="BE142" s="300">
        <v>693.58</v>
      </c>
      <c r="BF142" s="300">
        <v>794.34</v>
      </c>
      <c r="BG142" s="300">
        <v>1500</v>
      </c>
      <c r="BH142" s="300">
        <v>0</v>
      </c>
      <c r="BI142" s="300">
        <v>599.1</v>
      </c>
      <c r="BJ142" s="300">
        <v>1301</v>
      </c>
      <c r="BK142" s="300">
        <v>2300</v>
      </c>
      <c r="BL142" s="300">
        <v>2500</v>
      </c>
      <c r="BM142" s="300">
        <v>2500</v>
      </c>
      <c r="BN142" s="300">
        <v>2500</v>
      </c>
      <c r="BO142" s="300">
        <v>0</v>
      </c>
      <c r="BP142" s="300">
        <v>2050</v>
      </c>
      <c r="BQ142" s="300">
        <v>2050</v>
      </c>
      <c r="BR142" s="300">
        <v>3300</v>
      </c>
      <c r="BS142" s="302">
        <v>5000</v>
      </c>
      <c r="BT142" s="300">
        <v>2300</v>
      </c>
      <c r="BU142">
        <v>3600</v>
      </c>
      <c r="BV142" s="300">
        <v>950</v>
      </c>
      <c r="BW142" s="300">
        <v>1250</v>
      </c>
      <c r="BX142" s="300">
        <v>2100</v>
      </c>
      <c r="BY142" s="300">
        <v>600</v>
      </c>
      <c r="BZ142" s="300">
        <v>0</v>
      </c>
      <c r="CA142" s="300">
        <v>627.44000000000005</v>
      </c>
      <c r="CB142" s="300">
        <v>0</v>
      </c>
      <c r="CC142" s="300">
        <v>600</v>
      </c>
      <c r="CD142" s="300">
        <v>0</v>
      </c>
      <c r="CE142" s="300">
        <v>660</v>
      </c>
      <c r="CF142" s="300">
        <v>0</v>
      </c>
      <c r="CG142" s="300">
        <v>1802</v>
      </c>
      <c r="CH142" s="300">
        <v>2000</v>
      </c>
      <c r="CI142" s="300">
        <v>1800</v>
      </c>
      <c r="CJ142" s="300">
        <v>2000</v>
      </c>
      <c r="CK142" s="300">
        <v>3000</v>
      </c>
      <c r="CL142" s="300">
        <v>1800</v>
      </c>
      <c r="CM142" s="300">
        <v>3000</v>
      </c>
      <c r="CN142" s="300">
        <v>850</v>
      </c>
      <c r="CO142" s="300">
        <v>1650</v>
      </c>
      <c r="CP142" s="254">
        <v>22.75</v>
      </c>
      <c r="CQ142" s="254"/>
      <c r="CR142" s="254"/>
      <c r="CS142" s="254"/>
      <c r="CT142" s="254"/>
      <c r="CW142" s="277"/>
      <c r="CX142" s="277"/>
      <c r="CY142" s="277"/>
    </row>
    <row r="143" spans="1:103" x14ac:dyDescent="0.2">
      <c r="A143" s="254">
        <v>23</v>
      </c>
      <c r="B143" s="122">
        <f t="shared" si="12"/>
        <v>1.0007780671471883E-3</v>
      </c>
      <c r="C143" s="122">
        <f t="shared" si="13"/>
        <v>6.3184939026343114E-4</v>
      </c>
      <c r="D143" s="122">
        <f t="shared" si="14"/>
        <v>12.32661542507212</v>
      </c>
      <c r="E143" s="122">
        <f t="shared" si="15"/>
        <v>8.4432900288345571</v>
      </c>
      <c r="F143" s="122">
        <f t="shared" si="21"/>
        <v>0.94777408539514674</v>
      </c>
      <c r="G143" s="299">
        <f>HLOOKUP('Input &amp; Summary'!$B$6,'AEP Input Output sheet'!$N$50:$CO$211,ROW(G143)-49,0)</f>
        <v>1500</v>
      </c>
      <c r="H143" s="122">
        <f t="shared" si="16"/>
        <v>1662.9519221382577</v>
      </c>
      <c r="I143" s="247">
        <f t="shared" si="17"/>
        <v>0.90201044301465383</v>
      </c>
      <c r="J143" s="254">
        <f t="shared" si="18"/>
        <v>14814.485433801779</v>
      </c>
      <c r="K143" s="122">
        <f t="shared" si="19"/>
        <v>6020.6588518917124</v>
      </c>
      <c r="L143" s="122">
        <f t="shared" si="22"/>
        <v>1662.9519221382577</v>
      </c>
      <c r="M143" s="122"/>
      <c r="N143" s="254">
        <f t="shared" si="20"/>
        <v>1500</v>
      </c>
      <c r="O143">
        <v>1500</v>
      </c>
      <c r="P143">
        <v>3500</v>
      </c>
      <c r="Q143">
        <v>5000</v>
      </c>
      <c r="R143">
        <v>1500</v>
      </c>
      <c r="S143">
        <v>3500</v>
      </c>
      <c r="T143">
        <v>5000</v>
      </c>
      <c r="U143">
        <v>0</v>
      </c>
      <c r="V143">
        <v>0</v>
      </c>
      <c r="W143">
        <v>0</v>
      </c>
      <c r="X143" s="300">
        <v>1500</v>
      </c>
      <c r="Y143" s="300">
        <v>0</v>
      </c>
      <c r="Z143" s="300">
        <v>900</v>
      </c>
      <c r="AA143" s="300">
        <v>900</v>
      </c>
      <c r="AB143" s="302">
        <v>5000</v>
      </c>
      <c r="AC143" s="300">
        <v>1300</v>
      </c>
      <c r="AD143" s="300">
        <v>2500</v>
      </c>
      <c r="AE143" s="300">
        <v>2500</v>
      </c>
      <c r="AF143" s="300">
        <v>2500</v>
      </c>
      <c r="AG143" s="300">
        <v>2500</v>
      </c>
      <c r="AH143" s="300">
        <v>2000</v>
      </c>
      <c r="AI143" s="300">
        <v>550</v>
      </c>
      <c r="AJ143" s="300">
        <v>750</v>
      </c>
      <c r="AK143" s="300">
        <v>1500</v>
      </c>
      <c r="AL143" s="300">
        <v>1500</v>
      </c>
      <c r="AM143" s="300">
        <v>2500</v>
      </c>
      <c r="AN143" s="300">
        <v>2500</v>
      </c>
      <c r="AO143" s="300">
        <v>2500</v>
      </c>
      <c r="AP143" s="300">
        <v>800</v>
      </c>
      <c r="AQ143" s="300">
        <v>850</v>
      </c>
      <c r="AR143" s="300">
        <v>2000</v>
      </c>
      <c r="AS143" s="300">
        <v>2000</v>
      </c>
      <c r="AT143" s="300">
        <v>0</v>
      </c>
      <c r="AU143" s="300">
        <v>1500</v>
      </c>
      <c r="AV143" s="300">
        <v>1500</v>
      </c>
      <c r="AW143" s="300">
        <v>0</v>
      </c>
      <c r="AX143" s="300">
        <v>2500</v>
      </c>
      <c r="AY143" s="300">
        <v>1000</v>
      </c>
      <c r="AZ143" s="300">
        <v>1000</v>
      </c>
      <c r="BA143" s="300">
        <v>2400</v>
      </c>
      <c r="BB143" s="300">
        <v>2400</v>
      </c>
      <c r="BC143" s="302">
        <v>5000</v>
      </c>
      <c r="BD143" s="300">
        <v>710.34</v>
      </c>
      <c r="BE143" s="300">
        <v>693.65</v>
      </c>
      <c r="BF143" s="300">
        <v>792.38</v>
      </c>
      <c r="BG143" s="300">
        <v>1500</v>
      </c>
      <c r="BH143" s="300">
        <v>0</v>
      </c>
      <c r="BI143" s="300">
        <v>599.1</v>
      </c>
      <c r="BJ143" s="300">
        <v>1299</v>
      </c>
      <c r="BK143" s="300">
        <v>2300</v>
      </c>
      <c r="BL143" s="300">
        <v>2500</v>
      </c>
      <c r="BM143" s="300">
        <v>2500</v>
      </c>
      <c r="BN143" s="300">
        <v>2500</v>
      </c>
      <c r="BO143" s="300">
        <v>0</v>
      </c>
      <c r="BP143" s="300">
        <v>2050</v>
      </c>
      <c r="BQ143" s="300">
        <v>2050</v>
      </c>
      <c r="BR143" s="300">
        <v>3300</v>
      </c>
      <c r="BS143" s="302">
        <v>5000</v>
      </c>
      <c r="BT143" s="300">
        <v>2300</v>
      </c>
      <c r="BU143">
        <v>3600</v>
      </c>
      <c r="BV143" s="300">
        <v>950</v>
      </c>
      <c r="BW143" s="300">
        <v>1250</v>
      </c>
      <c r="BX143" s="300">
        <v>2100</v>
      </c>
      <c r="BY143" s="300">
        <v>600</v>
      </c>
      <c r="BZ143" s="300">
        <v>0</v>
      </c>
      <c r="CA143" s="300">
        <v>627.44000000000005</v>
      </c>
      <c r="CB143" s="300">
        <v>0</v>
      </c>
      <c r="CC143" s="300">
        <v>600</v>
      </c>
      <c r="CD143" s="300">
        <v>0</v>
      </c>
      <c r="CE143" s="300">
        <v>660</v>
      </c>
      <c r="CF143" s="300">
        <v>0</v>
      </c>
      <c r="CG143" s="300">
        <v>1802</v>
      </c>
      <c r="CH143" s="300">
        <v>2000</v>
      </c>
      <c r="CI143" s="300">
        <v>1800</v>
      </c>
      <c r="CJ143" s="300">
        <v>2000</v>
      </c>
      <c r="CK143" s="300">
        <v>3000</v>
      </c>
      <c r="CL143" s="300">
        <v>1800</v>
      </c>
      <c r="CM143" s="300">
        <v>3000</v>
      </c>
      <c r="CN143" s="300">
        <v>850</v>
      </c>
      <c r="CO143" s="300">
        <v>1650</v>
      </c>
      <c r="CP143" s="254">
        <v>23</v>
      </c>
      <c r="CQ143" s="254"/>
      <c r="CR143" s="254"/>
      <c r="CS143" s="254"/>
      <c r="CT143" s="254"/>
      <c r="CW143" s="277"/>
      <c r="CX143" s="277"/>
      <c r="CY143" s="277"/>
    </row>
    <row r="144" spans="1:103" x14ac:dyDescent="0.2">
      <c r="A144" s="254">
        <v>23.25</v>
      </c>
      <c r="B144" s="122">
        <f t="shared" si="12"/>
        <v>8.8139734082908362E-4</v>
      </c>
      <c r="C144" s="122">
        <f t="shared" si="13"/>
        <v>5.4564665379081988E-4</v>
      </c>
      <c r="D144" s="122">
        <f t="shared" si="14"/>
        <v>10.995807694174816</v>
      </c>
      <c r="E144" s="122">
        <f t="shared" si="15"/>
        <v>7.5317344024842372</v>
      </c>
      <c r="F144" s="122">
        <f t="shared" si="21"/>
        <v>0.81846998068622978</v>
      </c>
      <c r="G144" s="299">
        <f>HLOOKUP('Input &amp; Summary'!$B$6,'AEP Input Output sheet'!$N$50:$CO$211,ROW(G144)-49,0)</f>
        <v>1500</v>
      </c>
      <c r="H144" s="122">
        <f t="shared" si="16"/>
        <v>1662.9519221382577</v>
      </c>
      <c r="I144" s="247">
        <f t="shared" si="17"/>
        <v>0.90201044301465383</v>
      </c>
      <c r="J144" s="254">
        <f t="shared" si="18"/>
        <v>15302.836386430126</v>
      </c>
      <c r="K144" s="122">
        <f t="shared" si="19"/>
        <v>6113.0015430594367</v>
      </c>
      <c r="L144" s="122">
        <f t="shared" si="22"/>
        <v>1662.9519221382577</v>
      </c>
      <c r="M144" s="122"/>
      <c r="N144" s="254">
        <f t="shared" si="20"/>
        <v>1500</v>
      </c>
      <c r="O144">
        <v>1500</v>
      </c>
      <c r="P144">
        <v>3500</v>
      </c>
      <c r="Q144">
        <v>5000</v>
      </c>
      <c r="R144">
        <v>1500</v>
      </c>
      <c r="S144">
        <v>3500</v>
      </c>
      <c r="T144">
        <v>5000</v>
      </c>
      <c r="U144">
        <v>0</v>
      </c>
      <c r="V144">
        <v>0</v>
      </c>
      <c r="W144">
        <v>0</v>
      </c>
      <c r="X144" s="300">
        <v>1500</v>
      </c>
      <c r="Y144" s="300">
        <v>0</v>
      </c>
      <c r="Z144" s="300">
        <v>900</v>
      </c>
      <c r="AA144" s="300">
        <v>900</v>
      </c>
      <c r="AB144" s="302">
        <v>5000</v>
      </c>
      <c r="AC144" s="300">
        <v>1300</v>
      </c>
      <c r="AD144" s="300">
        <v>2500</v>
      </c>
      <c r="AE144" s="300">
        <v>2500</v>
      </c>
      <c r="AF144" s="300">
        <v>2500</v>
      </c>
      <c r="AG144" s="300">
        <v>2500</v>
      </c>
      <c r="AH144" s="300">
        <v>2000</v>
      </c>
      <c r="AI144" s="300">
        <v>550</v>
      </c>
      <c r="AJ144" s="300">
        <v>750</v>
      </c>
      <c r="AK144" s="300">
        <v>1500</v>
      </c>
      <c r="AL144" s="300">
        <v>1500</v>
      </c>
      <c r="AM144" s="300">
        <v>2500</v>
      </c>
      <c r="AN144" s="300">
        <v>2500</v>
      </c>
      <c r="AO144" s="300">
        <v>2500</v>
      </c>
      <c r="AP144" s="300">
        <v>800</v>
      </c>
      <c r="AQ144" s="300">
        <v>850</v>
      </c>
      <c r="AR144" s="300">
        <v>2000</v>
      </c>
      <c r="AS144" s="300">
        <v>2000</v>
      </c>
      <c r="AT144" s="300">
        <v>0</v>
      </c>
      <c r="AU144" s="300">
        <v>1500</v>
      </c>
      <c r="AV144" s="300">
        <v>1500</v>
      </c>
      <c r="AW144" s="300">
        <v>0</v>
      </c>
      <c r="AX144" s="300">
        <v>2500</v>
      </c>
      <c r="AY144" s="300">
        <v>1000</v>
      </c>
      <c r="AZ144" s="300">
        <v>1000</v>
      </c>
      <c r="BA144" s="300">
        <v>2400</v>
      </c>
      <c r="BB144" s="300">
        <v>2400</v>
      </c>
      <c r="BC144" s="302">
        <v>5000</v>
      </c>
      <c r="BD144" s="300">
        <v>710.43</v>
      </c>
      <c r="BE144" s="300">
        <v>693.72</v>
      </c>
      <c r="BF144" s="300">
        <v>790.41</v>
      </c>
      <c r="BG144" s="300">
        <v>1500</v>
      </c>
      <c r="BH144" s="300">
        <v>0</v>
      </c>
      <c r="BI144" s="300">
        <v>599.1</v>
      </c>
      <c r="BJ144" s="300">
        <v>1297.25</v>
      </c>
      <c r="BK144" s="300">
        <v>2300</v>
      </c>
      <c r="BL144" s="300">
        <v>2500</v>
      </c>
      <c r="BM144" s="300">
        <v>2500</v>
      </c>
      <c r="BN144" s="300">
        <v>2500</v>
      </c>
      <c r="BO144" s="300">
        <v>0</v>
      </c>
      <c r="BP144" s="300">
        <v>2050</v>
      </c>
      <c r="BQ144" s="300">
        <v>2050</v>
      </c>
      <c r="BR144" s="300">
        <v>3300</v>
      </c>
      <c r="BS144" s="302">
        <v>5000</v>
      </c>
      <c r="BT144" s="300">
        <v>2300</v>
      </c>
      <c r="BU144">
        <v>3600</v>
      </c>
      <c r="BV144" s="300">
        <v>950</v>
      </c>
      <c r="BW144" s="300">
        <v>1250</v>
      </c>
      <c r="BX144" s="300">
        <v>2100</v>
      </c>
      <c r="BY144" s="300">
        <v>600</v>
      </c>
      <c r="BZ144" s="300">
        <v>0</v>
      </c>
      <c r="CA144" s="300">
        <v>627.44000000000005</v>
      </c>
      <c r="CB144" s="300">
        <v>0</v>
      </c>
      <c r="CC144" s="300">
        <v>600</v>
      </c>
      <c r="CD144" s="300">
        <v>0</v>
      </c>
      <c r="CE144" s="300">
        <v>660</v>
      </c>
      <c r="CF144" s="300">
        <v>0</v>
      </c>
      <c r="CG144" s="300">
        <v>1801.5</v>
      </c>
      <c r="CH144" s="300">
        <v>2000</v>
      </c>
      <c r="CI144" s="300">
        <v>1800</v>
      </c>
      <c r="CJ144" s="300">
        <v>2000</v>
      </c>
      <c r="CK144" s="300">
        <v>3000</v>
      </c>
      <c r="CL144" s="300">
        <v>1800</v>
      </c>
      <c r="CM144" s="300">
        <v>3000</v>
      </c>
      <c r="CN144" s="300">
        <v>850</v>
      </c>
      <c r="CO144" s="300">
        <v>1650</v>
      </c>
      <c r="CP144" s="254">
        <v>23.25</v>
      </c>
      <c r="CQ144" s="254"/>
      <c r="CR144" s="254"/>
      <c r="CS144" s="254"/>
      <c r="CT144" s="254"/>
      <c r="CW144" s="277"/>
      <c r="CX144" s="277"/>
      <c r="CY144" s="277"/>
    </row>
    <row r="145" spans="1:103" x14ac:dyDescent="0.2">
      <c r="A145" s="254">
        <v>23.5</v>
      </c>
      <c r="B145" s="122">
        <f t="shared" si="12"/>
        <v>7.7501182520156044E-4</v>
      </c>
      <c r="C145" s="122">
        <f t="shared" si="13"/>
        <v>4.7025647923668745E-4</v>
      </c>
      <c r="D145" s="122">
        <f t="shared" si="14"/>
        <v>9.7855478020545217</v>
      </c>
      <c r="E145" s="122">
        <f t="shared" si="15"/>
        <v>6.7027497276923809</v>
      </c>
      <c r="F145" s="122">
        <f t="shared" si="21"/>
        <v>0.70538471885503118</v>
      </c>
      <c r="G145" s="299">
        <f>HLOOKUP('Input &amp; Summary'!$B$6,'AEP Input Output sheet'!$N$50:$CO$211,ROW(G145)-49,0)</f>
        <v>1500</v>
      </c>
      <c r="H145" s="122">
        <f t="shared" si="16"/>
        <v>1662.9519221382577</v>
      </c>
      <c r="I145" s="247">
        <f t="shared" si="17"/>
        <v>0.90201044301465383</v>
      </c>
      <c r="J145" s="254">
        <f t="shared" si="18"/>
        <v>15801.803250530151</v>
      </c>
      <c r="K145" s="122">
        <f t="shared" si="19"/>
        <v>6205.344234227161</v>
      </c>
      <c r="L145" s="122">
        <f t="shared" si="22"/>
        <v>1662.9519221382577</v>
      </c>
      <c r="M145" s="122"/>
      <c r="N145" s="254">
        <f t="shared" si="20"/>
        <v>1500</v>
      </c>
      <c r="O145">
        <v>1500</v>
      </c>
      <c r="P145">
        <v>3500</v>
      </c>
      <c r="Q145">
        <v>5000</v>
      </c>
      <c r="R145">
        <v>1500</v>
      </c>
      <c r="S145">
        <v>3500</v>
      </c>
      <c r="T145">
        <v>5000</v>
      </c>
      <c r="U145">
        <v>0</v>
      </c>
      <c r="V145">
        <v>0</v>
      </c>
      <c r="W145">
        <v>0</v>
      </c>
      <c r="X145" s="300">
        <v>1500</v>
      </c>
      <c r="Y145" s="300">
        <v>0</v>
      </c>
      <c r="Z145" s="300">
        <v>900</v>
      </c>
      <c r="AA145" s="300">
        <v>900</v>
      </c>
      <c r="AB145" s="302">
        <v>5000</v>
      </c>
      <c r="AC145" s="300">
        <v>1300</v>
      </c>
      <c r="AD145" s="300">
        <v>2500</v>
      </c>
      <c r="AE145" s="300">
        <v>2500</v>
      </c>
      <c r="AF145" s="300">
        <v>2500</v>
      </c>
      <c r="AG145" s="300">
        <v>2500</v>
      </c>
      <c r="AH145" s="300">
        <v>2000</v>
      </c>
      <c r="AI145" s="300">
        <v>550</v>
      </c>
      <c r="AJ145" s="300">
        <v>750</v>
      </c>
      <c r="AK145" s="300">
        <v>1500</v>
      </c>
      <c r="AL145" s="300">
        <v>1500</v>
      </c>
      <c r="AM145" s="300">
        <v>2500</v>
      </c>
      <c r="AN145" s="300">
        <v>2500</v>
      </c>
      <c r="AO145" s="300">
        <v>2500</v>
      </c>
      <c r="AP145" s="300">
        <v>800</v>
      </c>
      <c r="AQ145" s="300">
        <v>850</v>
      </c>
      <c r="AR145" s="300">
        <v>2000</v>
      </c>
      <c r="AS145" s="300">
        <v>2000</v>
      </c>
      <c r="AT145" s="300">
        <v>0</v>
      </c>
      <c r="AU145" s="300">
        <v>1500</v>
      </c>
      <c r="AV145" s="300">
        <v>1500</v>
      </c>
      <c r="AW145" s="300">
        <v>0</v>
      </c>
      <c r="AX145" s="300">
        <v>2500</v>
      </c>
      <c r="AY145" s="300">
        <v>1000</v>
      </c>
      <c r="AZ145" s="300">
        <v>1000</v>
      </c>
      <c r="BA145" s="300">
        <v>2400</v>
      </c>
      <c r="BB145" s="300">
        <v>2400</v>
      </c>
      <c r="BC145" s="302">
        <v>5000</v>
      </c>
      <c r="BD145" s="300">
        <v>710.52</v>
      </c>
      <c r="BE145" s="300">
        <v>693.78</v>
      </c>
      <c r="BF145" s="300">
        <v>788.45</v>
      </c>
      <c r="BG145" s="300">
        <v>1500</v>
      </c>
      <c r="BH145" s="300">
        <v>0</v>
      </c>
      <c r="BI145" s="300">
        <v>599.1</v>
      </c>
      <c r="BJ145" s="300">
        <v>1295.5</v>
      </c>
      <c r="BK145" s="300">
        <v>2300</v>
      </c>
      <c r="BL145" s="300">
        <v>2500</v>
      </c>
      <c r="BM145" s="300">
        <v>2500</v>
      </c>
      <c r="BN145" s="300">
        <v>2500</v>
      </c>
      <c r="BO145" s="300">
        <v>0</v>
      </c>
      <c r="BP145" s="300">
        <v>2050</v>
      </c>
      <c r="BQ145" s="300">
        <v>2050</v>
      </c>
      <c r="BR145" s="300">
        <v>3300</v>
      </c>
      <c r="BS145" s="302">
        <v>5000</v>
      </c>
      <c r="BT145" s="300">
        <v>2300</v>
      </c>
      <c r="BU145">
        <v>3600</v>
      </c>
      <c r="BV145" s="300">
        <v>950</v>
      </c>
      <c r="BW145" s="300">
        <v>1250</v>
      </c>
      <c r="BX145" s="300">
        <v>2100</v>
      </c>
      <c r="BY145" s="300">
        <v>600</v>
      </c>
      <c r="BZ145" s="300">
        <v>0</v>
      </c>
      <c r="CA145" s="300">
        <v>627.44000000000005</v>
      </c>
      <c r="CB145" s="300">
        <v>0</v>
      </c>
      <c r="CC145" s="300">
        <v>600</v>
      </c>
      <c r="CD145" s="300">
        <v>0</v>
      </c>
      <c r="CE145" s="300">
        <v>660</v>
      </c>
      <c r="CF145" s="300">
        <v>0</v>
      </c>
      <c r="CG145" s="300">
        <v>1801</v>
      </c>
      <c r="CH145" s="300">
        <v>2000</v>
      </c>
      <c r="CI145" s="300">
        <v>1800</v>
      </c>
      <c r="CJ145" s="300">
        <v>2000</v>
      </c>
      <c r="CK145" s="300">
        <v>3000</v>
      </c>
      <c r="CL145" s="300">
        <v>1800</v>
      </c>
      <c r="CM145" s="300">
        <v>3000</v>
      </c>
      <c r="CN145" s="300">
        <v>850</v>
      </c>
      <c r="CO145" s="300">
        <v>1650</v>
      </c>
      <c r="CP145" s="254">
        <v>23.5</v>
      </c>
      <c r="CQ145" s="254"/>
      <c r="CR145" s="254"/>
      <c r="CS145" s="254"/>
      <c r="CT145" s="254"/>
      <c r="CW145" s="277"/>
      <c r="CX145" s="277"/>
      <c r="CY145" s="277"/>
    </row>
    <row r="146" spans="1:103" x14ac:dyDescent="0.2">
      <c r="A146" s="254">
        <v>23.75</v>
      </c>
      <c r="B146" s="122">
        <f t="shared" si="12"/>
        <v>6.8037542895591776E-4</v>
      </c>
      <c r="C146" s="122">
        <f t="shared" si="13"/>
        <v>4.0446760029710178E-4</v>
      </c>
      <c r="D146" s="122">
        <f t="shared" si="14"/>
        <v>8.6880307269874653</v>
      </c>
      <c r="E146" s="122">
        <f t="shared" si="15"/>
        <v>5.9509898441528062</v>
      </c>
      <c r="F146" s="122">
        <f t="shared" si="21"/>
        <v>0.60670140044565268</v>
      </c>
      <c r="G146" s="299">
        <f>HLOOKUP('Input &amp; Summary'!$B$6,'AEP Input Output sheet'!$N$50:$CO$211,ROW(G146)-49,0)</f>
        <v>1500</v>
      </c>
      <c r="H146" s="122">
        <f t="shared" si="16"/>
        <v>1662.9519221382577</v>
      </c>
      <c r="I146" s="247">
        <f t="shared" si="17"/>
        <v>0.90201044301465383</v>
      </c>
      <c r="J146" s="254">
        <f t="shared" si="18"/>
        <v>16311.50017568757</v>
      </c>
      <c r="K146" s="122">
        <f t="shared" si="19"/>
        <v>6297.6869253948862</v>
      </c>
      <c r="L146" s="122">
        <f t="shared" si="22"/>
        <v>1662.9519221382577</v>
      </c>
      <c r="M146" s="122"/>
      <c r="N146" s="254">
        <f t="shared" si="20"/>
        <v>1500</v>
      </c>
      <c r="O146">
        <v>1500</v>
      </c>
      <c r="P146">
        <v>3500</v>
      </c>
      <c r="Q146">
        <v>5000</v>
      </c>
      <c r="R146">
        <v>1500</v>
      </c>
      <c r="S146">
        <v>3500</v>
      </c>
      <c r="T146">
        <v>5000</v>
      </c>
      <c r="U146">
        <v>0</v>
      </c>
      <c r="V146">
        <v>0</v>
      </c>
      <c r="W146">
        <v>0</v>
      </c>
      <c r="X146" s="300">
        <v>1500</v>
      </c>
      <c r="Y146" s="300">
        <v>0</v>
      </c>
      <c r="Z146" s="300">
        <v>900</v>
      </c>
      <c r="AA146" s="300">
        <v>900</v>
      </c>
      <c r="AB146" s="302">
        <v>5000</v>
      </c>
      <c r="AC146" s="300">
        <v>1300</v>
      </c>
      <c r="AD146" s="300">
        <v>2500</v>
      </c>
      <c r="AE146" s="300">
        <v>2500</v>
      </c>
      <c r="AF146" s="300">
        <v>2500</v>
      </c>
      <c r="AG146" s="300">
        <v>2500</v>
      </c>
      <c r="AH146" s="300">
        <v>2000</v>
      </c>
      <c r="AI146" s="300">
        <v>550</v>
      </c>
      <c r="AJ146" s="300">
        <v>750</v>
      </c>
      <c r="AK146" s="300">
        <v>1500</v>
      </c>
      <c r="AL146" s="300">
        <v>1500</v>
      </c>
      <c r="AM146" s="300">
        <v>2500</v>
      </c>
      <c r="AN146" s="300">
        <v>2500</v>
      </c>
      <c r="AO146" s="300">
        <v>2500</v>
      </c>
      <c r="AP146" s="300">
        <v>800</v>
      </c>
      <c r="AQ146" s="300">
        <v>850</v>
      </c>
      <c r="AR146" s="300">
        <v>2000</v>
      </c>
      <c r="AS146" s="300">
        <v>2000</v>
      </c>
      <c r="AT146" s="300">
        <v>0</v>
      </c>
      <c r="AU146" s="300">
        <v>1500</v>
      </c>
      <c r="AV146" s="300">
        <v>1500</v>
      </c>
      <c r="AW146" s="300">
        <v>0</v>
      </c>
      <c r="AX146" s="300">
        <v>2500</v>
      </c>
      <c r="AY146" s="300">
        <v>1000</v>
      </c>
      <c r="AZ146" s="300">
        <v>1000</v>
      </c>
      <c r="BA146" s="300">
        <v>2400</v>
      </c>
      <c r="BB146" s="300">
        <v>2400</v>
      </c>
      <c r="BC146" s="302">
        <v>5000</v>
      </c>
      <c r="BD146" s="300">
        <v>710.6</v>
      </c>
      <c r="BE146" s="300">
        <v>696.71</v>
      </c>
      <c r="BF146" s="300">
        <v>786.48</v>
      </c>
      <c r="BG146" s="300">
        <v>1500</v>
      </c>
      <c r="BH146" s="300">
        <v>0</v>
      </c>
      <c r="BI146" s="300">
        <v>599.1</v>
      </c>
      <c r="BJ146" s="300">
        <v>1293.75</v>
      </c>
      <c r="BK146" s="300">
        <v>2300</v>
      </c>
      <c r="BL146" s="300">
        <v>2500</v>
      </c>
      <c r="BM146" s="300">
        <v>2500</v>
      </c>
      <c r="BN146" s="300">
        <v>2500</v>
      </c>
      <c r="BO146" s="300">
        <v>0</v>
      </c>
      <c r="BP146" s="300">
        <v>2050</v>
      </c>
      <c r="BQ146" s="300">
        <v>2050</v>
      </c>
      <c r="BR146" s="300">
        <v>3300</v>
      </c>
      <c r="BS146" s="302">
        <v>5000</v>
      </c>
      <c r="BT146" s="300">
        <v>2300</v>
      </c>
      <c r="BU146">
        <v>3600</v>
      </c>
      <c r="BV146" s="300">
        <v>950</v>
      </c>
      <c r="BW146" s="300">
        <v>1250</v>
      </c>
      <c r="BX146" s="300">
        <v>2100</v>
      </c>
      <c r="BY146" s="300">
        <v>600</v>
      </c>
      <c r="BZ146" s="300">
        <v>0</v>
      </c>
      <c r="CA146" s="300">
        <v>627.44000000000005</v>
      </c>
      <c r="CB146" s="300">
        <v>0</v>
      </c>
      <c r="CC146" s="300">
        <v>600</v>
      </c>
      <c r="CD146" s="300">
        <v>0</v>
      </c>
      <c r="CE146" s="300">
        <v>660</v>
      </c>
      <c r="CF146" s="300">
        <v>0</v>
      </c>
      <c r="CG146" s="300">
        <v>1800.5</v>
      </c>
      <c r="CH146" s="300">
        <v>2000</v>
      </c>
      <c r="CI146" s="300">
        <v>1800</v>
      </c>
      <c r="CJ146" s="300">
        <v>2000</v>
      </c>
      <c r="CK146" s="300">
        <v>3000</v>
      </c>
      <c r="CL146" s="300">
        <v>1800</v>
      </c>
      <c r="CM146" s="300">
        <v>3000</v>
      </c>
      <c r="CN146" s="300">
        <v>850</v>
      </c>
      <c r="CO146" s="300">
        <v>1650</v>
      </c>
      <c r="CP146" s="254">
        <v>23.75</v>
      </c>
      <c r="CQ146" s="254"/>
      <c r="CR146" s="254"/>
      <c r="CS146" s="254"/>
      <c r="CT146" s="254"/>
      <c r="CW146" s="277"/>
      <c r="CX146" s="277"/>
      <c r="CY146" s="277"/>
    </row>
    <row r="147" spans="1:103" x14ac:dyDescent="0.2">
      <c r="A147" s="254">
        <v>24</v>
      </c>
      <c r="B147" s="122">
        <f t="shared" si="12"/>
        <v>5.9633958883585701E-4</v>
      </c>
      <c r="C147" s="122">
        <f t="shared" si="13"/>
        <v>3.4718312757166155E-4</v>
      </c>
      <c r="D147" s="122">
        <f t="shared" si="14"/>
        <v>7.6955400769551998</v>
      </c>
      <c r="E147" s="122">
        <f t="shared" si="15"/>
        <v>5.2711692997327697</v>
      </c>
      <c r="F147" s="122">
        <f t="shared" si="21"/>
        <v>0.52077469135749233</v>
      </c>
      <c r="G147" s="299">
        <f>HLOOKUP('Input &amp; Summary'!$B$6,'AEP Input Output sheet'!$N$50:$CO$211,ROW(G147)-49,0)</f>
        <v>1500</v>
      </c>
      <c r="H147" s="122">
        <f t="shared" si="16"/>
        <v>1662.9519221382577</v>
      </c>
      <c r="I147" s="247">
        <f t="shared" si="17"/>
        <v>0.90201044301465383</v>
      </c>
      <c r="J147" s="254">
        <f t="shared" si="18"/>
        <v>16832.041311488116</v>
      </c>
      <c r="K147" s="122">
        <f t="shared" si="19"/>
        <v>6390.0296165626105</v>
      </c>
      <c r="L147" s="122">
        <f t="shared" si="22"/>
        <v>1662.9519221382577</v>
      </c>
      <c r="M147" s="122"/>
      <c r="N147" s="254">
        <f t="shared" si="20"/>
        <v>1500</v>
      </c>
      <c r="O147">
        <v>1500</v>
      </c>
      <c r="P147">
        <v>3500</v>
      </c>
      <c r="Q147">
        <v>5000</v>
      </c>
      <c r="R147">
        <v>1500</v>
      </c>
      <c r="S147">
        <v>3500</v>
      </c>
      <c r="T147">
        <v>5000</v>
      </c>
      <c r="U147">
        <v>0</v>
      </c>
      <c r="V147">
        <v>0</v>
      </c>
      <c r="W147">
        <v>0</v>
      </c>
      <c r="X147" s="300">
        <v>1500</v>
      </c>
      <c r="Y147" s="300">
        <v>0</v>
      </c>
      <c r="Z147" s="300">
        <v>900</v>
      </c>
      <c r="AA147" s="300">
        <v>900</v>
      </c>
      <c r="AB147" s="302">
        <v>5000</v>
      </c>
      <c r="AC147" s="300">
        <v>1300</v>
      </c>
      <c r="AD147" s="300">
        <v>2500</v>
      </c>
      <c r="AE147" s="300">
        <v>2500</v>
      </c>
      <c r="AF147" s="300">
        <v>2500</v>
      </c>
      <c r="AG147" s="300">
        <v>2500</v>
      </c>
      <c r="AH147" s="300">
        <v>2000</v>
      </c>
      <c r="AI147" s="300">
        <v>550</v>
      </c>
      <c r="AJ147" s="300">
        <v>750</v>
      </c>
      <c r="AK147" s="300">
        <v>1500</v>
      </c>
      <c r="AL147" s="300">
        <v>1500</v>
      </c>
      <c r="AM147" s="300">
        <v>2500</v>
      </c>
      <c r="AN147" s="300">
        <v>2500</v>
      </c>
      <c r="AO147" s="300">
        <v>2500</v>
      </c>
      <c r="AP147" s="300">
        <v>800</v>
      </c>
      <c r="AQ147" s="300">
        <v>850</v>
      </c>
      <c r="AR147" s="300">
        <v>2000</v>
      </c>
      <c r="AS147" s="300">
        <v>2000</v>
      </c>
      <c r="AT147" s="300">
        <v>0</v>
      </c>
      <c r="AU147" s="300">
        <v>1500</v>
      </c>
      <c r="AV147" s="300">
        <v>1500</v>
      </c>
      <c r="AW147" s="300">
        <v>0</v>
      </c>
      <c r="AX147" s="300">
        <v>2500</v>
      </c>
      <c r="AY147" s="300">
        <v>1000</v>
      </c>
      <c r="AZ147" s="300">
        <v>1000</v>
      </c>
      <c r="BA147" s="300">
        <v>2400</v>
      </c>
      <c r="BB147" s="300">
        <v>2400</v>
      </c>
      <c r="BC147" s="302">
        <v>5000</v>
      </c>
      <c r="BD147" s="300">
        <v>710.68</v>
      </c>
      <c r="BE147" s="300">
        <v>696.77</v>
      </c>
      <c r="BF147" s="300">
        <v>784.51</v>
      </c>
      <c r="BG147" s="300">
        <v>1500</v>
      </c>
      <c r="BH147" s="300">
        <v>0</v>
      </c>
      <c r="BI147" s="300">
        <v>599.1</v>
      </c>
      <c r="BJ147" s="300">
        <v>1292</v>
      </c>
      <c r="BK147" s="300">
        <v>2300</v>
      </c>
      <c r="BL147" s="300">
        <v>2500</v>
      </c>
      <c r="BM147" s="300">
        <v>2500</v>
      </c>
      <c r="BN147" s="300">
        <v>2500</v>
      </c>
      <c r="BO147" s="300">
        <v>0</v>
      </c>
      <c r="BP147" s="300">
        <v>2050</v>
      </c>
      <c r="BQ147" s="300">
        <v>2050</v>
      </c>
      <c r="BR147" s="300">
        <v>3300</v>
      </c>
      <c r="BS147" s="302">
        <v>5000</v>
      </c>
      <c r="BT147" s="300">
        <v>2300</v>
      </c>
      <c r="BU147">
        <v>3600</v>
      </c>
      <c r="BV147" s="300">
        <v>950</v>
      </c>
      <c r="BW147" s="300">
        <v>1250</v>
      </c>
      <c r="BX147" s="300">
        <v>2100</v>
      </c>
      <c r="BY147" s="300">
        <v>600</v>
      </c>
      <c r="BZ147" s="300">
        <v>0</v>
      </c>
      <c r="CA147" s="300">
        <v>627.44000000000005</v>
      </c>
      <c r="CB147" s="300">
        <v>0</v>
      </c>
      <c r="CC147" s="300">
        <v>600</v>
      </c>
      <c r="CD147" s="300">
        <v>0</v>
      </c>
      <c r="CE147" s="300">
        <v>660</v>
      </c>
      <c r="CF147" s="300">
        <v>0</v>
      </c>
      <c r="CG147" s="300">
        <v>1800</v>
      </c>
      <c r="CH147" s="300">
        <v>2000</v>
      </c>
      <c r="CI147" s="300">
        <v>1800</v>
      </c>
      <c r="CJ147" s="300">
        <v>2000</v>
      </c>
      <c r="CK147" s="300">
        <v>3000</v>
      </c>
      <c r="CL147" s="300">
        <v>1800</v>
      </c>
      <c r="CM147" s="300">
        <v>3000</v>
      </c>
      <c r="CN147" s="300">
        <v>850</v>
      </c>
      <c r="CO147" s="300">
        <v>1650</v>
      </c>
      <c r="CP147" s="254">
        <v>24</v>
      </c>
      <c r="CQ147" s="254"/>
      <c r="CR147" s="254"/>
      <c r="CS147" s="254"/>
      <c r="CT147" s="254"/>
      <c r="CW147" s="277"/>
      <c r="CX147" s="277"/>
      <c r="CY147" s="277"/>
    </row>
    <row r="148" spans="1:103" x14ac:dyDescent="0.2">
      <c r="A148" s="254">
        <v>24.25</v>
      </c>
      <c r="B148" s="122">
        <f t="shared" si="12"/>
        <v>5.2184843781302877E-4</v>
      </c>
      <c r="C148" s="122">
        <f t="shared" si="13"/>
        <v>2.9741279144917079E-4</v>
      </c>
      <c r="D148" s="122">
        <f t="shared" si="14"/>
        <v>6.8005124490605633</v>
      </c>
      <c r="E148" s="122">
        <f t="shared" si="15"/>
        <v>4.6581074343675635</v>
      </c>
      <c r="F148" s="122">
        <f t="shared" si="21"/>
        <v>0.4461191871737562</v>
      </c>
      <c r="G148" s="299">
        <f>HLOOKUP('Input &amp; Summary'!$B$6,'AEP Input Output sheet'!$N$50:$CO$211,ROW(G148)-49,0)</f>
        <v>1500</v>
      </c>
      <c r="H148" s="122">
        <f t="shared" si="16"/>
        <v>1662.9519221382577</v>
      </c>
      <c r="I148" s="247">
        <f t="shared" si="17"/>
        <v>0.90201044301465383</v>
      </c>
      <c r="J148" s="254">
        <f t="shared" si="18"/>
        <v>17363.540807517482</v>
      </c>
      <c r="K148" s="122">
        <f t="shared" si="19"/>
        <v>6482.3723077303348</v>
      </c>
      <c r="L148" s="122">
        <f t="shared" si="22"/>
        <v>1662.9519221382577</v>
      </c>
      <c r="M148" s="122"/>
      <c r="N148" s="254">
        <f t="shared" si="20"/>
        <v>1500</v>
      </c>
      <c r="O148">
        <v>1500</v>
      </c>
      <c r="P148">
        <v>3500</v>
      </c>
      <c r="Q148">
        <v>5000</v>
      </c>
      <c r="R148">
        <v>1500</v>
      </c>
      <c r="S148">
        <v>3500</v>
      </c>
      <c r="T148">
        <v>5000</v>
      </c>
      <c r="U148">
        <v>0</v>
      </c>
      <c r="V148">
        <v>0</v>
      </c>
      <c r="W148">
        <v>0</v>
      </c>
      <c r="X148" s="300">
        <v>1500</v>
      </c>
      <c r="Y148" s="300">
        <v>0</v>
      </c>
      <c r="Z148" s="300">
        <v>900</v>
      </c>
      <c r="AA148" s="300">
        <v>900</v>
      </c>
      <c r="AB148" s="302">
        <v>5000</v>
      </c>
      <c r="AC148" s="300">
        <v>1300</v>
      </c>
      <c r="AD148" s="300">
        <v>2500</v>
      </c>
      <c r="AE148" s="300">
        <v>2500</v>
      </c>
      <c r="AF148" s="300">
        <v>2500</v>
      </c>
      <c r="AG148" s="300">
        <v>2500</v>
      </c>
      <c r="AH148" s="300">
        <v>2000</v>
      </c>
      <c r="AI148" s="300">
        <v>550</v>
      </c>
      <c r="AJ148" s="300">
        <v>750</v>
      </c>
      <c r="AK148" s="300">
        <v>1500</v>
      </c>
      <c r="AL148" s="300">
        <v>1500</v>
      </c>
      <c r="AM148" s="300">
        <v>2500</v>
      </c>
      <c r="AN148" s="300">
        <v>2500</v>
      </c>
      <c r="AO148" s="300">
        <v>2500</v>
      </c>
      <c r="AP148" s="300">
        <v>800</v>
      </c>
      <c r="AQ148" s="300">
        <v>850</v>
      </c>
      <c r="AR148" s="300">
        <v>2000</v>
      </c>
      <c r="AS148" s="300">
        <v>2000</v>
      </c>
      <c r="AT148" s="300">
        <v>0</v>
      </c>
      <c r="AU148" s="300">
        <v>1500</v>
      </c>
      <c r="AV148" s="300">
        <v>1500</v>
      </c>
      <c r="AW148" s="300">
        <v>0</v>
      </c>
      <c r="AX148" s="300">
        <v>2500</v>
      </c>
      <c r="AY148" s="300">
        <v>1000</v>
      </c>
      <c r="AZ148" s="300">
        <v>1000</v>
      </c>
      <c r="BA148" s="300">
        <v>2400</v>
      </c>
      <c r="BB148" s="300">
        <v>2400</v>
      </c>
      <c r="BC148" s="302">
        <v>5000</v>
      </c>
      <c r="BD148" s="300">
        <v>710.77</v>
      </c>
      <c r="BE148" s="300">
        <v>699.71</v>
      </c>
      <c r="BF148" s="300">
        <v>784.55</v>
      </c>
      <c r="BG148" s="300">
        <v>1500</v>
      </c>
      <c r="BH148" s="300">
        <v>0</v>
      </c>
      <c r="BI148" s="300">
        <v>599.1</v>
      </c>
      <c r="BJ148" s="300">
        <v>1292</v>
      </c>
      <c r="BK148" s="300">
        <v>2300</v>
      </c>
      <c r="BL148" s="300">
        <v>2500</v>
      </c>
      <c r="BM148" s="300">
        <v>2500</v>
      </c>
      <c r="BN148" s="300">
        <v>2500</v>
      </c>
      <c r="BO148" s="300">
        <v>0</v>
      </c>
      <c r="BP148" s="300">
        <v>2050</v>
      </c>
      <c r="BQ148" s="300">
        <v>0</v>
      </c>
      <c r="BR148" s="300">
        <v>3300</v>
      </c>
      <c r="BS148" s="302">
        <v>5000</v>
      </c>
      <c r="BT148" s="300">
        <v>2300</v>
      </c>
      <c r="BU148">
        <v>3600</v>
      </c>
      <c r="BV148" s="300">
        <v>950</v>
      </c>
      <c r="BW148" s="300">
        <v>1250</v>
      </c>
      <c r="BX148" s="300">
        <v>2100</v>
      </c>
      <c r="BY148" s="300">
        <v>600</v>
      </c>
      <c r="BZ148" s="300">
        <v>0</v>
      </c>
      <c r="CA148" s="300">
        <v>627.44000000000005</v>
      </c>
      <c r="CB148" s="300">
        <v>0</v>
      </c>
      <c r="CC148" s="300">
        <v>600</v>
      </c>
      <c r="CD148" s="300">
        <v>0</v>
      </c>
      <c r="CE148" s="300">
        <v>660</v>
      </c>
      <c r="CF148" s="300">
        <v>0</v>
      </c>
      <c r="CG148" s="300">
        <v>1800</v>
      </c>
      <c r="CH148" s="300">
        <v>2000</v>
      </c>
      <c r="CI148" s="300">
        <v>1800</v>
      </c>
      <c r="CJ148" s="300">
        <v>2000</v>
      </c>
      <c r="CK148" s="300">
        <v>3000</v>
      </c>
      <c r="CL148" s="300">
        <v>1800</v>
      </c>
      <c r="CM148" s="300">
        <v>3000</v>
      </c>
      <c r="CN148" s="300">
        <v>850</v>
      </c>
      <c r="CO148" s="300">
        <v>1650</v>
      </c>
      <c r="CP148" s="254">
        <v>24.25</v>
      </c>
      <c r="CQ148" s="254"/>
      <c r="CR148" s="254"/>
      <c r="CS148" s="254"/>
      <c r="CT148" s="254"/>
      <c r="CW148" s="277"/>
      <c r="CX148" s="277"/>
      <c r="CY148" s="277"/>
    </row>
    <row r="149" spans="1:103" x14ac:dyDescent="0.2">
      <c r="A149" s="254">
        <v>24.5</v>
      </c>
      <c r="B149" s="122">
        <f t="shared" si="12"/>
        <v>4.5593383902046855E-4</v>
      </c>
      <c r="C149" s="122">
        <f t="shared" si="13"/>
        <v>2.5426527089161198E-4</v>
      </c>
      <c r="D149" s="122">
        <f t="shared" si="14"/>
        <v>5.9955919342947865</v>
      </c>
      <c r="E149" s="122">
        <f t="shared" si="15"/>
        <v>4.1067657138736342</v>
      </c>
      <c r="F149" s="122">
        <f t="shared" si="21"/>
        <v>0.38139790633741799</v>
      </c>
      <c r="G149" s="299">
        <f>HLOOKUP('Input &amp; Summary'!$B$6,'AEP Input Output sheet'!$N$50:$CO$211,ROW(G149)-49,0)</f>
        <v>1500</v>
      </c>
      <c r="H149" s="122">
        <f t="shared" si="16"/>
        <v>1662.9519221382577</v>
      </c>
      <c r="I149" s="247">
        <f t="shared" si="17"/>
        <v>0.90201044301465383</v>
      </c>
      <c r="J149" s="254">
        <f t="shared" si="18"/>
        <v>17906.112813361407</v>
      </c>
      <c r="K149" s="122">
        <f t="shared" si="19"/>
        <v>6574.7149988980591</v>
      </c>
      <c r="L149" s="122">
        <f t="shared" si="22"/>
        <v>1662.9519221382577</v>
      </c>
      <c r="M149" s="122"/>
      <c r="N149" s="254">
        <f t="shared" si="20"/>
        <v>1500</v>
      </c>
      <c r="O149">
        <v>1500</v>
      </c>
      <c r="P149">
        <v>3500</v>
      </c>
      <c r="Q149">
        <v>5000</v>
      </c>
      <c r="R149">
        <v>1500</v>
      </c>
      <c r="S149">
        <v>3500</v>
      </c>
      <c r="T149">
        <v>5000</v>
      </c>
      <c r="U149">
        <v>0</v>
      </c>
      <c r="V149">
        <v>0</v>
      </c>
      <c r="W149">
        <v>0</v>
      </c>
      <c r="X149" s="300">
        <v>1500</v>
      </c>
      <c r="Y149" s="300">
        <v>0</v>
      </c>
      <c r="Z149" s="300">
        <v>900</v>
      </c>
      <c r="AA149" s="300">
        <v>900</v>
      </c>
      <c r="AB149" s="302">
        <v>5000</v>
      </c>
      <c r="AC149" s="300">
        <v>1300</v>
      </c>
      <c r="AD149" s="300">
        <v>2500</v>
      </c>
      <c r="AE149" s="300">
        <v>2500</v>
      </c>
      <c r="AF149" s="300">
        <v>2500</v>
      </c>
      <c r="AG149" s="300">
        <v>2500</v>
      </c>
      <c r="AH149" s="300">
        <v>2000</v>
      </c>
      <c r="AI149" s="300">
        <v>550</v>
      </c>
      <c r="AJ149" s="300">
        <v>750</v>
      </c>
      <c r="AK149" s="300">
        <v>1500</v>
      </c>
      <c r="AL149" s="300">
        <v>1500</v>
      </c>
      <c r="AM149" s="300">
        <v>2500</v>
      </c>
      <c r="AN149" s="300">
        <v>2500</v>
      </c>
      <c r="AO149" s="300">
        <v>2500</v>
      </c>
      <c r="AP149" s="300">
        <v>800</v>
      </c>
      <c r="AQ149" s="300">
        <v>850</v>
      </c>
      <c r="AR149" s="300">
        <v>2000</v>
      </c>
      <c r="AS149" s="300">
        <v>2000</v>
      </c>
      <c r="AT149" s="300">
        <v>0</v>
      </c>
      <c r="AU149" s="300">
        <v>1500</v>
      </c>
      <c r="AV149" s="300">
        <v>1500</v>
      </c>
      <c r="AW149" s="300">
        <v>0</v>
      </c>
      <c r="AX149" s="300">
        <v>2500</v>
      </c>
      <c r="AY149" s="300">
        <v>1000</v>
      </c>
      <c r="AZ149" s="300">
        <v>1000</v>
      </c>
      <c r="BA149" s="300">
        <v>2400</v>
      </c>
      <c r="BB149" s="300">
        <v>2400</v>
      </c>
      <c r="BC149" s="302">
        <v>5000</v>
      </c>
      <c r="BD149" s="300">
        <v>710.85</v>
      </c>
      <c r="BE149" s="300">
        <v>699.76</v>
      </c>
      <c r="BF149" s="300">
        <v>782.58</v>
      </c>
      <c r="BG149" s="300">
        <v>1500</v>
      </c>
      <c r="BH149" s="300">
        <v>0</v>
      </c>
      <c r="BI149" s="300">
        <v>599.1</v>
      </c>
      <c r="BJ149" s="300">
        <v>1292</v>
      </c>
      <c r="BK149" s="300">
        <v>2300</v>
      </c>
      <c r="BL149" s="300">
        <v>2500</v>
      </c>
      <c r="BM149" s="300">
        <v>2500</v>
      </c>
      <c r="BN149" s="300">
        <v>2500</v>
      </c>
      <c r="BO149" s="300">
        <v>0</v>
      </c>
      <c r="BP149" s="300">
        <v>2050</v>
      </c>
      <c r="BQ149" s="300">
        <v>0</v>
      </c>
      <c r="BR149" s="300">
        <v>3300</v>
      </c>
      <c r="BS149" s="302">
        <v>5000</v>
      </c>
      <c r="BT149" s="300">
        <v>2300</v>
      </c>
      <c r="BU149">
        <v>3600</v>
      </c>
      <c r="BV149" s="300">
        <v>950</v>
      </c>
      <c r="BW149" s="300">
        <v>1250</v>
      </c>
      <c r="BX149" s="300">
        <v>2100</v>
      </c>
      <c r="BY149" s="300">
        <v>600</v>
      </c>
      <c r="BZ149" s="300">
        <v>0</v>
      </c>
      <c r="CA149" s="300">
        <v>627.44000000000005</v>
      </c>
      <c r="CB149" s="300">
        <v>0</v>
      </c>
      <c r="CC149" s="300">
        <v>600</v>
      </c>
      <c r="CD149" s="300">
        <v>0</v>
      </c>
      <c r="CE149" s="300">
        <v>660</v>
      </c>
      <c r="CF149" s="300">
        <v>0</v>
      </c>
      <c r="CG149" s="300">
        <v>1800</v>
      </c>
      <c r="CH149" s="300">
        <v>2000</v>
      </c>
      <c r="CI149" s="300">
        <v>1800</v>
      </c>
      <c r="CJ149" s="300">
        <v>2000</v>
      </c>
      <c r="CK149" s="300">
        <v>3000</v>
      </c>
      <c r="CL149" s="300">
        <v>1800</v>
      </c>
      <c r="CM149" s="300">
        <v>3000</v>
      </c>
      <c r="CN149" s="300">
        <v>850</v>
      </c>
      <c r="CO149" s="300">
        <v>1650</v>
      </c>
      <c r="CP149" s="254">
        <v>24.5</v>
      </c>
      <c r="CQ149" s="254"/>
      <c r="CR149" s="254"/>
      <c r="CS149" s="254"/>
      <c r="CT149" s="254"/>
      <c r="CW149" s="277"/>
      <c r="CX149" s="277"/>
      <c r="CY149" s="277"/>
    </row>
    <row r="150" spans="1:103" x14ac:dyDescent="0.2">
      <c r="A150" s="254">
        <v>24.75</v>
      </c>
      <c r="B150" s="122">
        <f t="shared" si="12"/>
        <v>3.9771035143974738E-4</v>
      </c>
      <c r="C150" s="122">
        <f t="shared" si="13"/>
        <v>2.1694068396112861E-4</v>
      </c>
      <c r="D150" s="122">
        <f t="shared" si="14"/>
        <v>5.2736752518890277</v>
      </c>
      <c r="E150" s="122">
        <f t="shared" si="15"/>
        <v>3.6122786453626774</v>
      </c>
      <c r="F150" s="122">
        <f t="shared" si="21"/>
        <v>0.32541102594169291</v>
      </c>
      <c r="G150" s="299">
        <f>HLOOKUP('Input &amp; Summary'!$B$6,'AEP Input Output sheet'!$N$50:$CO$211,ROW(G150)-49,0)</f>
        <v>1500</v>
      </c>
      <c r="H150" s="122">
        <f t="shared" si="16"/>
        <v>1662.9519221382577</v>
      </c>
      <c r="I150" s="247">
        <f t="shared" si="17"/>
        <v>0.90201044301465383</v>
      </c>
      <c r="J150" s="254">
        <f t="shared" si="18"/>
        <v>18459.871478605601</v>
      </c>
      <c r="K150" s="122">
        <f t="shared" si="19"/>
        <v>6667.0576900657834</v>
      </c>
      <c r="L150" s="122">
        <f t="shared" si="22"/>
        <v>1662.9519221382577</v>
      </c>
      <c r="M150" s="122"/>
      <c r="N150" s="254">
        <f t="shared" si="20"/>
        <v>1500</v>
      </c>
      <c r="O150">
        <v>1500</v>
      </c>
      <c r="P150">
        <v>3500</v>
      </c>
      <c r="Q150">
        <v>5000</v>
      </c>
      <c r="R150">
        <v>1500</v>
      </c>
      <c r="S150">
        <v>3500</v>
      </c>
      <c r="T150">
        <v>5000</v>
      </c>
      <c r="U150">
        <v>0</v>
      </c>
      <c r="V150">
        <v>0</v>
      </c>
      <c r="W150">
        <v>0</v>
      </c>
      <c r="X150" s="300">
        <v>1500</v>
      </c>
      <c r="Y150" s="300">
        <v>0</v>
      </c>
      <c r="Z150" s="300">
        <v>900</v>
      </c>
      <c r="AA150" s="300">
        <v>900</v>
      </c>
      <c r="AB150" s="302">
        <v>5000</v>
      </c>
      <c r="AC150" s="300">
        <v>1300</v>
      </c>
      <c r="AD150" s="300">
        <v>2500</v>
      </c>
      <c r="AE150" s="300">
        <v>2500</v>
      </c>
      <c r="AF150" s="300">
        <v>2500</v>
      </c>
      <c r="AG150" s="300">
        <v>2500</v>
      </c>
      <c r="AH150" s="300">
        <v>2000</v>
      </c>
      <c r="AI150" s="300">
        <v>550</v>
      </c>
      <c r="AJ150" s="300">
        <v>750</v>
      </c>
      <c r="AK150" s="300">
        <v>1500</v>
      </c>
      <c r="AL150" s="300">
        <v>1500</v>
      </c>
      <c r="AM150" s="300">
        <v>2500</v>
      </c>
      <c r="AN150" s="300">
        <v>2500</v>
      </c>
      <c r="AO150" s="300">
        <v>2500</v>
      </c>
      <c r="AP150" s="300">
        <v>800</v>
      </c>
      <c r="AQ150" s="300">
        <v>850</v>
      </c>
      <c r="AR150" s="300">
        <v>2000</v>
      </c>
      <c r="AS150" s="300">
        <v>2000</v>
      </c>
      <c r="AT150" s="300">
        <v>0</v>
      </c>
      <c r="AU150" s="300">
        <v>1500</v>
      </c>
      <c r="AV150" s="300">
        <v>1500</v>
      </c>
      <c r="AW150" s="300">
        <v>0</v>
      </c>
      <c r="AX150" s="300">
        <v>2500</v>
      </c>
      <c r="AY150" s="300">
        <v>1000</v>
      </c>
      <c r="AZ150" s="300">
        <v>1000</v>
      </c>
      <c r="BA150" s="300">
        <v>2400</v>
      </c>
      <c r="BB150" s="300">
        <v>2400</v>
      </c>
      <c r="BC150" s="302">
        <v>5000</v>
      </c>
      <c r="BD150" s="300">
        <v>710.95</v>
      </c>
      <c r="BE150" s="300">
        <v>696.95</v>
      </c>
      <c r="BF150" s="300">
        <v>782.63</v>
      </c>
      <c r="BG150" s="300">
        <v>1500</v>
      </c>
      <c r="BH150" s="300">
        <v>0</v>
      </c>
      <c r="BI150" s="300">
        <v>599.1</v>
      </c>
      <c r="BJ150" s="300">
        <v>1292</v>
      </c>
      <c r="BK150" s="300">
        <v>2300</v>
      </c>
      <c r="BL150" s="300">
        <v>2500</v>
      </c>
      <c r="BM150" s="300">
        <v>2500</v>
      </c>
      <c r="BN150" s="300">
        <v>2500</v>
      </c>
      <c r="BO150" s="300">
        <v>0</v>
      </c>
      <c r="BP150" s="300">
        <v>2050</v>
      </c>
      <c r="BQ150" s="300">
        <v>0</v>
      </c>
      <c r="BR150" s="300">
        <v>3300</v>
      </c>
      <c r="BS150" s="302">
        <v>5000</v>
      </c>
      <c r="BT150" s="300">
        <v>2300</v>
      </c>
      <c r="BU150">
        <v>3600</v>
      </c>
      <c r="BV150" s="300">
        <v>950</v>
      </c>
      <c r="BW150" s="300">
        <v>1250</v>
      </c>
      <c r="BX150" s="300">
        <v>2100</v>
      </c>
      <c r="BY150" s="300">
        <v>600</v>
      </c>
      <c r="BZ150" s="300">
        <v>0</v>
      </c>
      <c r="CA150" s="300">
        <v>627.44000000000005</v>
      </c>
      <c r="CB150" s="300">
        <v>0</v>
      </c>
      <c r="CC150" s="300">
        <v>600</v>
      </c>
      <c r="CD150" s="300">
        <v>0</v>
      </c>
      <c r="CE150" s="300">
        <v>660</v>
      </c>
      <c r="CF150" s="300">
        <v>0</v>
      </c>
      <c r="CG150" s="300">
        <v>1800</v>
      </c>
      <c r="CH150" s="300">
        <v>2000</v>
      </c>
      <c r="CI150" s="300">
        <v>1800</v>
      </c>
      <c r="CJ150" s="300">
        <v>2000</v>
      </c>
      <c r="CK150" s="300">
        <v>3000</v>
      </c>
      <c r="CL150" s="300">
        <v>1800</v>
      </c>
      <c r="CM150" s="300">
        <v>3000</v>
      </c>
      <c r="CN150" s="300">
        <v>850</v>
      </c>
      <c r="CO150" s="300">
        <v>1650</v>
      </c>
      <c r="CP150" s="254">
        <v>24.75</v>
      </c>
      <c r="CQ150" s="254"/>
      <c r="CR150" s="254"/>
      <c r="CS150" s="254"/>
      <c r="CT150" s="254"/>
      <c r="CW150" s="277"/>
      <c r="CX150" s="277"/>
      <c r="CY150" s="277"/>
    </row>
    <row r="151" spans="1:103" x14ac:dyDescent="0.2">
      <c r="A151" s="254">
        <v>25</v>
      </c>
      <c r="B151" s="122">
        <f t="shared" si="12"/>
        <v>3.4637018530478305E-4</v>
      </c>
      <c r="C151" s="122">
        <f t="shared" si="13"/>
        <v>1.8472330265199505E-4</v>
      </c>
      <c r="D151" s="122">
        <f t="shared" si="14"/>
        <v>4.6279480866949685</v>
      </c>
      <c r="E151" s="122">
        <f t="shared" si="15"/>
        <v>0</v>
      </c>
      <c r="F151" s="122">
        <f t="shared" si="21"/>
        <v>0</v>
      </c>
      <c r="G151" s="299">
        <f>HLOOKUP('Input &amp; Summary'!$B$6,'AEP Input Output sheet'!$N$50:$CO$211,ROW(G151)-49,0)</f>
        <v>0</v>
      </c>
      <c r="H151" s="122">
        <f t="shared" si="16"/>
        <v>0</v>
      </c>
      <c r="I151" s="247">
        <f t="shared" si="17"/>
        <v>0</v>
      </c>
      <c r="J151" s="254">
        <f t="shared" si="18"/>
        <v>19024.930952835773</v>
      </c>
      <c r="K151" s="122">
        <f t="shared" si="19"/>
        <v>6759.4003812335077</v>
      </c>
      <c r="L151" s="122">
        <f t="shared" si="22"/>
        <v>1662.9519221382577</v>
      </c>
      <c r="M151" s="122"/>
      <c r="N151" s="254">
        <f t="shared" si="20"/>
        <v>0</v>
      </c>
      <c r="O151">
        <v>1500</v>
      </c>
      <c r="P151">
        <v>3500</v>
      </c>
      <c r="Q151">
        <v>5000</v>
      </c>
      <c r="R151">
        <v>1500</v>
      </c>
      <c r="S151">
        <v>3500</v>
      </c>
      <c r="T151">
        <v>5000</v>
      </c>
      <c r="U151">
        <v>0</v>
      </c>
      <c r="V151">
        <v>0</v>
      </c>
      <c r="W151">
        <v>0</v>
      </c>
      <c r="X151" s="300">
        <v>1500</v>
      </c>
      <c r="Y151" s="300">
        <v>0</v>
      </c>
      <c r="Z151" s="300">
        <v>900</v>
      </c>
      <c r="AA151" s="300">
        <v>900</v>
      </c>
      <c r="AB151" s="302">
        <v>5000</v>
      </c>
      <c r="AC151" s="300">
        <v>1300</v>
      </c>
      <c r="AD151" s="300">
        <v>2500</v>
      </c>
      <c r="AE151" s="300">
        <v>2500</v>
      </c>
      <c r="AF151" s="300">
        <v>2500</v>
      </c>
      <c r="AG151" s="300">
        <v>2500</v>
      </c>
      <c r="AH151" s="300">
        <v>2000</v>
      </c>
      <c r="AI151" s="300">
        <v>550</v>
      </c>
      <c r="AJ151" s="300">
        <v>750</v>
      </c>
      <c r="AK151" s="300">
        <v>1500</v>
      </c>
      <c r="AL151" s="300">
        <v>1500</v>
      </c>
      <c r="AM151" s="300">
        <v>2500</v>
      </c>
      <c r="AN151" s="300">
        <v>2500</v>
      </c>
      <c r="AO151" s="300">
        <v>2500</v>
      </c>
      <c r="AP151" s="300">
        <v>800</v>
      </c>
      <c r="AQ151" s="300">
        <v>850</v>
      </c>
      <c r="AR151" s="300">
        <v>2000</v>
      </c>
      <c r="AS151" s="300">
        <v>2000</v>
      </c>
      <c r="AT151" s="300">
        <v>0</v>
      </c>
      <c r="AU151" s="300">
        <v>1500</v>
      </c>
      <c r="AV151" s="300">
        <v>1500</v>
      </c>
      <c r="AW151" s="300">
        <v>0</v>
      </c>
      <c r="AX151" s="300">
        <v>2500</v>
      </c>
      <c r="AY151" s="300">
        <v>1000</v>
      </c>
      <c r="AZ151" s="300">
        <v>1000</v>
      </c>
      <c r="BA151" s="300">
        <v>2400</v>
      </c>
      <c r="BB151" s="300">
        <v>2400</v>
      </c>
      <c r="BC151" s="302">
        <v>5000</v>
      </c>
      <c r="BD151" s="300">
        <v>711.03</v>
      </c>
      <c r="BE151" s="300">
        <v>696.95</v>
      </c>
      <c r="BF151" s="300">
        <v>780.65</v>
      </c>
      <c r="BG151" s="300">
        <v>1500</v>
      </c>
      <c r="BH151" s="300">
        <v>0</v>
      </c>
      <c r="BI151" s="300">
        <v>599.1</v>
      </c>
      <c r="BJ151" s="300">
        <v>1292</v>
      </c>
      <c r="BK151" s="300">
        <v>2300</v>
      </c>
      <c r="BL151" s="300">
        <v>2500</v>
      </c>
      <c r="BM151" s="300">
        <v>2500</v>
      </c>
      <c r="BN151" s="300">
        <v>2500</v>
      </c>
      <c r="BO151" s="300">
        <v>0</v>
      </c>
      <c r="BP151" s="300">
        <v>2050</v>
      </c>
      <c r="BQ151" s="300">
        <v>0</v>
      </c>
      <c r="BR151" s="300">
        <v>3300</v>
      </c>
      <c r="BS151" s="302">
        <v>5000</v>
      </c>
      <c r="BT151" s="300">
        <v>2300</v>
      </c>
      <c r="BU151">
        <v>3600</v>
      </c>
      <c r="BV151" s="300">
        <v>950</v>
      </c>
      <c r="BW151" s="300">
        <v>1250</v>
      </c>
      <c r="BX151" s="300">
        <v>2100</v>
      </c>
      <c r="BY151" s="300">
        <v>600</v>
      </c>
      <c r="BZ151" s="300">
        <v>0</v>
      </c>
      <c r="CA151" s="300">
        <v>627.44000000000005</v>
      </c>
      <c r="CB151" s="300">
        <v>0</v>
      </c>
      <c r="CC151" s="300">
        <v>600</v>
      </c>
      <c r="CD151" s="300">
        <v>0</v>
      </c>
      <c r="CE151" s="300">
        <v>660</v>
      </c>
      <c r="CF151" s="300">
        <v>0</v>
      </c>
      <c r="CG151" s="300">
        <v>1800</v>
      </c>
      <c r="CH151" s="300">
        <v>2000</v>
      </c>
      <c r="CI151" s="300">
        <v>1800</v>
      </c>
      <c r="CJ151" s="300">
        <v>2000</v>
      </c>
      <c r="CK151" s="300">
        <v>3000</v>
      </c>
      <c r="CL151" s="300">
        <v>1800</v>
      </c>
      <c r="CM151" s="300">
        <v>3000</v>
      </c>
      <c r="CN151" s="300">
        <v>850</v>
      </c>
      <c r="CO151" s="300">
        <v>1650</v>
      </c>
      <c r="CP151" s="254">
        <v>25</v>
      </c>
      <c r="CQ151" s="254"/>
      <c r="CR151" s="254"/>
      <c r="CS151" s="254"/>
      <c r="CT151" s="254"/>
      <c r="CW151" s="277"/>
      <c r="CX151" s="277"/>
      <c r="CY151" s="277"/>
    </row>
    <row r="152" spans="1:103" x14ac:dyDescent="0.2">
      <c r="A152" s="254">
        <v>25.25</v>
      </c>
      <c r="B152" s="122">
        <f t="shared" si="12"/>
        <v>3.0117819750476139E-4</v>
      </c>
      <c r="C152" s="122">
        <f t="shared" si="13"/>
        <v>1.5697454232946133E-4</v>
      </c>
      <c r="D152" s="122">
        <f t="shared" si="14"/>
        <v>4.0519132700243086</v>
      </c>
      <c r="E152" s="122">
        <f t="shared" si="15"/>
        <v>0</v>
      </c>
      <c r="F152" s="122">
        <f t="shared" si="21"/>
        <v>0</v>
      </c>
      <c r="G152" s="299">
        <f>HLOOKUP('Input &amp; Summary'!$B$6,'AEP Input Output sheet'!$N$50:$CO$211,ROW(G152)-49,0)</f>
        <v>0</v>
      </c>
      <c r="H152" s="122">
        <f t="shared" si="16"/>
        <v>0</v>
      </c>
      <c r="I152" s="247">
        <f t="shared" si="17"/>
        <v>0</v>
      </c>
      <c r="J152" s="254">
        <f t="shared" si="18"/>
        <v>19601.405385637652</v>
      </c>
      <c r="K152" s="122">
        <f t="shared" si="19"/>
        <v>6851.743072401232</v>
      </c>
      <c r="L152" s="122">
        <f t="shared" si="22"/>
        <v>1662.9519221382577</v>
      </c>
      <c r="M152" s="122"/>
      <c r="N152" s="254">
        <f t="shared" si="20"/>
        <v>0</v>
      </c>
      <c r="O152">
        <v>0</v>
      </c>
      <c r="P152">
        <v>0</v>
      </c>
      <c r="Q152">
        <v>0</v>
      </c>
      <c r="R152">
        <v>0</v>
      </c>
      <c r="S152">
        <v>0</v>
      </c>
      <c r="T152">
        <v>0</v>
      </c>
      <c r="U152">
        <v>0</v>
      </c>
      <c r="V152">
        <v>0</v>
      </c>
      <c r="W152">
        <v>0</v>
      </c>
      <c r="X152" s="300">
        <v>0</v>
      </c>
      <c r="Y152" s="300">
        <v>0</v>
      </c>
      <c r="Z152" s="300">
        <v>0</v>
      </c>
      <c r="AA152" s="300">
        <v>0</v>
      </c>
      <c r="AB152" s="301">
        <v>0</v>
      </c>
      <c r="AC152" s="300">
        <v>0</v>
      </c>
      <c r="AD152" s="300">
        <v>0</v>
      </c>
      <c r="AE152" s="300">
        <v>0</v>
      </c>
      <c r="AF152" s="300">
        <v>0</v>
      </c>
      <c r="AG152" s="300">
        <v>0</v>
      </c>
      <c r="AH152" s="300">
        <v>0</v>
      </c>
      <c r="AI152" s="300">
        <v>0</v>
      </c>
      <c r="AJ152" s="300">
        <v>0</v>
      </c>
      <c r="AK152" s="300">
        <v>0</v>
      </c>
      <c r="AL152" s="300">
        <v>0</v>
      </c>
      <c r="AM152" s="300">
        <v>0</v>
      </c>
      <c r="AN152" s="300">
        <v>0</v>
      </c>
      <c r="AO152" s="300">
        <v>0</v>
      </c>
      <c r="AP152" s="300">
        <v>0</v>
      </c>
      <c r="AQ152" s="300">
        <v>0</v>
      </c>
      <c r="AR152" s="300">
        <v>0</v>
      </c>
      <c r="AS152" s="300">
        <v>0</v>
      </c>
      <c r="AT152" s="300">
        <v>0</v>
      </c>
      <c r="AU152" s="300">
        <v>0</v>
      </c>
      <c r="AV152" s="300">
        <v>0</v>
      </c>
      <c r="AW152" s="300">
        <v>0</v>
      </c>
      <c r="AX152" s="300">
        <v>0</v>
      </c>
      <c r="AY152" s="300">
        <v>0</v>
      </c>
      <c r="AZ152" s="300">
        <v>0</v>
      </c>
      <c r="BA152" s="300">
        <v>0</v>
      </c>
      <c r="BB152" s="300">
        <v>0</v>
      </c>
      <c r="BC152" s="301">
        <v>0</v>
      </c>
      <c r="BD152" s="300">
        <v>0</v>
      </c>
      <c r="BE152" s="300">
        <v>0</v>
      </c>
      <c r="BF152" s="300">
        <v>0</v>
      </c>
      <c r="BG152" s="300">
        <v>0</v>
      </c>
      <c r="BH152" s="300">
        <v>0</v>
      </c>
      <c r="BI152" s="300">
        <v>0</v>
      </c>
      <c r="BJ152" s="300">
        <v>0</v>
      </c>
      <c r="BK152" s="300">
        <v>0</v>
      </c>
      <c r="BL152" s="300">
        <v>0</v>
      </c>
      <c r="BM152" s="300">
        <v>0</v>
      </c>
      <c r="BN152" s="300">
        <v>0</v>
      </c>
      <c r="BO152" s="300">
        <v>0</v>
      </c>
      <c r="BP152" s="300">
        <v>0</v>
      </c>
      <c r="BQ152" s="300">
        <v>0</v>
      </c>
      <c r="BR152" s="300">
        <v>0</v>
      </c>
      <c r="BS152" s="301">
        <v>0</v>
      </c>
      <c r="BT152" s="300">
        <v>0</v>
      </c>
      <c r="BU152" s="300">
        <v>0</v>
      </c>
      <c r="BV152" s="300">
        <v>0</v>
      </c>
      <c r="BW152" s="300">
        <v>0</v>
      </c>
      <c r="BX152" s="300">
        <v>0</v>
      </c>
      <c r="BY152" s="300">
        <v>0</v>
      </c>
      <c r="BZ152" s="300">
        <v>0</v>
      </c>
      <c r="CA152" s="300">
        <v>0</v>
      </c>
      <c r="CB152" s="300">
        <v>0</v>
      </c>
      <c r="CC152" s="300">
        <v>0</v>
      </c>
      <c r="CD152" s="300">
        <v>0</v>
      </c>
      <c r="CE152" s="300">
        <v>0</v>
      </c>
      <c r="CF152" s="300">
        <v>0</v>
      </c>
      <c r="CG152" s="300">
        <v>0</v>
      </c>
      <c r="CH152" s="300">
        <v>0</v>
      </c>
      <c r="CI152" s="300">
        <v>0</v>
      </c>
      <c r="CJ152" s="300">
        <v>0</v>
      </c>
      <c r="CK152" s="300">
        <v>0</v>
      </c>
      <c r="CL152" s="300">
        <v>0</v>
      </c>
      <c r="CM152" s="300">
        <v>0</v>
      </c>
      <c r="CN152" s="300">
        <v>0</v>
      </c>
      <c r="CO152" s="300">
        <v>0</v>
      </c>
      <c r="CP152" s="254">
        <v>25.25</v>
      </c>
      <c r="CQ152" s="254"/>
      <c r="CR152" s="254"/>
      <c r="CS152" s="254"/>
      <c r="CT152" s="254"/>
      <c r="CW152" s="301"/>
      <c r="CX152" s="301"/>
      <c r="CY152" s="301"/>
    </row>
    <row r="153" spans="1:103" x14ac:dyDescent="0.2">
      <c r="A153" s="254">
        <v>25.5</v>
      </c>
      <c r="B153" s="122">
        <f t="shared" si="12"/>
        <v>2.614669699995494E-4</v>
      </c>
      <c r="C153" s="122">
        <f t="shared" si="13"/>
        <v>1.3312626489277832E-4</v>
      </c>
      <c r="D153" s="122">
        <f t="shared" si="14"/>
        <v>3.5394114907532757</v>
      </c>
      <c r="E153" s="122">
        <f t="shared" si="15"/>
        <v>0</v>
      </c>
      <c r="F153" s="122">
        <f t="shared" si="21"/>
        <v>0</v>
      </c>
      <c r="G153" s="299">
        <f>HLOOKUP('Input &amp; Summary'!$B$6,'AEP Input Output sheet'!$N$50:$CO$211,ROW(G153)-49,0)</f>
        <v>0</v>
      </c>
      <c r="H153" s="122">
        <f t="shared" si="16"/>
        <v>0</v>
      </c>
      <c r="I153" s="247">
        <f t="shared" si="17"/>
        <v>0</v>
      </c>
      <c r="J153" s="254">
        <f t="shared" si="18"/>
        <v>20189.408926596952</v>
      </c>
      <c r="K153" s="122">
        <f t="shared" si="19"/>
        <v>6944.0857635689572</v>
      </c>
      <c r="L153" s="122">
        <f t="shared" si="22"/>
        <v>1662.9519221382577</v>
      </c>
      <c r="M153" s="122"/>
      <c r="N153" s="254">
        <f t="shared" si="20"/>
        <v>0</v>
      </c>
      <c r="O153">
        <v>0</v>
      </c>
      <c r="P153">
        <v>0</v>
      </c>
      <c r="Q153">
        <v>0</v>
      </c>
      <c r="R153">
        <v>0</v>
      </c>
      <c r="S153">
        <v>0</v>
      </c>
      <c r="T153">
        <v>0</v>
      </c>
      <c r="U153">
        <v>0</v>
      </c>
      <c r="V153">
        <v>0</v>
      </c>
      <c r="W153">
        <v>0</v>
      </c>
      <c r="X153" s="300">
        <v>0</v>
      </c>
      <c r="Y153" s="300">
        <v>0</v>
      </c>
      <c r="Z153" s="300">
        <v>0</v>
      </c>
      <c r="AA153" s="300">
        <v>0</v>
      </c>
      <c r="AB153" s="301">
        <v>0</v>
      </c>
      <c r="AC153" s="300">
        <v>0</v>
      </c>
      <c r="AD153" s="300">
        <v>0</v>
      </c>
      <c r="AE153" s="300">
        <v>0</v>
      </c>
      <c r="AF153" s="300">
        <v>0</v>
      </c>
      <c r="AG153" s="300">
        <v>0</v>
      </c>
      <c r="AH153" s="300">
        <v>0</v>
      </c>
      <c r="AI153" s="300">
        <v>0</v>
      </c>
      <c r="AJ153" s="300">
        <v>0</v>
      </c>
      <c r="AK153" s="300">
        <v>0</v>
      </c>
      <c r="AL153" s="300">
        <v>0</v>
      </c>
      <c r="AM153" s="300">
        <v>0</v>
      </c>
      <c r="AN153" s="300">
        <v>0</v>
      </c>
      <c r="AO153" s="300">
        <v>0</v>
      </c>
      <c r="AP153" s="300">
        <v>0</v>
      </c>
      <c r="AQ153" s="300">
        <v>0</v>
      </c>
      <c r="AR153" s="300">
        <v>0</v>
      </c>
      <c r="AS153" s="300">
        <v>0</v>
      </c>
      <c r="AT153" s="300">
        <v>0</v>
      </c>
      <c r="AU153" s="300">
        <v>0</v>
      </c>
      <c r="AV153" s="300">
        <v>0</v>
      </c>
      <c r="AW153" s="300">
        <v>0</v>
      </c>
      <c r="AX153" s="300">
        <v>0</v>
      </c>
      <c r="AY153" s="300">
        <v>0</v>
      </c>
      <c r="AZ153" s="300">
        <v>0</v>
      </c>
      <c r="BA153" s="300">
        <v>0</v>
      </c>
      <c r="BB153" s="300">
        <v>0</v>
      </c>
      <c r="BC153" s="301">
        <v>0</v>
      </c>
      <c r="BD153" s="300">
        <v>0</v>
      </c>
      <c r="BE153" s="300">
        <v>0</v>
      </c>
      <c r="BF153" s="300">
        <v>0</v>
      </c>
      <c r="BG153" s="300">
        <v>0</v>
      </c>
      <c r="BH153" s="300">
        <v>0</v>
      </c>
      <c r="BI153" s="300">
        <v>0</v>
      </c>
      <c r="BJ153" s="300">
        <v>0</v>
      </c>
      <c r="BK153" s="300">
        <v>0</v>
      </c>
      <c r="BL153" s="300">
        <v>0</v>
      </c>
      <c r="BM153" s="300">
        <v>0</v>
      </c>
      <c r="BN153" s="300">
        <v>0</v>
      </c>
      <c r="BO153" s="300">
        <v>0</v>
      </c>
      <c r="BP153" s="300">
        <v>0</v>
      </c>
      <c r="BQ153" s="300">
        <v>0</v>
      </c>
      <c r="BR153" s="300">
        <v>0</v>
      </c>
      <c r="BS153" s="301">
        <v>0</v>
      </c>
      <c r="BT153" s="300">
        <v>0</v>
      </c>
      <c r="BU153" s="300">
        <v>0</v>
      </c>
      <c r="BV153" s="300">
        <v>0</v>
      </c>
      <c r="BW153" s="300">
        <v>0</v>
      </c>
      <c r="BX153" s="300">
        <v>0</v>
      </c>
      <c r="BY153" s="300">
        <v>0</v>
      </c>
      <c r="BZ153" s="300">
        <v>0</v>
      </c>
      <c r="CA153" s="300">
        <v>0</v>
      </c>
      <c r="CB153" s="300">
        <v>0</v>
      </c>
      <c r="CC153" s="300">
        <v>0</v>
      </c>
      <c r="CD153" s="300">
        <v>0</v>
      </c>
      <c r="CE153" s="300">
        <v>0</v>
      </c>
      <c r="CF153" s="300">
        <v>0</v>
      </c>
      <c r="CG153" s="300">
        <v>0</v>
      </c>
      <c r="CH153" s="300">
        <v>0</v>
      </c>
      <c r="CI153" s="300">
        <v>0</v>
      </c>
      <c r="CJ153" s="300">
        <v>0</v>
      </c>
      <c r="CK153" s="300">
        <v>0</v>
      </c>
      <c r="CL153" s="300">
        <v>0</v>
      </c>
      <c r="CM153" s="300">
        <v>0</v>
      </c>
      <c r="CN153" s="300">
        <v>0</v>
      </c>
      <c r="CO153" s="300">
        <v>0</v>
      </c>
      <c r="CP153" s="254">
        <v>25.5</v>
      </c>
      <c r="CQ153" s="254"/>
      <c r="CR153" s="254"/>
      <c r="CS153" s="254"/>
      <c r="CT153" s="254"/>
      <c r="CW153" s="301"/>
      <c r="CX153" s="301"/>
      <c r="CY153" s="301"/>
    </row>
    <row r="154" spans="1:103" x14ac:dyDescent="0.2">
      <c r="A154" s="254">
        <v>25.75</v>
      </c>
      <c r="B154" s="122">
        <f t="shared" si="12"/>
        <v>2.2663200744787361E-4</v>
      </c>
      <c r="C154" s="122">
        <f t="shared" si="13"/>
        <v>1.1267442469589577E-4</v>
      </c>
      <c r="D154" s="122">
        <f t="shared" si="14"/>
        <v>3.084635251119705</v>
      </c>
      <c r="E154" s="122">
        <f t="shared" si="15"/>
        <v>0</v>
      </c>
      <c r="F154" s="122">
        <f t="shared" si="21"/>
        <v>0</v>
      </c>
      <c r="G154" s="299">
        <f>HLOOKUP('Input &amp; Summary'!$B$6,'AEP Input Output sheet'!$N$50:$CO$211,ROW(G154)-49,0)</f>
        <v>0</v>
      </c>
      <c r="H154" s="122">
        <f t="shared" si="16"/>
        <v>0</v>
      </c>
      <c r="I154" s="247">
        <f t="shared" si="17"/>
        <v>0</v>
      </c>
      <c r="J154" s="254">
        <f t="shared" si="18"/>
        <v>20789.055725299375</v>
      </c>
      <c r="K154" s="122">
        <f t="shared" si="19"/>
        <v>7036.4284547366815</v>
      </c>
      <c r="L154" s="122">
        <f t="shared" si="22"/>
        <v>1662.9519221382577</v>
      </c>
      <c r="M154" s="122"/>
      <c r="N154" s="254">
        <f t="shared" si="20"/>
        <v>0</v>
      </c>
      <c r="O154">
        <v>0</v>
      </c>
      <c r="P154">
        <v>0</v>
      </c>
      <c r="Q154">
        <v>0</v>
      </c>
      <c r="R154">
        <v>0</v>
      </c>
      <c r="S154">
        <v>0</v>
      </c>
      <c r="T154">
        <v>0</v>
      </c>
      <c r="U154">
        <v>0</v>
      </c>
      <c r="V154">
        <v>0</v>
      </c>
      <c r="W154">
        <v>0</v>
      </c>
      <c r="X154" s="300">
        <v>0</v>
      </c>
      <c r="Y154" s="300">
        <v>0</v>
      </c>
      <c r="Z154" s="300">
        <v>0</v>
      </c>
      <c r="AA154" s="300">
        <v>0</v>
      </c>
      <c r="AB154" s="301">
        <v>0</v>
      </c>
      <c r="AC154" s="300">
        <v>0</v>
      </c>
      <c r="AD154" s="300">
        <v>0</v>
      </c>
      <c r="AE154" s="300">
        <v>0</v>
      </c>
      <c r="AF154" s="300">
        <v>0</v>
      </c>
      <c r="AG154" s="300">
        <v>0</v>
      </c>
      <c r="AH154" s="300">
        <v>0</v>
      </c>
      <c r="AI154" s="300">
        <v>0</v>
      </c>
      <c r="AJ154" s="300">
        <v>0</v>
      </c>
      <c r="AK154" s="300">
        <v>0</v>
      </c>
      <c r="AL154" s="300">
        <v>0</v>
      </c>
      <c r="AM154" s="300">
        <v>0</v>
      </c>
      <c r="AN154" s="300">
        <v>0</v>
      </c>
      <c r="AO154" s="300">
        <v>0</v>
      </c>
      <c r="AP154" s="300">
        <v>0</v>
      </c>
      <c r="AQ154" s="300">
        <v>0</v>
      </c>
      <c r="AR154" s="300">
        <v>0</v>
      </c>
      <c r="AS154" s="300">
        <v>0</v>
      </c>
      <c r="AT154" s="300">
        <v>0</v>
      </c>
      <c r="AU154" s="300">
        <v>0</v>
      </c>
      <c r="AV154" s="300">
        <v>0</v>
      </c>
      <c r="AW154" s="300">
        <v>0</v>
      </c>
      <c r="AX154" s="300">
        <v>0</v>
      </c>
      <c r="AY154" s="300">
        <v>0</v>
      </c>
      <c r="AZ154" s="300">
        <v>0</v>
      </c>
      <c r="BA154" s="300">
        <v>0</v>
      </c>
      <c r="BB154" s="300">
        <v>0</v>
      </c>
      <c r="BC154" s="301">
        <v>0</v>
      </c>
      <c r="BD154" s="300">
        <v>0</v>
      </c>
      <c r="BE154" s="300">
        <v>0</v>
      </c>
      <c r="BF154" s="300">
        <v>0</v>
      </c>
      <c r="BG154" s="300">
        <v>0</v>
      </c>
      <c r="BH154" s="300">
        <v>0</v>
      </c>
      <c r="BI154" s="300">
        <v>0</v>
      </c>
      <c r="BJ154" s="300">
        <v>0</v>
      </c>
      <c r="BK154" s="300">
        <v>0</v>
      </c>
      <c r="BL154" s="300">
        <v>0</v>
      </c>
      <c r="BM154" s="300">
        <v>0</v>
      </c>
      <c r="BN154" s="300">
        <v>0</v>
      </c>
      <c r="BO154" s="300">
        <v>0</v>
      </c>
      <c r="BP154" s="300">
        <v>0</v>
      </c>
      <c r="BQ154" s="300">
        <v>0</v>
      </c>
      <c r="BR154" s="300">
        <v>0</v>
      </c>
      <c r="BS154" s="301">
        <v>0</v>
      </c>
      <c r="BT154" s="300">
        <v>0</v>
      </c>
      <c r="BU154" s="300">
        <v>0</v>
      </c>
      <c r="BV154" s="300">
        <v>0</v>
      </c>
      <c r="BW154" s="300">
        <v>0</v>
      </c>
      <c r="BX154" s="300">
        <v>0</v>
      </c>
      <c r="BY154" s="300">
        <v>0</v>
      </c>
      <c r="BZ154" s="300">
        <v>0</v>
      </c>
      <c r="CA154" s="300">
        <v>0</v>
      </c>
      <c r="CB154" s="300">
        <v>0</v>
      </c>
      <c r="CC154" s="300">
        <v>0</v>
      </c>
      <c r="CD154" s="300">
        <v>0</v>
      </c>
      <c r="CE154" s="300">
        <v>0</v>
      </c>
      <c r="CF154" s="300">
        <v>0</v>
      </c>
      <c r="CG154" s="300">
        <v>0</v>
      </c>
      <c r="CH154" s="300">
        <v>0</v>
      </c>
      <c r="CI154" s="300">
        <v>0</v>
      </c>
      <c r="CJ154" s="300">
        <v>0</v>
      </c>
      <c r="CK154" s="300">
        <v>0</v>
      </c>
      <c r="CL154" s="300">
        <v>0</v>
      </c>
      <c r="CM154" s="300">
        <v>0</v>
      </c>
      <c r="CN154" s="300">
        <v>0</v>
      </c>
      <c r="CO154" s="300">
        <v>0</v>
      </c>
      <c r="CP154" s="254">
        <v>25.75</v>
      </c>
      <c r="CQ154" s="254"/>
      <c r="CR154" s="254"/>
      <c r="CS154" s="254"/>
      <c r="CT154" s="254"/>
      <c r="CW154" s="301"/>
      <c r="CX154" s="301"/>
      <c r="CY154" s="301"/>
    </row>
    <row r="155" spans="1:103" x14ac:dyDescent="0.2">
      <c r="A155" s="254">
        <v>26</v>
      </c>
      <c r="B155" s="122">
        <f t="shared" si="12"/>
        <v>1.9612708392324426E-4</v>
      </c>
      <c r="C155" s="122">
        <f t="shared" si="13"/>
        <v>9.5173077277645171E-5</v>
      </c>
      <c r="D155" s="122">
        <f t="shared" si="14"/>
        <v>2.68213679252238</v>
      </c>
      <c r="E155" s="122">
        <f t="shared" si="15"/>
        <v>0</v>
      </c>
      <c r="F155" s="122">
        <f t="shared" si="21"/>
        <v>0</v>
      </c>
      <c r="G155" s="299">
        <f>HLOOKUP('Input &amp; Summary'!$B$6,'AEP Input Output sheet'!$N$50:$CO$211,ROW(G155)-49,0)</f>
        <v>0</v>
      </c>
      <c r="H155" s="122">
        <f t="shared" si="16"/>
        <v>0</v>
      </c>
      <c r="I155" s="247">
        <f t="shared" si="17"/>
        <v>0</v>
      </c>
      <c r="J155" s="254">
        <f t="shared" si="18"/>
        <v>21400.459931330661</v>
      </c>
      <c r="K155" s="122">
        <f t="shared" si="19"/>
        <v>7128.7711459044049</v>
      </c>
      <c r="L155" s="122">
        <f t="shared" si="22"/>
        <v>1662.9519221382577</v>
      </c>
      <c r="M155" s="122"/>
      <c r="N155" s="254">
        <f t="shared" si="20"/>
        <v>0</v>
      </c>
      <c r="O155">
        <v>0</v>
      </c>
      <c r="P155">
        <v>0</v>
      </c>
      <c r="Q155">
        <v>0</v>
      </c>
      <c r="R155">
        <v>0</v>
      </c>
      <c r="S155">
        <v>0</v>
      </c>
      <c r="T155">
        <v>0</v>
      </c>
      <c r="U155">
        <v>0</v>
      </c>
      <c r="V155">
        <v>0</v>
      </c>
      <c r="W155">
        <v>0</v>
      </c>
      <c r="X155" s="300">
        <v>0</v>
      </c>
      <c r="Y155" s="300">
        <v>0</v>
      </c>
      <c r="Z155" s="300">
        <v>0</v>
      </c>
      <c r="AA155" s="300">
        <v>0</v>
      </c>
      <c r="AB155" s="301">
        <v>0</v>
      </c>
      <c r="AC155" s="300">
        <v>0</v>
      </c>
      <c r="AD155" s="300">
        <v>0</v>
      </c>
      <c r="AE155" s="300">
        <v>0</v>
      </c>
      <c r="AF155" s="300">
        <v>0</v>
      </c>
      <c r="AG155" s="300">
        <v>0</v>
      </c>
      <c r="AH155" s="300">
        <v>0</v>
      </c>
      <c r="AI155" s="300">
        <v>0</v>
      </c>
      <c r="AJ155" s="300">
        <v>0</v>
      </c>
      <c r="AK155" s="300">
        <v>0</v>
      </c>
      <c r="AL155" s="300">
        <v>0</v>
      </c>
      <c r="AM155" s="300">
        <v>0</v>
      </c>
      <c r="AN155" s="300">
        <v>0</v>
      </c>
      <c r="AO155" s="300">
        <v>0</v>
      </c>
      <c r="AP155" s="300">
        <v>0</v>
      </c>
      <c r="AQ155" s="300">
        <v>0</v>
      </c>
      <c r="AR155" s="300">
        <v>0</v>
      </c>
      <c r="AS155" s="300">
        <v>0</v>
      </c>
      <c r="AT155" s="300">
        <v>0</v>
      </c>
      <c r="AU155" s="300">
        <v>0</v>
      </c>
      <c r="AV155" s="300">
        <v>0</v>
      </c>
      <c r="AW155" s="300">
        <v>0</v>
      </c>
      <c r="AX155" s="300">
        <v>0</v>
      </c>
      <c r="AY155" s="300">
        <v>0</v>
      </c>
      <c r="AZ155" s="300">
        <v>0</v>
      </c>
      <c r="BA155" s="300">
        <v>0</v>
      </c>
      <c r="BB155" s="300">
        <v>0</v>
      </c>
      <c r="BC155" s="301">
        <v>0</v>
      </c>
      <c r="BD155" s="300">
        <v>0</v>
      </c>
      <c r="BE155" s="300">
        <v>0</v>
      </c>
      <c r="BF155" s="300">
        <v>0</v>
      </c>
      <c r="BG155" s="300">
        <v>0</v>
      </c>
      <c r="BH155" s="300">
        <v>0</v>
      </c>
      <c r="BI155" s="300">
        <v>0</v>
      </c>
      <c r="BJ155" s="300">
        <v>0</v>
      </c>
      <c r="BK155" s="300">
        <v>0</v>
      </c>
      <c r="BL155" s="300">
        <v>0</v>
      </c>
      <c r="BM155" s="300">
        <v>0</v>
      </c>
      <c r="BN155" s="300">
        <v>0</v>
      </c>
      <c r="BO155" s="300">
        <v>0</v>
      </c>
      <c r="BP155" s="300">
        <v>0</v>
      </c>
      <c r="BQ155" s="300">
        <v>0</v>
      </c>
      <c r="BR155" s="300">
        <v>0</v>
      </c>
      <c r="BS155" s="301">
        <v>0</v>
      </c>
      <c r="BT155" s="300">
        <v>0</v>
      </c>
      <c r="BU155" s="300">
        <v>0</v>
      </c>
      <c r="BV155" s="300">
        <v>0</v>
      </c>
      <c r="BW155" s="300">
        <v>0</v>
      </c>
      <c r="BX155" s="300">
        <v>0</v>
      </c>
      <c r="BY155" s="300">
        <v>0</v>
      </c>
      <c r="BZ155" s="300">
        <v>0</v>
      </c>
      <c r="CA155" s="300">
        <v>0</v>
      </c>
      <c r="CB155" s="300">
        <v>0</v>
      </c>
      <c r="CC155" s="300">
        <v>0</v>
      </c>
      <c r="CD155" s="300">
        <v>0</v>
      </c>
      <c r="CE155" s="300">
        <v>0</v>
      </c>
      <c r="CF155" s="300">
        <v>0</v>
      </c>
      <c r="CG155" s="300">
        <v>0</v>
      </c>
      <c r="CH155" s="300">
        <v>0</v>
      </c>
      <c r="CI155" s="300">
        <v>0</v>
      </c>
      <c r="CJ155" s="300">
        <v>0</v>
      </c>
      <c r="CK155" s="300">
        <v>0</v>
      </c>
      <c r="CL155" s="300">
        <v>0</v>
      </c>
      <c r="CM155" s="300">
        <v>0</v>
      </c>
      <c r="CN155" s="300">
        <v>0</v>
      </c>
      <c r="CO155" s="300">
        <v>0</v>
      </c>
      <c r="CP155" s="254">
        <v>26</v>
      </c>
      <c r="CQ155" s="254"/>
      <c r="CR155" s="254"/>
      <c r="CS155" s="254"/>
      <c r="CT155" s="254"/>
      <c r="CW155" s="301"/>
      <c r="CX155" s="301"/>
      <c r="CY155" s="301"/>
    </row>
    <row r="156" spans="1:103" x14ac:dyDescent="0.2">
      <c r="A156" s="254">
        <v>26.25</v>
      </c>
      <c r="B156" s="122">
        <f t="shared" si="12"/>
        <v>1.6945976277489219E-4</v>
      </c>
      <c r="C156" s="122">
        <f t="shared" si="13"/>
        <v>8.0228763054640895E-5</v>
      </c>
      <c r="D156" s="122">
        <f t="shared" si="14"/>
        <v>2.3268307128811823</v>
      </c>
      <c r="E156" s="122">
        <f t="shared" si="15"/>
        <v>0</v>
      </c>
      <c r="F156" s="122">
        <f t="shared" si="21"/>
        <v>0</v>
      </c>
      <c r="G156" s="299">
        <f>HLOOKUP('Input &amp; Summary'!$B$6,'AEP Input Output sheet'!$N$50:$CO$211,ROW(G156)-49,0)</f>
        <v>0</v>
      </c>
      <c r="H156" s="122">
        <f t="shared" si="16"/>
        <v>0</v>
      </c>
      <c r="I156" s="247">
        <f t="shared" si="17"/>
        <v>0</v>
      </c>
      <c r="J156" s="254">
        <f t="shared" si="18"/>
        <v>22023.735694276507</v>
      </c>
      <c r="K156" s="122">
        <f t="shared" si="19"/>
        <v>7221.1138370721292</v>
      </c>
      <c r="L156" s="122">
        <f t="shared" si="22"/>
        <v>1662.9519221382577</v>
      </c>
      <c r="M156" s="122"/>
      <c r="N156" s="254">
        <f t="shared" si="20"/>
        <v>0</v>
      </c>
      <c r="O156">
        <v>0</v>
      </c>
      <c r="P156">
        <v>0</v>
      </c>
      <c r="Q156">
        <v>0</v>
      </c>
      <c r="R156">
        <v>0</v>
      </c>
      <c r="S156">
        <v>0</v>
      </c>
      <c r="T156">
        <v>0</v>
      </c>
      <c r="U156">
        <v>0</v>
      </c>
      <c r="V156">
        <v>0</v>
      </c>
      <c r="W156">
        <v>0</v>
      </c>
      <c r="X156" s="300">
        <v>0</v>
      </c>
      <c r="Y156" s="300">
        <v>0</v>
      </c>
      <c r="Z156" s="300">
        <v>0</v>
      </c>
      <c r="AA156" s="300">
        <v>0</v>
      </c>
      <c r="AB156" s="301">
        <v>0</v>
      </c>
      <c r="AC156" s="300">
        <v>0</v>
      </c>
      <c r="AD156" s="300">
        <v>0</v>
      </c>
      <c r="AE156" s="300">
        <v>0</v>
      </c>
      <c r="AF156" s="300">
        <v>0</v>
      </c>
      <c r="AG156" s="300">
        <v>0</v>
      </c>
      <c r="AH156" s="300">
        <v>0</v>
      </c>
      <c r="AI156" s="300">
        <v>0</v>
      </c>
      <c r="AJ156" s="300">
        <v>0</v>
      </c>
      <c r="AK156" s="300">
        <v>0</v>
      </c>
      <c r="AL156" s="300">
        <v>0</v>
      </c>
      <c r="AM156" s="300">
        <v>0</v>
      </c>
      <c r="AN156" s="300">
        <v>0</v>
      </c>
      <c r="AO156" s="300">
        <v>0</v>
      </c>
      <c r="AP156" s="300">
        <v>0</v>
      </c>
      <c r="AQ156" s="300">
        <v>0</v>
      </c>
      <c r="AR156" s="300">
        <v>0</v>
      </c>
      <c r="AS156" s="300">
        <v>0</v>
      </c>
      <c r="AT156" s="300">
        <v>0</v>
      </c>
      <c r="AU156" s="300">
        <v>0</v>
      </c>
      <c r="AV156" s="300">
        <v>0</v>
      </c>
      <c r="AW156" s="300">
        <v>0</v>
      </c>
      <c r="AX156" s="300">
        <v>0</v>
      </c>
      <c r="AY156" s="300">
        <v>0</v>
      </c>
      <c r="AZ156" s="300">
        <v>0</v>
      </c>
      <c r="BA156" s="300">
        <v>0</v>
      </c>
      <c r="BB156" s="300">
        <v>0</v>
      </c>
      <c r="BC156" s="301">
        <v>0</v>
      </c>
      <c r="BD156" s="300">
        <v>0</v>
      </c>
      <c r="BE156" s="300">
        <v>0</v>
      </c>
      <c r="BF156" s="300">
        <v>0</v>
      </c>
      <c r="BG156" s="300">
        <v>0</v>
      </c>
      <c r="BH156" s="300">
        <v>0</v>
      </c>
      <c r="BI156" s="300">
        <v>0</v>
      </c>
      <c r="BJ156" s="300">
        <v>0</v>
      </c>
      <c r="BK156" s="300">
        <v>0</v>
      </c>
      <c r="BL156" s="300">
        <v>0</v>
      </c>
      <c r="BM156" s="300">
        <v>0</v>
      </c>
      <c r="BN156" s="300">
        <v>0</v>
      </c>
      <c r="BO156" s="300">
        <v>0</v>
      </c>
      <c r="BP156" s="300">
        <v>0</v>
      </c>
      <c r="BQ156" s="300">
        <v>0</v>
      </c>
      <c r="BR156" s="300">
        <v>0</v>
      </c>
      <c r="BS156" s="301">
        <v>0</v>
      </c>
      <c r="BT156" s="300">
        <v>0</v>
      </c>
      <c r="BU156" s="300">
        <v>0</v>
      </c>
      <c r="BV156" s="300">
        <v>0</v>
      </c>
      <c r="BW156" s="300">
        <v>0</v>
      </c>
      <c r="BX156" s="300">
        <v>0</v>
      </c>
      <c r="BY156" s="300">
        <v>0</v>
      </c>
      <c r="BZ156" s="300">
        <v>0</v>
      </c>
      <c r="CA156" s="300">
        <v>0</v>
      </c>
      <c r="CB156" s="300">
        <v>0</v>
      </c>
      <c r="CC156" s="300">
        <v>0</v>
      </c>
      <c r="CD156" s="300">
        <v>0</v>
      </c>
      <c r="CE156" s="300">
        <v>0</v>
      </c>
      <c r="CF156" s="300">
        <v>0</v>
      </c>
      <c r="CG156" s="300">
        <v>0</v>
      </c>
      <c r="CH156" s="300">
        <v>0</v>
      </c>
      <c r="CI156" s="300">
        <v>0</v>
      </c>
      <c r="CJ156" s="300">
        <v>0</v>
      </c>
      <c r="CK156" s="300">
        <v>0</v>
      </c>
      <c r="CL156" s="300">
        <v>0</v>
      </c>
      <c r="CM156" s="300">
        <v>0</v>
      </c>
      <c r="CN156" s="300">
        <v>0</v>
      </c>
      <c r="CO156" s="300">
        <v>0</v>
      </c>
      <c r="CP156" s="254">
        <v>26.25</v>
      </c>
      <c r="CQ156" s="254"/>
      <c r="CR156" s="254"/>
      <c r="CS156" s="254"/>
      <c r="CT156" s="254"/>
      <c r="CW156" s="301"/>
      <c r="CX156" s="301"/>
      <c r="CY156" s="301"/>
    </row>
    <row r="157" spans="1:103" x14ac:dyDescent="0.2">
      <c r="A157" s="254">
        <v>26.5</v>
      </c>
      <c r="B157" s="122">
        <f t="shared" si="12"/>
        <v>1.4618710839037964E-4</v>
      </c>
      <c r="C157" s="122">
        <f t="shared" si="13"/>
        <v>6.7495271278697263E-5</v>
      </c>
      <c r="D157" s="122">
        <f t="shared" si="14"/>
        <v>2.0139919808641218</v>
      </c>
      <c r="E157" s="122">
        <f t="shared" si="15"/>
        <v>0</v>
      </c>
      <c r="F157" s="122">
        <f t="shared" si="21"/>
        <v>0</v>
      </c>
      <c r="G157" s="299">
        <f>HLOOKUP('Input &amp; Summary'!$B$6,'AEP Input Output sheet'!$N$50:$CO$211,ROW(G157)-49,0)</f>
        <v>0</v>
      </c>
      <c r="H157" s="122">
        <f t="shared" si="16"/>
        <v>0</v>
      </c>
      <c r="I157" s="247">
        <f t="shared" si="17"/>
        <v>0</v>
      </c>
      <c r="J157" s="254">
        <f t="shared" si="18"/>
        <v>22658.997163722652</v>
      </c>
      <c r="K157" s="122">
        <f t="shared" si="19"/>
        <v>7313.4565282398535</v>
      </c>
      <c r="L157" s="122">
        <f t="shared" si="22"/>
        <v>1662.9519221382577</v>
      </c>
      <c r="M157" s="122"/>
      <c r="N157" s="254">
        <f t="shared" si="20"/>
        <v>0</v>
      </c>
      <c r="O157">
        <v>0</v>
      </c>
      <c r="P157">
        <v>0</v>
      </c>
      <c r="Q157">
        <v>0</v>
      </c>
      <c r="R157">
        <v>0</v>
      </c>
      <c r="S157">
        <v>0</v>
      </c>
      <c r="T157">
        <v>0</v>
      </c>
      <c r="U157">
        <v>0</v>
      </c>
      <c r="V157">
        <v>0</v>
      </c>
      <c r="W157">
        <v>0</v>
      </c>
      <c r="X157" s="300">
        <v>0</v>
      </c>
      <c r="Y157" s="300">
        <v>0</v>
      </c>
      <c r="Z157" s="300">
        <v>0</v>
      </c>
      <c r="AA157" s="300">
        <v>0</v>
      </c>
      <c r="AB157" s="301">
        <v>0</v>
      </c>
      <c r="AC157" s="300">
        <v>0</v>
      </c>
      <c r="AD157" s="300">
        <v>0</v>
      </c>
      <c r="AE157" s="300">
        <v>0</v>
      </c>
      <c r="AF157" s="300">
        <v>0</v>
      </c>
      <c r="AG157" s="300">
        <v>0</v>
      </c>
      <c r="AH157" s="300">
        <v>0</v>
      </c>
      <c r="AI157" s="300">
        <v>0</v>
      </c>
      <c r="AJ157" s="300">
        <v>0</v>
      </c>
      <c r="AK157" s="300">
        <v>0</v>
      </c>
      <c r="AL157" s="300">
        <v>0</v>
      </c>
      <c r="AM157" s="300">
        <v>0</v>
      </c>
      <c r="AN157" s="300">
        <v>0</v>
      </c>
      <c r="AO157" s="300">
        <v>0</v>
      </c>
      <c r="AP157" s="300">
        <v>0</v>
      </c>
      <c r="AQ157" s="300">
        <v>0</v>
      </c>
      <c r="AR157" s="300">
        <v>0</v>
      </c>
      <c r="AS157" s="300">
        <v>0</v>
      </c>
      <c r="AT157" s="300">
        <v>0</v>
      </c>
      <c r="AU157" s="300">
        <v>0</v>
      </c>
      <c r="AV157" s="300">
        <v>0</v>
      </c>
      <c r="AW157" s="300">
        <v>0</v>
      </c>
      <c r="AX157" s="300">
        <v>0</v>
      </c>
      <c r="AY157" s="300">
        <v>0</v>
      </c>
      <c r="AZ157" s="300">
        <v>0</v>
      </c>
      <c r="BA157" s="300">
        <v>0</v>
      </c>
      <c r="BB157" s="300">
        <v>0</v>
      </c>
      <c r="BC157" s="301">
        <v>0</v>
      </c>
      <c r="BD157" s="300">
        <v>0</v>
      </c>
      <c r="BE157" s="300">
        <v>0</v>
      </c>
      <c r="BF157" s="300">
        <v>0</v>
      </c>
      <c r="BG157" s="300">
        <v>0</v>
      </c>
      <c r="BH157" s="300">
        <v>0</v>
      </c>
      <c r="BI157" s="300">
        <v>0</v>
      </c>
      <c r="BJ157" s="300">
        <v>0</v>
      </c>
      <c r="BK157" s="300">
        <v>0</v>
      </c>
      <c r="BL157" s="300">
        <v>0</v>
      </c>
      <c r="BM157" s="300">
        <v>0</v>
      </c>
      <c r="BN157" s="300">
        <v>0</v>
      </c>
      <c r="BO157" s="300">
        <v>0</v>
      </c>
      <c r="BP157" s="300">
        <v>0</v>
      </c>
      <c r="BQ157" s="300">
        <v>0</v>
      </c>
      <c r="BR157" s="300">
        <v>0</v>
      </c>
      <c r="BS157" s="301">
        <v>0</v>
      </c>
      <c r="BT157" s="300">
        <v>0</v>
      </c>
      <c r="BU157" s="300">
        <v>0</v>
      </c>
      <c r="BV157" s="300">
        <v>0</v>
      </c>
      <c r="BW157" s="300">
        <v>0</v>
      </c>
      <c r="BX157" s="300">
        <v>0</v>
      </c>
      <c r="BY157" s="300">
        <v>0</v>
      </c>
      <c r="BZ157" s="300">
        <v>0</v>
      </c>
      <c r="CA157" s="300">
        <v>0</v>
      </c>
      <c r="CB157" s="300">
        <v>0</v>
      </c>
      <c r="CC157" s="300">
        <v>0</v>
      </c>
      <c r="CD157" s="300">
        <v>0</v>
      </c>
      <c r="CE157" s="300">
        <v>0</v>
      </c>
      <c r="CF157" s="300">
        <v>0</v>
      </c>
      <c r="CG157" s="300">
        <v>0</v>
      </c>
      <c r="CH157" s="300">
        <v>0</v>
      </c>
      <c r="CI157" s="300">
        <v>0</v>
      </c>
      <c r="CJ157" s="300">
        <v>0</v>
      </c>
      <c r="CK157" s="300">
        <v>0</v>
      </c>
      <c r="CL157" s="300">
        <v>0</v>
      </c>
      <c r="CM157" s="300">
        <v>0</v>
      </c>
      <c r="CN157" s="300">
        <v>0</v>
      </c>
      <c r="CO157" s="300">
        <v>0</v>
      </c>
      <c r="CP157" s="254">
        <v>26.5</v>
      </c>
      <c r="CQ157" s="254"/>
      <c r="CR157" s="254"/>
      <c r="CS157" s="254"/>
      <c r="CT157" s="254"/>
      <c r="CW157" s="301"/>
      <c r="CX157" s="301"/>
      <c r="CY157" s="301"/>
    </row>
    <row r="158" spans="1:103" x14ac:dyDescent="0.2">
      <c r="A158" s="254">
        <v>26.75</v>
      </c>
      <c r="B158" s="122">
        <f t="shared" si="12"/>
        <v>1.2591160383325573E-4</v>
      </c>
      <c r="C158" s="122">
        <f t="shared" si="13"/>
        <v>5.6668783706725479E-5</v>
      </c>
      <c r="D158" s="122">
        <f t="shared" si="14"/>
        <v>1.73925002563817</v>
      </c>
      <c r="E158" s="122">
        <f t="shared" si="15"/>
        <v>0</v>
      </c>
      <c r="F158" s="122">
        <f t="shared" si="21"/>
        <v>0</v>
      </c>
      <c r="G158" s="299">
        <f>HLOOKUP('Input &amp; Summary'!$B$6,'AEP Input Output sheet'!$N$50:$CO$211,ROW(G158)-49,0)</f>
        <v>0</v>
      </c>
      <c r="H158" s="122">
        <f t="shared" si="16"/>
        <v>0</v>
      </c>
      <c r="I158" s="247">
        <f t="shared" si="17"/>
        <v>0</v>
      </c>
      <c r="J158" s="254">
        <f t="shared" si="18"/>
        <v>23306.358489254802</v>
      </c>
      <c r="K158" s="122">
        <f t="shared" si="19"/>
        <v>7405.7992194075778</v>
      </c>
      <c r="L158" s="122">
        <f t="shared" si="22"/>
        <v>1662.9519221382577</v>
      </c>
      <c r="M158" s="122"/>
      <c r="N158" s="254">
        <f t="shared" si="20"/>
        <v>0</v>
      </c>
      <c r="O158">
        <v>0</v>
      </c>
      <c r="P158">
        <v>0</v>
      </c>
      <c r="Q158">
        <v>0</v>
      </c>
      <c r="R158">
        <v>0</v>
      </c>
      <c r="S158">
        <v>0</v>
      </c>
      <c r="T158">
        <v>0</v>
      </c>
      <c r="U158">
        <v>0</v>
      </c>
      <c r="V158">
        <v>0</v>
      </c>
      <c r="W158">
        <v>0</v>
      </c>
      <c r="X158" s="300">
        <v>0</v>
      </c>
      <c r="Y158" s="300">
        <v>0</v>
      </c>
      <c r="Z158" s="300">
        <v>0</v>
      </c>
      <c r="AA158" s="300">
        <v>0</v>
      </c>
      <c r="AB158" s="301">
        <v>0</v>
      </c>
      <c r="AC158" s="300">
        <v>0</v>
      </c>
      <c r="AD158" s="300">
        <v>0</v>
      </c>
      <c r="AE158" s="300">
        <v>0</v>
      </c>
      <c r="AF158" s="300">
        <v>0</v>
      </c>
      <c r="AG158" s="300">
        <v>0</v>
      </c>
      <c r="AH158" s="300">
        <v>0</v>
      </c>
      <c r="AI158" s="300">
        <v>0</v>
      </c>
      <c r="AJ158" s="300">
        <v>0</v>
      </c>
      <c r="AK158" s="300">
        <v>0</v>
      </c>
      <c r="AL158" s="300">
        <v>0</v>
      </c>
      <c r="AM158" s="300">
        <v>0</v>
      </c>
      <c r="AN158" s="300">
        <v>0</v>
      </c>
      <c r="AO158" s="300">
        <v>0</v>
      </c>
      <c r="AP158" s="300">
        <v>0</v>
      </c>
      <c r="AQ158" s="300">
        <v>0</v>
      </c>
      <c r="AR158" s="300">
        <v>0</v>
      </c>
      <c r="AS158" s="300">
        <v>0</v>
      </c>
      <c r="AT158" s="300">
        <v>0</v>
      </c>
      <c r="AU158" s="300">
        <v>0</v>
      </c>
      <c r="AV158" s="300">
        <v>0</v>
      </c>
      <c r="AW158" s="300">
        <v>0</v>
      </c>
      <c r="AX158" s="300">
        <v>0</v>
      </c>
      <c r="AY158" s="300">
        <v>0</v>
      </c>
      <c r="AZ158" s="300">
        <v>0</v>
      </c>
      <c r="BA158" s="300">
        <v>0</v>
      </c>
      <c r="BB158" s="300">
        <v>0</v>
      </c>
      <c r="BC158" s="301">
        <v>0</v>
      </c>
      <c r="BD158" s="300">
        <v>0</v>
      </c>
      <c r="BE158" s="300">
        <v>0</v>
      </c>
      <c r="BF158" s="300">
        <v>0</v>
      </c>
      <c r="BG158" s="300">
        <v>0</v>
      </c>
      <c r="BH158" s="300">
        <v>0</v>
      </c>
      <c r="BI158" s="300">
        <v>0</v>
      </c>
      <c r="BJ158" s="300">
        <v>0</v>
      </c>
      <c r="BK158" s="300">
        <v>0</v>
      </c>
      <c r="BL158" s="300">
        <v>0</v>
      </c>
      <c r="BM158" s="300">
        <v>0</v>
      </c>
      <c r="BN158" s="300">
        <v>0</v>
      </c>
      <c r="BO158" s="300">
        <v>0</v>
      </c>
      <c r="BP158" s="300">
        <v>0</v>
      </c>
      <c r="BQ158" s="300">
        <v>0</v>
      </c>
      <c r="BR158" s="300">
        <v>0</v>
      </c>
      <c r="BS158" s="301">
        <v>0</v>
      </c>
      <c r="BT158" s="300">
        <v>0</v>
      </c>
      <c r="BU158" s="300">
        <v>0</v>
      </c>
      <c r="BV158" s="300">
        <v>0</v>
      </c>
      <c r="BW158" s="300">
        <v>0</v>
      </c>
      <c r="BX158" s="300">
        <v>0</v>
      </c>
      <c r="BY158" s="300">
        <v>0</v>
      </c>
      <c r="BZ158" s="300">
        <v>0</v>
      </c>
      <c r="CA158" s="300">
        <v>0</v>
      </c>
      <c r="CB158" s="300">
        <v>0</v>
      </c>
      <c r="CC158" s="300">
        <v>0</v>
      </c>
      <c r="CD158" s="300">
        <v>0</v>
      </c>
      <c r="CE158" s="300">
        <v>0</v>
      </c>
      <c r="CF158" s="300">
        <v>0</v>
      </c>
      <c r="CG158" s="300">
        <v>0</v>
      </c>
      <c r="CH158" s="300">
        <v>0</v>
      </c>
      <c r="CI158" s="300">
        <v>0</v>
      </c>
      <c r="CJ158" s="300">
        <v>0</v>
      </c>
      <c r="CK158" s="300">
        <v>0</v>
      </c>
      <c r="CL158" s="300">
        <v>0</v>
      </c>
      <c r="CM158" s="300">
        <v>0</v>
      </c>
      <c r="CN158" s="300">
        <v>0</v>
      </c>
      <c r="CO158" s="300">
        <v>0</v>
      </c>
      <c r="CP158" s="254">
        <v>26.75</v>
      </c>
      <c r="CQ158" s="254"/>
      <c r="CR158" s="254"/>
      <c r="CS158" s="254"/>
      <c r="CT158" s="254"/>
      <c r="CW158" s="301"/>
      <c r="CX158" s="301"/>
      <c r="CY158" s="301"/>
    </row>
    <row r="159" spans="1:103" x14ac:dyDescent="0.2">
      <c r="A159" s="254">
        <v>27</v>
      </c>
      <c r="B159" s="122">
        <f t="shared" si="12"/>
        <v>1.0827728405557277E-4</v>
      </c>
      <c r="C159" s="122">
        <f t="shared" si="13"/>
        <v>4.7483392514790418E-5</v>
      </c>
      <c r="D159" s="122">
        <f t="shared" si="14"/>
        <v>1.4985795457847957</v>
      </c>
      <c r="E159" s="122">
        <f t="shared" si="15"/>
        <v>0</v>
      </c>
      <c r="F159" s="122">
        <f t="shared" si="21"/>
        <v>0</v>
      </c>
      <c r="G159" s="299">
        <f>HLOOKUP('Input &amp; Summary'!$B$6,'AEP Input Output sheet'!$N$50:$CO$211,ROW(G159)-49,0)</f>
        <v>0</v>
      </c>
      <c r="H159" s="122">
        <f t="shared" si="16"/>
        <v>0</v>
      </c>
      <c r="I159" s="247">
        <f t="shared" si="17"/>
        <v>0</v>
      </c>
      <c r="J159" s="254">
        <f t="shared" si="18"/>
        <v>23965.933820458657</v>
      </c>
      <c r="K159" s="122">
        <f t="shared" si="19"/>
        <v>7498.141910575303</v>
      </c>
      <c r="L159" s="122">
        <f t="shared" si="22"/>
        <v>1662.9519221382577</v>
      </c>
      <c r="M159" s="122"/>
      <c r="N159" s="254">
        <f t="shared" si="20"/>
        <v>0</v>
      </c>
      <c r="O159">
        <v>0</v>
      </c>
      <c r="P159">
        <v>0</v>
      </c>
      <c r="Q159">
        <v>0</v>
      </c>
      <c r="R159">
        <v>0</v>
      </c>
      <c r="S159">
        <v>0</v>
      </c>
      <c r="T159">
        <v>0</v>
      </c>
      <c r="U159">
        <v>0</v>
      </c>
      <c r="V159">
        <v>0</v>
      </c>
      <c r="W159">
        <v>0</v>
      </c>
      <c r="X159" s="300">
        <v>0</v>
      </c>
      <c r="Y159" s="300">
        <v>0</v>
      </c>
      <c r="Z159" s="300">
        <v>0</v>
      </c>
      <c r="AA159" s="300">
        <v>0</v>
      </c>
      <c r="AB159" s="301">
        <v>0</v>
      </c>
      <c r="AC159" s="300">
        <v>0</v>
      </c>
      <c r="AD159" s="300">
        <v>0</v>
      </c>
      <c r="AE159" s="300">
        <v>0</v>
      </c>
      <c r="AF159" s="300">
        <v>0</v>
      </c>
      <c r="AG159" s="300">
        <v>0</v>
      </c>
      <c r="AH159" s="300">
        <v>0</v>
      </c>
      <c r="AI159" s="300">
        <v>0</v>
      </c>
      <c r="AJ159" s="300">
        <v>0</v>
      </c>
      <c r="AK159" s="300">
        <v>0</v>
      </c>
      <c r="AL159" s="300">
        <v>0</v>
      </c>
      <c r="AM159" s="300">
        <v>0</v>
      </c>
      <c r="AN159" s="300">
        <v>0</v>
      </c>
      <c r="AO159" s="300">
        <v>0</v>
      </c>
      <c r="AP159" s="300">
        <v>0</v>
      </c>
      <c r="AQ159" s="300">
        <v>0</v>
      </c>
      <c r="AR159" s="300">
        <v>0</v>
      </c>
      <c r="AS159" s="300">
        <v>0</v>
      </c>
      <c r="AT159" s="300">
        <v>0</v>
      </c>
      <c r="AU159" s="300">
        <v>0</v>
      </c>
      <c r="AV159" s="300">
        <v>0</v>
      </c>
      <c r="AW159" s="300">
        <v>0</v>
      </c>
      <c r="AX159" s="300">
        <v>0</v>
      </c>
      <c r="AY159" s="300">
        <v>0</v>
      </c>
      <c r="AZ159" s="300">
        <v>0</v>
      </c>
      <c r="BA159" s="300">
        <v>0</v>
      </c>
      <c r="BB159" s="300">
        <v>0</v>
      </c>
      <c r="BC159" s="301">
        <v>0</v>
      </c>
      <c r="BD159" s="300">
        <v>0</v>
      </c>
      <c r="BE159" s="300">
        <v>0</v>
      </c>
      <c r="BF159" s="300">
        <v>0</v>
      </c>
      <c r="BG159" s="300">
        <v>0</v>
      </c>
      <c r="BH159" s="300">
        <v>0</v>
      </c>
      <c r="BI159" s="300">
        <v>0</v>
      </c>
      <c r="BJ159" s="300">
        <v>0</v>
      </c>
      <c r="BK159" s="300">
        <v>0</v>
      </c>
      <c r="BL159" s="300">
        <v>0</v>
      </c>
      <c r="BM159" s="300">
        <v>0</v>
      </c>
      <c r="BN159" s="300">
        <v>0</v>
      </c>
      <c r="BO159" s="300">
        <v>0</v>
      </c>
      <c r="BP159" s="300">
        <v>0</v>
      </c>
      <c r="BQ159" s="300">
        <v>0</v>
      </c>
      <c r="BR159" s="300">
        <v>0</v>
      </c>
      <c r="BS159" s="301">
        <v>0</v>
      </c>
      <c r="BT159" s="300">
        <v>0</v>
      </c>
      <c r="BU159" s="300">
        <v>0</v>
      </c>
      <c r="BV159" s="300">
        <v>0</v>
      </c>
      <c r="BW159" s="300">
        <v>0</v>
      </c>
      <c r="BX159" s="300">
        <v>0</v>
      </c>
      <c r="BY159" s="300">
        <v>0</v>
      </c>
      <c r="BZ159" s="300">
        <v>0</v>
      </c>
      <c r="CA159" s="300">
        <v>0</v>
      </c>
      <c r="CB159" s="300">
        <v>0</v>
      </c>
      <c r="CC159" s="300">
        <v>0</v>
      </c>
      <c r="CD159" s="300">
        <v>0</v>
      </c>
      <c r="CE159" s="300">
        <v>0</v>
      </c>
      <c r="CF159" s="300">
        <v>0</v>
      </c>
      <c r="CG159" s="300">
        <v>0</v>
      </c>
      <c r="CH159" s="300">
        <v>0</v>
      </c>
      <c r="CI159" s="300">
        <v>0</v>
      </c>
      <c r="CJ159" s="300">
        <v>0</v>
      </c>
      <c r="CK159" s="300">
        <v>0</v>
      </c>
      <c r="CL159" s="300">
        <v>0</v>
      </c>
      <c r="CM159" s="300">
        <v>0</v>
      </c>
      <c r="CN159" s="300">
        <v>0</v>
      </c>
      <c r="CO159" s="300">
        <v>0</v>
      </c>
      <c r="CP159" s="254">
        <v>27</v>
      </c>
      <c r="CQ159" s="254"/>
      <c r="CR159" s="254"/>
      <c r="CS159" s="254"/>
      <c r="CT159" s="254"/>
      <c r="CW159" s="301"/>
      <c r="CX159" s="301"/>
      <c r="CY159" s="301"/>
    </row>
    <row r="160" spans="1:103" x14ac:dyDescent="0.2">
      <c r="A160" s="254">
        <v>27.25</v>
      </c>
      <c r="B160" s="122">
        <f t="shared" si="12"/>
        <v>9.296609060699408E-5</v>
      </c>
      <c r="C160" s="122">
        <f t="shared" si="13"/>
        <v>3.9706982941557984E-5</v>
      </c>
      <c r="D160" s="122">
        <f t="shared" si="14"/>
        <v>1.2882886395558872</v>
      </c>
      <c r="E160" s="122">
        <f t="shared" si="15"/>
        <v>0</v>
      </c>
      <c r="F160" s="122">
        <f t="shared" si="21"/>
        <v>0</v>
      </c>
      <c r="G160" s="299">
        <f>HLOOKUP('Input &amp; Summary'!$B$6,'AEP Input Output sheet'!$N$50:$CO$211,ROW(G160)-49,0)</f>
        <v>0</v>
      </c>
      <c r="H160" s="122">
        <f t="shared" si="16"/>
        <v>0</v>
      </c>
      <c r="I160" s="247">
        <f t="shared" si="17"/>
        <v>0</v>
      </c>
      <c r="J160" s="254">
        <f t="shared" si="18"/>
        <v>24637.837306919959</v>
      </c>
      <c r="K160" s="122">
        <f t="shared" si="19"/>
        <v>7590.4846017430273</v>
      </c>
      <c r="L160" s="122">
        <f t="shared" si="22"/>
        <v>1662.9519221382577</v>
      </c>
      <c r="M160" s="122"/>
      <c r="N160" s="254">
        <f t="shared" si="20"/>
        <v>0</v>
      </c>
      <c r="O160">
        <v>0</v>
      </c>
      <c r="P160">
        <v>0</v>
      </c>
      <c r="Q160">
        <v>0</v>
      </c>
      <c r="R160">
        <v>0</v>
      </c>
      <c r="S160">
        <v>0</v>
      </c>
      <c r="T160">
        <v>0</v>
      </c>
      <c r="U160">
        <v>0</v>
      </c>
      <c r="V160">
        <v>0</v>
      </c>
      <c r="W160">
        <v>0</v>
      </c>
      <c r="X160" s="300">
        <v>0</v>
      </c>
      <c r="Y160" s="300">
        <v>0</v>
      </c>
      <c r="Z160" s="300">
        <v>0</v>
      </c>
      <c r="AA160" s="300">
        <v>0</v>
      </c>
      <c r="AB160" s="301">
        <v>0</v>
      </c>
      <c r="AC160" s="300">
        <v>0</v>
      </c>
      <c r="AD160" s="300">
        <v>0</v>
      </c>
      <c r="AE160" s="300">
        <v>0</v>
      </c>
      <c r="AF160" s="300">
        <v>0</v>
      </c>
      <c r="AG160" s="300">
        <v>0</v>
      </c>
      <c r="AH160" s="300">
        <v>0</v>
      </c>
      <c r="AI160" s="300">
        <v>0</v>
      </c>
      <c r="AJ160" s="300">
        <v>0</v>
      </c>
      <c r="AK160" s="300">
        <v>0</v>
      </c>
      <c r="AL160" s="300">
        <v>0</v>
      </c>
      <c r="AM160" s="300">
        <v>0</v>
      </c>
      <c r="AN160" s="300">
        <v>0</v>
      </c>
      <c r="AO160" s="300">
        <v>0</v>
      </c>
      <c r="AP160" s="300">
        <v>0</v>
      </c>
      <c r="AQ160" s="300">
        <v>0</v>
      </c>
      <c r="AR160" s="300">
        <v>0</v>
      </c>
      <c r="AS160" s="300">
        <v>0</v>
      </c>
      <c r="AT160" s="300">
        <v>0</v>
      </c>
      <c r="AU160" s="300">
        <v>0</v>
      </c>
      <c r="AV160" s="300">
        <v>0</v>
      </c>
      <c r="AW160" s="300">
        <v>0</v>
      </c>
      <c r="AX160" s="300">
        <v>0</v>
      </c>
      <c r="AY160" s="300">
        <v>0</v>
      </c>
      <c r="AZ160" s="300">
        <v>0</v>
      </c>
      <c r="BA160" s="300">
        <v>0</v>
      </c>
      <c r="BB160" s="300">
        <v>0</v>
      </c>
      <c r="BC160" s="301">
        <v>0</v>
      </c>
      <c r="BD160" s="300">
        <v>0</v>
      </c>
      <c r="BE160" s="300">
        <v>0</v>
      </c>
      <c r="BF160" s="300">
        <v>0</v>
      </c>
      <c r="BG160" s="300">
        <v>0</v>
      </c>
      <c r="BH160" s="300">
        <v>0</v>
      </c>
      <c r="BI160" s="300">
        <v>0</v>
      </c>
      <c r="BJ160" s="300">
        <v>0</v>
      </c>
      <c r="BK160" s="300">
        <v>0</v>
      </c>
      <c r="BL160" s="300">
        <v>0</v>
      </c>
      <c r="BM160" s="300">
        <v>0</v>
      </c>
      <c r="BN160" s="300">
        <v>0</v>
      </c>
      <c r="BO160" s="300">
        <v>0</v>
      </c>
      <c r="BP160" s="300">
        <v>0</v>
      </c>
      <c r="BQ160" s="300">
        <v>0</v>
      </c>
      <c r="BR160" s="300">
        <v>0</v>
      </c>
      <c r="BS160" s="301">
        <v>0</v>
      </c>
      <c r="BT160" s="300">
        <v>0</v>
      </c>
      <c r="BU160" s="300">
        <v>0</v>
      </c>
      <c r="BV160" s="300">
        <v>0</v>
      </c>
      <c r="BW160" s="300">
        <v>0</v>
      </c>
      <c r="BX160" s="300">
        <v>0</v>
      </c>
      <c r="BY160" s="300">
        <v>0</v>
      </c>
      <c r="BZ160" s="300">
        <v>0</v>
      </c>
      <c r="CA160" s="300">
        <v>0</v>
      </c>
      <c r="CB160" s="300">
        <v>0</v>
      </c>
      <c r="CC160" s="300">
        <v>0</v>
      </c>
      <c r="CD160" s="300">
        <v>0</v>
      </c>
      <c r="CE160" s="300">
        <v>0</v>
      </c>
      <c r="CF160" s="300">
        <v>0</v>
      </c>
      <c r="CG160" s="300">
        <v>0</v>
      </c>
      <c r="CH160" s="300">
        <v>0</v>
      </c>
      <c r="CI160" s="300">
        <v>0</v>
      </c>
      <c r="CJ160" s="300">
        <v>0</v>
      </c>
      <c r="CK160" s="300">
        <v>0</v>
      </c>
      <c r="CL160" s="300">
        <v>0</v>
      </c>
      <c r="CM160" s="300">
        <v>0</v>
      </c>
      <c r="CN160" s="300">
        <v>0</v>
      </c>
      <c r="CO160" s="300">
        <v>0</v>
      </c>
      <c r="CP160" s="254">
        <v>27.25</v>
      </c>
      <c r="CQ160" s="254"/>
      <c r="CR160" s="254"/>
      <c r="CS160" s="254"/>
      <c r="CT160" s="254"/>
      <c r="CW160" s="301"/>
      <c r="CX160" s="301"/>
      <c r="CY160" s="301"/>
    </row>
    <row r="161" spans="1:103" x14ac:dyDescent="0.2">
      <c r="A161" s="254">
        <v>27.5</v>
      </c>
      <c r="B161" s="122">
        <f t="shared" si="12"/>
        <v>7.9694450459910542E-5</v>
      </c>
      <c r="C161" s="122">
        <f t="shared" si="13"/>
        <v>3.3137467896972542E-5</v>
      </c>
      <c r="D161" s="122">
        <f t="shared" si="14"/>
        <v>1.1050048125085399</v>
      </c>
      <c r="E161" s="122">
        <f t="shared" si="15"/>
        <v>0</v>
      </c>
      <c r="F161" s="122">
        <f t="shared" si="21"/>
        <v>0</v>
      </c>
      <c r="G161" s="299">
        <f>HLOOKUP('Input &amp; Summary'!$B$6,'AEP Input Output sheet'!$N$50:$CO$211,ROW(G161)-49,0)</f>
        <v>0</v>
      </c>
      <c r="H161" s="122">
        <f t="shared" si="16"/>
        <v>0</v>
      </c>
      <c r="I161" s="247">
        <f t="shared" si="17"/>
        <v>0</v>
      </c>
      <c r="J161" s="254">
        <f t="shared" si="18"/>
        <v>25322.18309822441</v>
      </c>
      <c r="K161" s="122">
        <f t="shared" si="19"/>
        <v>7682.8272929107516</v>
      </c>
      <c r="L161" s="122">
        <f t="shared" si="22"/>
        <v>1662.9519221382577</v>
      </c>
      <c r="M161" s="122"/>
      <c r="N161" s="254">
        <f t="shared" si="20"/>
        <v>0</v>
      </c>
      <c r="O161">
        <v>0</v>
      </c>
      <c r="P161">
        <v>0</v>
      </c>
      <c r="Q161">
        <v>0</v>
      </c>
      <c r="R161">
        <v>0</v>
      </c>
      <c r="S161">
        <v>0</v>
      </c>
      <c r="T161">
        <v>0</v>
      </c>
      <c r="U161">
        <v>0</v>
      </c>
      <c r="V161">
        <v>0</v>
      </c>
      <c r="W161">
        <v>0</v>
      </c>
      <c r="X161" s="300">
        <v>0</v>
      </c>
      <c r="Y161" s="300">
        <v>0</v>
      </c>
      <c r="Z161" s="300">
        <v>0</v>
      </c>
      <c r="AA161" s="300">
        <v>0</v>
      </c>
      <c r="AB161" s="301">
        <v>0</v>
      </c>
      <c r="AC161" s="300">
        <v>0</v>
      </c>
      <c r="AD161" s="300">
        <v>0</v>
      </c>
      <c r="AE161" s="300">
        <v>0</v>
      </c>
      <c r="AF161" s="300">
        <v>0</v>
      </c>
      <c r="AG161" s="300">
        <v>0</v>
      </c>
      <c r="AH161" s="300">
        <v>0</v>
      </c>
      <c r="AI161" s="300">
        <v>0</v>
      </c>
      <c r="AJ161" s="300">
        <v>0</v>
      </c>
      <c r="AK161" s="300">
        <v>0</v>
      </c>
      <c r="AL161" s="300">
        <v>0</v>
      </c>
      <c r="AM161" s="300">
        <v>0</v>
      </c>
      <c r="AN161" s="300">
        <v>0</v>
      </c>
      <c r="AO161" s="300">
        <v>0</v>
      </c>
      <c r="AP161" s="300">
        <v>0</v>
      </c>
      <c r="AQ161" s="300">
        <v>0</v>
      </c>
      <c r="AR161" s="300">
        <v>0</v>
      </c>
      <c r="AS161" s="300">
        <v>0</v>
      </c>
      <c r="AT161" s="300">
        <v>0</v>
      </c>
      <c r="AU161" s="300">
        <v>0</v>
      </c>
      <c r="AV161" s="300">
        <v>0</v>
      </c>
      <c r="AW161" s="300">
        <v>0</v>
      </c>
      <c r="AX161" s="300">
        <v>0</v>
      </c>
      <c r="AY161" s="300">
        <v>0</v>
      </c>
      <c r="AZ161" s="300">
        <v>0</v>
      </c>
      <c r="BA161" s="300">
        <v>0</v>
      </c>
      <c r="BB161" s="300">
        <v>0</v>
      </c>
      <c r="BC161" s="301">
        <v>0</v>
      </c>
      <c r="BD161" s="300">
        <v>0</v>
      </c>
      <c r="BE161" s="300">
        <v>0</v>
      </c>
      <c r="BF161" s="300">
        <v>0</v>
      </c>
      <c r="BG161" s="300">
        <v>0</v>
      </c>
      <c r="BH161" s="300">
        <v>0</v>
      </c>
      <c r="BI161" s="300">
        <v>0</v>
      </c>
      <c r="BJ161" s="300">
        <v>0</v>
      </c>
      <c r="BK161" s="300">
        <v>0</v>
      </c>
      <c r="BL161" s="300">
        <v>0</v>
      </c>
      <c r="BM161" s="300">
        <v>0</v>
      </c>
      <c r="BN161" s="300">
        <v>0</v>
      </c>
      <c r="BO161" s="300">
        <v>0</v>
      </c>
      <c r="BP161" s="300">
        <v>0</v>
      </c>
      <c r="BQ161" s="300">
        <v>0</v>
      </c>
      <c r="BR161" s="300">
        <v>0</v>
      </c>
      <c r="BS161" s="301">
        <v>0</v>
      </c>
      <c r="BT161" s="300">
        <v>0</v>
      </c>
      <c r="BU161" s="300">
        <v>0</v>
      </c>
      <c r="BV161" s="300">
        <v>0</v>
      </c>
      <c r="BW161" s="300">
        <v>0</v>
      </c>
      <c r="BX161" s="300">
        <v>0</v>
      </c>
      <c r="BY161" s="300">
        <v>0</v>
      </c>
      <c r="BZ161" s="300">
        <v>0</v>
      </c>
      <c r="CA161" s="300">
        <v>0</v>
      </c>
      <c r="CB161" s="300">
        <v>0</v>
      </c>
      <c r="CC161" s="300">
        <v>0</v>
      </c>
      <c r="CD161" s="300">
        <v>0</v>
      </c>
      <c r="CE161" s="300">
        <v>0</v>
      </c>
      <c r="CF161" s="300">
        <v>0</v>
      </c>
      <c r="CG161" s="300">
        <v>0</v>
      </c>
      <c r="CH161" s="300">
        <v>0</v>
      </c>
      <c r="CI161" s="300">
        <v>0</v>
      </c>
      <c r="CJ161" s="300">
        <v>0</v>
      </c>
      <c r="CK161" s="300">
        <v>0</v>
      </c>
      <c r="CL161" s="300">
        <v>0</v>
      </c>
      <c r="CM161" s="300">
        <v>0</v>
      </c>
      <c r="CN161" s="300">
        <v>0</v>
      </c>
      <c r="CO161" s="300">
        <v>0</v>
      </c>
      <c r="CP161" s="254">
        <v>27.5</v>
      </c>
      <c r="CQ161" s="254"/>
      <c r="CR161" s="254"/>
      <c r="CS161" s="254"/>
      <c r="CT161" s="254"/>
      <c r="CW161" s="301"/>
      <c r="CX161" s="301"/>
      <c r="CY161" s="301"/>
    </row>
    <row r="162" spans="1:103" x14ac:dyDescent="0.2">
      <c r="A162" s="254">
        <v>27.75</v>
      </c>
      <c r="B162" s="122">
        <f t="shared" si="12"/>
        <v>6.8210078719412376E-5</v>
      </c>
      <c r="C162" s="122">
        <f t="shared" si="13"/>
        <v>2.759935924399789E-5</v>
      </c>
      <c r="D162" s="122">
        <f t="shared" si="14"/>
        <v>0.94565936936050077</v>
      </c>
      <c r="E162" s="122">
        <f t="shared" si="15"/>
        <v>0</v>
      </c>
      <c r="F162" s="122">
        <f t="shared" si="21"/>
        <v>0</v>
      </c>
      <c r="G162" s="299">
        <f>HLOOKUP('Input &amp; Summary'!$B$6,'AEP Input Output sheet'!$N$50:$CO$211,ROW(G162)-49,0)</f>
        <v>0</v>
      </c>
      <c r="H162" s="122">
        <f t="shared" si="16"/>
        <v>0</v>
      </c>
      <c r="I162" s="247">
        <f t="shared" si="17"/>
        <v>0</v>
      </c>
      <c r="J162" s="254">
        <f t="shared" si="18"/>
        <v>26019.08534395774</v>
      </c>
      <c r="K162" s="122">
        <f t="shared" si="19"/>
        <v>7775.1699840784759</v>
      </c>
      <c r="L162" s="122">
        <f t="shared" si="22"/>
        <v>1662.9519221382577</v>
      </c>
      <c r="M162" s="122"/>
      <c r="N162" s="254">
        <f t="shared" si="20"/>
        <v>0</v>
      </c>
      <c r="O162">
        <v>0</v>
      </c>
      <c r="P162">
        <v>0</v>
      </c>
      <c r="Q162">
        <v>0</v>
      </c>
      <c r="R162">
        <v>0</v>
      </c>
      <c r="S162">
        <v>0</v>
      </c>
      <c r="T162">
        <v>0</v>
      </c>
      <c r="U162">
        <v>0</v>
      </c>
      <c r="V162">
        <v>0</v>
      </c>
      <c r="W162">
        <v>0</v>
      </c>
      <c r="X162" s="300">
        <v>0</v>
      </c>
      <c r="Y162" s="300">
        <v>0</v>
      </c>
      <c r="Z162" s="300">
        <v>0</v>
      </c>
      <c r="AA162" s="300">
        <v>0</v>
      </c>
      <c r="AB162" s="301">
        <v>0</v>
      </c>
      <c r="AC162" s="300">
        <v>0</v>
      </c>
      <c r="AD162" s="300">
        <v>0</v>
      </c>
      <c r="AE162" s="300">
        <v>0</v>
      </c>
      <c r="AF162" s="300">
        <v>0</v>
      </c>
      <c r="AG162" s="300">
        <v>0</v>
      </c>
      <c r="AH162" s="300">
        <v>0</v>
      </c>
      <c r="AI162" s="300">
        <v>0</v>
      </c>
      <c r="AJ162" s="300">
        <v>0</v>
      </c>
      <c r="AK162" s="300">
        <v>0</v>
      </c>
      <c r="AL162" s="300">
        <v>0</v>
      </c>
      <c r="AM162" s="300">
        <v>0</v>
      </c>
      <c r="AN162" s="300">
        <v>0</v>
      </c>
      <c r="AO162" s="300">
        <v>0</v>
      </c>
      <c r="AP162" s="300">
        <v>0</v>
      </c>
      <c r="AQ162" s="300">
        <v>0</v>
      </c>
      <c r="AR162" s="300">
        <v>0</v>
      </c>
      <c r="AS162" s="300">
        <v>0</v>
      </c>
      <c r="AT162" s="300">
        <v>0</v>
      </c>
      <c r="AU162" s="300">
        <v>0</v>
      </c>
      <c r="AV162" s="300">
        <v>0</v>
      </c>
      <c r="AW162" s="300">
        <v>0</v>
      </c>
      <c r="AX162" s="300">
        <v>0</v>
      </c>
      <c r="AY162" s="300">
        <v>0</v>
      </c>
      <c r="AZ162" s="300">
        <v>0</v>
      </c>
      <c r="BA162" s="300">
        <v>0</v>
      </c>
      <c r="BB162" s="300">
        <v>0</v>
      </c>
      <c r="BC162" s="301">
        <v>0</v>
      </c>
      <c r="BD162" s="300">
        <v>0</v>
      </c>
      <c r="BE162" s="300">
        <v>0</v>
      </c>
      <c r="BF162" s="300">
        <v>0</v>
      </c>
      <c r="BG162" s="300">
        <v>0</v>
      </c>
      <c r="BH162" s="300">
        <v>0</v>
      </c>
      <c r="BI162" s="300">
        <v>0</v>
      </c>
      <c r="BJ162" s="300">
        <v>0</v>
      </c>
      <c r="BK162" s="300">
        <v>0</v>
      </c>
      <c r="BL162" s="300">
        <v>0</v>
      </c>
      <c r="BM162" s="300">
        <v>0</v>
      </c>
      <c r="BN162" s="300">
        <v>0</v>
      </c>
      <c r="BO162" s="300">
        <v>0</v>
      </c>
      <c r="BP162" s="300">
        <v>0</v>
      </c>
      <c r="BQ162" s="300">
        <v>0</v>
      </c>
      <c r="BR162" s="300">
        <v>0</v>
      </c>
      <c r="BS162" s="301">
        <v>0</v>
      </c>
      <c r="BT162" s="300">
        <v>0</v>
      </c>
      <c r="BU162" s="300">
        <v>0</v>
      </c>
      <c r="BV162" s="300">
        <v>0</v>
      </c>
      <c r="BW162" s="300">
        <v>0</v>
      </c>
      <c r="BX162" s="300">
        <v>0</v>
      </c>
      <c r="BY162" s="300">
        <v>0</v>
      </c>
      <c r="BZ162" s="300">
        <v>0</v>
      </c>
      <c r="CA162" s="300">
        <v>0</v>
      </c>
      <c r="CB162" s="300">
        <v>0</v>
      </c>
      <c r="CC162" s="300">
        <v>0</v>
      </c>
      <c r="CD162" s="300">
        <v>0</v>
      </c>
      <c r="CE162" s="300">
        <v>0</v>
      </c>
      <c r="CF162" s="300">
        <v>0</v>
      </c>
      <c r="CG162" s="300">
        <v>0</v>
      </c>
      <c r="CH162" s="300">
        <v>0</v>
      </c>
      <c r="CI162" s="300">
        <v>0</v>
      </c>
      <c r="CJ162" s="300">
        <v>0</v>
      </c>
      <c r="CK162" s="300">
        <v>0</v>
      </c>
      <c r="CL162" s="300">
        <v>0</v>
      </c>
      <c r="CM162" s="300">
        <v>0</v>
      </c>
      <c r="CN162" s="300">
        <v>0</v>
      </c>
      <c r="CO162" s="300">
        <v>0</v>
      </c>
      <c r="CP162" s="254">
        <v>27.75</v>
      </c>
      <c r="CQ162" s="254"/>
      <c r="CR162" s="254"/>
      <c r="CS162" s="254"/>
      <c r="CT162" s="254"/>
      <c r="CW162" s="301"/>
      <c r="CX162" s="301"/>
      <c r="CY162" s="301"/>
    </row>
    <row r="163" spans="1:103" x14ac:dyDescent="0.2">
      <c r="A163" s="254">
        <v>28</v>
      </c>
      <c r="B163" s="122">
        <f t="shared" si="12"/>
        <v>5.8289002560794591E-5</v>
      </c>
      <c r="C163" s="122">
        <f t="shared" si="13"/>
        <v>2.2940658578205246E-5</v>
      </c>
      <c r="D163" s="122">
        <f t="shared" si="14"/>
        <v>0.80747064609099573</v>
      </c>
      <c r="E163" s="122">
        <f t="shared" si="15"/>
        <v>0</v>
      </c>
      <c r="F163" s="122">
        <f t="shared" si="21"/>
        <v>0</v>
      </c>
      <c r="G163" s="299">
        <f>HLOOKUP('Input &amp; Summary'!$B$6,'AEP Input Output sheet'!$N$50:$CO$211,ROW(G163)-49,0)</f>
        <v>0</v>
      </c>
      <c r="H163" s="122">
        <f t="shared" si="16"/>
        <v>0</v>
      </c>
      <c r="I163" s="247">
        <f t="shared" si="17"/>
        <v>0</v>
      </c>
      <c r="J163" s="254">
        <f t="shared" si="18"/>
        <v>26728.658193705662</v>
      </c>
      <c r="K163" s="122">
        <f t="shared" si="19"/>
        <v>7867.5126752462002</v>
      </c>
      <c r="L163" s="122">
        <f t="shared" si="22"/>
        <v>1662.9519221382577</v>
      </c>
      <c r="M163" s="122"/>
      <c r="N163" s="254">
        <f t="shared" si="20"/>
        <v>0</v>
      </c>
      <c r="O163">
        <v>0</v>
      </c>
      <c r="P163">
        <v>0</v>
      </c>
      <c r="Q163">
        <v>0</v>
      </c>
      <c r="R163">
        <v>0</v>
      </c>
      <c r="S163">
        <v>0</v>
      </c>
      <c r="T163">
        <v>0</v>
      </c>
      <c r="U163">
        <v>0</v>
      </c>
      <c r="V163">
        <v>0</v>
      </c>
      <c r="W163">
        <v>0</v>
      </c>
      <c r="X163" s="300">
        <v>0</v>
      </c>
      <c r="Y163" s="300">
        <v>0</v>
      </c>
      <c r="Z163" s="300">
        <v>0</v>
      </c>
      <c r="AA163" s="300">
        <v>0</v>
      </c>
      <c r="AB163" s="301">
        <v>0</v>
      </c>
      <c r="AC163" s="300">
        <v>0</v>
      </c>
      <c r="AD163" s="300">
        <v>0</v>
      </c>
      <c r="AE163" s="300">
        <v>0</v>
      </c>
      <c r="AF163" s="300">
        <v>0</v>
      </c>
      <c r="AG163" s="300">
        <v>0</v>
      </c>
      <c r="AH163" s="300">
        <v>0</v>
      </c>
      <c r="AI163" s="300">
        <v>0</v>
      </c>
      <c r="AJ163" s="300">
        <v>0</v>
      </c>
      <c r="AK163" s="300">
        <v>0</v>
      </c>
      <c r="AL163" s="300">
        <v>0</v>
      </c>
      <c r="AM163" s="300">
        <v>0</v>
      </c>
      <c r="AN163" s="300">
        <v>0</v>
      </c>
      <c r="AO163" s="300">
        <v>0</v>
      </c>
      <c r="AP163" s="300">
        <v>0</v>
      </c>
      <c r="AQ163" s="300">
        <v>0</v>
      </c>
      <c r="AR163" s="300">
        <v>0</v>
      </c>
      <c r="AS163" s="300">
        <v>0</v>
      </c>
      <c r="AT163" s="300">
        <v>0</v>
      </c>
      <c r="AU163" s="300">
        <v>0</v>
      </c>
      <c r="AV163" s="300">
        <v>0</v>
      </c>
      <c r="AW163" s="300">
        <v>0</v>
      </c>
      <c r="AX163" s="300">
        <v>0</v>
      </c>
      <c r="AY163" s="300">
        <v>0</v>
      </c>
      <c r="AZ163" s="300">
        <v>0</v>
      </c>
      <c r="BA163" s="300">
        <v>0</v>
      </c>
      <c r="BB163" s="300">
        <v>0</v>
      </c>
      <c r="BC163" s="301">
        <v>0</v>
      </c>
      <c r="BD163" s="300">
        <v>0</v>
      </c>
      <c r="BE163" s="300">
        <v>0</v>
      </c>
      <c r="BF163" s="300">
        <v>0</v>
      </c>
      <c r="BG163" s="300">
        <v>0</v>
      </c>
      <c r="BH163" s="300">
        <v>0</v>
      </c>
      <c r="BI163" s="300">
        <v>0</v>
      </c>
      <c r="BJ163" s="300">
        <v>0</v>
      </c>
      <c r="BK163" s="300">
        <v>0</v>
      </c>
      <c r="BL163" s="300">
        <v>0</v>
      </c>
      <c r="BM163" s="300">
        <v>0</v>
      </c>
      <c r="BN163" s="300">
        <v>0</v>
      </c>
      <c r="BO163" s="300">
        <v>0</v>
      </c>
      <c r="BP163" s="300">
        <v>0</v>
      </c>
      <c r="BQ163" s="300">
        <v>0</v>
      </c>
      <c r="BR163" s="300">
        <v>0</v>
      </c>
      <c r="BS163" s="301">
        <v>0</v>
      </c>
      <c r="BT163" s="300">
        <v>0</v>
      </c>
      <c r="BU163" s="300">
        <v>0</v>
      </c>
      <c r="BV163" s="300">
        <v>0</v>
      </c>
      <c r="BW163" s="300">
        <v>0</v>
      </c>
      <c r="BX163" s="300">
        <v>0</v>
      </c>
      <c r="BY163" s="300">
        <v>0</v>
      </c>
      <c r="BZ163" s="300">
        <v>0</v>
      </c>
      <c r="CA163" s="300">
        <v>0</v>
      </c>
      <c r="CB163" s="300">
        <v>0</v>
      </c>
      <c r="CC163" s="300">
        <v>0</v>
      </c>
      <c r="CD163" s="300">
        <v>0</v>
      </c>
      <c r="CE163" s="300">
        <v>0</v>
      </c>
      <c r="CF163" s="300">
        <v>0</v>
      </c>
      <c r="CG163" s="300">
        <v>0</v>
      </c>
      <c r="CH163" s="300">
        <v>0</v>
      </c>
      <c r="CI163" s="300">
        <v>0</v>
      </c>
      <c r="CJ163" s="300">
        <v>0</v>
      </c>
      <c r="CK163" s="300">
        <v>0</v>
      </c>
      <c r="CL163" s="300">
        <v>0</v>
      </c>
      <c r="CM163" s="300">
        <v>0</v>
      </c>
      <c r="CN163" s="300">
        <v>0</v>
      </c>
      <c r="CO163" s="300">
        <v>0</v>
      </c>
      <c r="CP163" s="254">
        <v>28</v>
      </c>
      <c r="CQ163" s="254"/>
      <c r="CR163" s="254"/>
      <c r="CS163" s="254"/>
      <c r="CT163" s="254"/>
      <c r="CW163" s="301"/>
      <c r="CX163" s="301"/>
      <c r="CY163" s="301"/>
    </row>
    <row r="164" spans="1:103" x14ac:dyDescent="0.2">
      <c r="A164" s="254">
        <v>28.25</v>
      </c>
      <c r="B164" s="122">
        <f t="shared" si="12"/>
        <v>4.9732801705797056E-5</v>
      </c>
      <c r="C164" s="122">
        <f t="shared" si="13"/>
        <v>1.9030049016183404E-5</v>
      </c>
      <c r="D164" s="122">
        <f t="shared" si="14"/>
        <v>0.68792648712686144</v>
      </c>
      <c r="E164" s="122">
        <f t="shared" si="15"/>
        <v>0</v>
      </c>
      <c r="F164" s="122">
        <f t="shared" si="21"/>
        <v>0</v>
      </c>
      <c r="G164" s="299">
        <f>HLOOKUP('Input &amp; Summary'!$B$6,'AEP Input Output sheet'!$N$50:$CO$211,ROW(G164)-49,0)</f>
        <v>0</v>
      </c>
      <c r="H164" s="122">
        <f t="shared" si="16"/>
        <v>0</v>
      </c>
      <c r="I164" s="247">
        <f t="shared" si="17"/>
        <v>0</v>
      </c>
      <c r="J164" s="254">
        <f t="shared" si="18"/>
        <v>27451.015797053878</v>
      </c>
      <c r="K164" s="122">
        <f t="shared" si="19"/>
        <v>7959.8553664139245</v>
      </c>
      <c r="L164" s="122">
        <f t="shared" si="22"/>
        <v>1662.9519221382577</v>
      </c>
      <c r="M164" s="122"/>
      <c r="N164" s="254">
        <f t="shared" si="20"/>
        <v>0</v>
      </c>
      <c r="O164">
        <v>0</v>
      </c>
      <c r="P164">
        <v>0</v>
      </c>
      <c r="Q164">
        <v>0</v>
      </c>
      <c r="R164">
        <v>0</v>
      </c>
      <c r="S164">
        <v>0</v>
      </c>
      <c r="T164">
        <v>0</v>
      </c>
      <c r="U164">
        <v>0</v>
      </c>
      <c r="V164">
        <v>0</v>
      </c>
      <c r="W164">
        <v>0</v>
      </c>
      <c r="X164" s="300">
        <v>0</v>
      </c>
      <c r="Y164" s="300">
        <v>0</v>
      </c>
      <c r="Z164" s="300">
        <v>0</v>
      </c>
      <c r="AA164" s="300">
        <v>0</v>
      </c>
      <c r="AB164" s="301">
        <v>0</v>
      </c>
      <c r="AC164" s="300">
        <v>0</v>
      </c>
      <c r="AD164" s="300">
        <v>0</v>
      </c>
      <c r="AE164" s="300">
        <v>0</v>
      </c>
      <c r="AF164" s="300">
        <v>0</v>
      </c>
      <c r="AG164" s="300">
        <v>0</v>
      </c>
      <c r="AH164" s="300">
        <v>0</v>
      </c>
      <c r="AI164" s="300">
        <v>0</v>
      </c>
      <c r="AJ164" s="300">
        <v>0</v>
      </c>
      <c r="AK164" s="300">
        <v>0</v>
      </c>
      <c r="AL164" s="300">
        <v>0</v>
      </c>
      <c r="AM164" s="300">
        <v>0</v>
      </c>
      <c r="AN164" s="300">
        <v>0</v>
      </c>
      <c r="AO164" s="300">
        <v>0</v>
      </c>
      <c r="AP164" s="300">
        <v>0</v>
      </c>
      <c r="AQ164" s="300">
        <v>0</v>
      </c>
      <c r="AR164" s="300">
        <v>0</v>
      </c>
      <c r="AS164" s="300">
        <v>0</v>
      </c>
      <c r="AT164" s="300">
        <v>0</v>
      </c>
      <c r="AU164" s="300">
        <v>0</v>
      </c>
      <c r="AV164" s="300">
        <v>0</v>
      </c>
      <c r="AW164" s="300">
        <v>0</v>
      </c>
      <c r="AX164" s="300">
        <v>0</v>
      </c>
      <c r="AY164" s="300">
        <v>0</v>
      </c>
      <c r="AZ164" s="300">
        <v>0</v>
      </c>
      <c r="BA164" s="300">
        <v>0</v>
      </c>
      <c r="BB164" s="300">
        <v>0</v>
      </c>
      <c r="BC164" s="301">
        <v>0</v>
      </c>
      <c r="BD164" s="300">
        <v>0</v>
      </c>
      <c r="BE164" s="300">
        <v>0</v>
      </c>
      <c r="BF164" s="300">
        <v>0</v>
      </c>
      <c r="BG164" s="300">
        <v>0</v>
      </c>
      <c r="BH164" s="300">
        <v>0</v>
      </c>
      <c r="BI164" s="300">
        <v>0</v>
      </c>
      <c r="BJ164" s="300">
        <v>0</v>
      </c>
      <c r="BK164" s="300">
        <v>0</v>
      </c>
      <c r="BL164" s="300">
        <v>0</v>
      </c>
      <c r="BM164" s="300">
        <v>0</v>
      </c>
      <c r="BN164" s="300">
        <v>0</v>
      </c>
      <c r="BO164" s="300">
        <v>0</v>
      </c>
      <c r="BP164" s="300">
        <v>0</v>
      </c>
      <c r="BQ164" s="300">
        <v>0</v>
      </c>
      <c r="BR164" s="300">
        <v>0</v>
      </c>
      <c r="BS164" s="301">
        <v>0</v>
      </c>
      <c r="BT164" s="300">
        <v>0</v>
      </c>
      <c r="BU164" s="300">
        <v>0</v>
      </c>
      <c r="BV164" s="300">
        <v>0</v>
      </c>
      <c r="BW164" s="300">
        <v>0</v>
      </c>
      <c r="BX164" s="300">
        <v>0</v>
      </c>
      <c r="BY164" s="300">
        <v>0</v>
      </c>
      <c r="BZ164" s="300">
        <v>0</v>
      </c>
      <c r="CA164" s="300">
        <v>0</v>
      </c>
      <c r="CB164" s="300">
        <v>0</v>
      </c>
      <c r="CC164" s="300">
        <v>0</v>
      </c>
      <c r="CD164" s="300">
        <v>0</v>
      </c>
      <c r="CE164" s="300">
        <v>0</v>
      </c>
      <c r="CF164" s="300">
        <v>0</v>
      </c>
      <c r="CG164" s="300">
        <v>0</v>
      </c>
      <c r="CH164" s="300">
        <v>0</v>
      </c>
      <c r="CI164" s="300">
        <v>0</v>
      </c>
      <c r="CJ164" s="300">
        <v>0</v>
      </c>
      <c r="CK164" s="300">
        <v>0</v>
      </c>
      <c r="CL164" s="300">
        <v>0</v>
      </c>
      <c r="CM164" s="300">
        <v>0</v>
      </c>
      <c r="CN164" s="300">
        <v>0</v>
      </c>
      <c r="CO164" s="300">
        <v>0</v>
      </c>
      <c r="CP164" s="254">
        <v>28.25</v>
      </c>
      <c r="CQ164" s="254"/>
      <c r="CR164" s="254"/>
      <c r="CS164" s="254"/>
      <c r="CT164" s="254"/>
      <c r="CW164" s="301"/>
      <c r="CX164" s="301"/>
      <c r="CY164" s="301"/>
    </row>
    <row r="165" spans="1:103" x14ac:dyDescent="0.2">
      <c r="A165" s="254">
        <v>28.5</v>
      </c>
      <c r="B165" s="122">
        <f t="shared" si="12"/>
        <v>4.2366059080759186E-5</v>
      </c>
      <c r="C165" s="122">
        <f t="shared" si="13"/>
        <v>1.575436868568622E-5</v>
      </c>
      <c r="D165" s="122">
        <f t="shared" si="14"/>
        <v>0.58476632196987477</v>
      </c>
      <c r="E165" s="122">
        <f t="shared" si="15"/>
        <v>0</v>
      </c>
      <c r="F165" s="122">
        <f t="shared" si="21"/>
        <v>0</v>
      </c>
      <c r="G165" s="299">
        <f>HLOOKUP('Input &amp; Summary'!$B$6,'AEP Input Output sheet'!$N$50:$CO$211,ROW(G165)-49,0)</f>
        <v>0</v>
      </c>
      <c r="H165" s="122">
        <f t="shared" si="16"/>
        <v>0</v>
      </c>
      <c r="I165" s="247">
        <f t="shared" si="17"/>
        <v>0</v>
      </c>
      <c r="J165" s="254">
        <f t="shared" si="18"/>
        <v>28186.272303588124</v>
      </c>
      <c r="K165" s="122">
        <f t="shared" si="19"/>
        <v>8052.1980575816488</v>
      </c>
      <c r="L165" s="122">
        <f t="shared" si="22"/>
        <v>1662.9519221382577</v>
      </c>
      <c r="M165" s="122"/>
      <c r="N165" s="254">
        <f t="shared" si="20"/>
        <v>0</v>
      </c>
      <c r="O165">
        <v>0</v>
      </c>
      <c r="P165">
        <v>0</v>
      </c>
      <c r="Q165">
        <v>0</v>
      </c>
      <c r="R165">
        <v>0</v>
      </c>
      <c r="S165">
        <v>0</v>
      </c>
      <c r="T165">
        <v>0</v>
      </c>
      <c r="U165">
        <v>0</v>
      </c>
      <c r="V165">
        <v>0</v>
      </c>
      <c r="W165">
        <v>0</v>
      </c>
      <c r="X165" s="300">
        <v>0</v>
      </c>
      <c r="Y165" s="300">
        <v>0</v>
      </c>
      <c r="Z165" s="300">
        <v>0</v>
      </c>
      <c r="AA165" s="300">
        <v>0</v>
      </c>
      <c r="AB165" s="301">
        <v>0</v>
      </c>
      <c r="AC165" s="300">
        <v>0</v>
      </c>
      <c r="AD165" s="300">
        <v>0</v>
      </c>
      <c r="AE165" s="300">
        <v>0</v>
      </c>
      <c r="AF165" s="300">
        <v>0</v>
      </c>
      <c r="AG165" s="300">
        <v>0</v>
      </c>
      <c r="AH165" s="300">
        <v>0</v>
      </c>
      <c r="AI165" s="300">
        <v>0</v>
      </c>
      <c r="AJ165" s="300">
        <v>0</v>
      </c>
      <c r="AK165" s="300">
        <v>0</v>
      </c>
      <c r="AL165" s="300">
        <v>0</v>
      </c>
      <c r="AM165" s="300">
        <v>0</v>
      </c>
      <c r="AN165" s="300">
        <v>0</v>
      </c>
      <c r="AO165" s="300">
        <v>0</v>
      </c>
      <c r="AP165" s="300">
        <v>0</v>
      </c>
      <c r="AQ165" s="300">
        <v>0</v>
      </c>
      <c r="AR165" s="300">
        <v>0</v>
      </c>
      <c r="AS165" s="300">
        <v>0</v>
      </c>
      <c r="AT165" s="300">
        <v>0</v>
      </c>
      <c r="AU165" s="300">
        <v>0</v>
      </c>
      <c r="AV165" s="300">
        <v>0</v>
      </c>
      <c r="AW165" s="300">
        <v>0</v>
      </c>
      <c r="AX165" s="300">
        <v>0</v>
      </c>
      <c r="AY165" s="300">
        <v>0</v>
      </c>
      <c r="AZ165" s="300">
        <v>0</v>
      </c>
      <c r="BA165" s="300">
        <v>0</v>
      </c>
      <c r="BB165" s="300">
        <v>0</v>
      </c>
      <c r="BC165" s="301">
        <v>0</v>
      </c>
      <c r="BD165" s="300">
        <v>0</v>
      </c>
      <c r="BE165" s="300">
        <v>0</v>
      </c>
      <c r="BF165" s="300">
        <v>0</v>
      </c>
      <c r="BG165" s="300">
        <v>0</v>
      </c>
      <c r="BH165" s="300">
        <v>0</v>
      </c>
      <c r="BI165" s="300">
        <v>0</v>
      </c>
      <c r="BJ165" s="300">
        <v>0</v>
      </c>
      <c r="BK165" s="300">
        <v>0</v>
      </c>
      <c r="BL165" s="300">
        <v>0</v>
      </c>
      <c r="BM165" s="300">
        <v>0</v>
      </c>
      <c r="BN165" s="300">
        <v>0</v>
      </c>
      <c r="BO165" s="300">
        <v>0</v>
      </c>
      <c r="BP165" s="300">
        <v>0</v>
      </c>
      <c r="BQ165" s="300">
        <v>0</v>
      </c>
      <c r="BR165" s="300">
        <v>0</v>
      </c>
      <c r="BS165" s="301">
        <v>0</v>
      </c>
      <c r="BT165" s="300">
        <v>0</v>
      </c>
      <c r="BU165" s="300">
        <v>0</v>
      </c>
      <c r="BV165" s="300">
        <v>0</v>
      </c>
      <c r="BW165" s="300">
        <v>0</v>
      </c>
      <c r="BX165" s="300">
        <v>0</v>
      </c>
      <c r="BY165" s="300">
        <v>0</v>
      </c>
      <c r="BZ165" s="300">
        <v>0</v>
      </c>
      <c r="CA165" s="300">
        <v>0</v>
      </c>
      <c r="CB165" s="300">
        <v>0</v>
      </c>
      <c r="CC165" s="300">
        <v>0</v>
      </c>
      <c r="CD165" s="300">
        <v>0</v>
      </c>
      <c r="CE165" s="300">
        <v>0</v>
      </c>
      <c r="CF165" s="300">
        <v>0</v>
      </c>
      <c r="CG165" s="300">
        <v>0</v>
      </c>
      <c r="CH165" s="300">
        <v>0</v>
      </c>
      <c r="CI165" s="300">
        <v>0</v>
      </c>
      <c r="CJ165" s="300">
        <v>0</v>
      </c>
      <c r="CK165" s="300">
        <v>0</v>
      </c>
      <c r="CL165" s="300">
        <v>0</v>
      </c>
      <c r="CM165" s="300">
        <v>0</v>
      </c>
      <c r="CN165" s="300">
        <v>0</v>
      </c>
      <c r="CO165" s="300">
        <v>0</v>
      </c>
      <c r="CP165" s="254">
        <v>28.5</v>
      </c>
      <c r="CQ165" s="254"/>
      <c r="CR165" s="254"/>
      <c r="CS165" s="254"/>
      <c r="CT165" s="254"/>
      <c r="CW165" s="301"/>
      <c r="CX165" s="301"/>
      <c r="CY165" s="301"/>
    </row>
    <row r="166" spans="1:103" x14ac:dyDescent="0.2">
      <c r="A166" s="254">
        <v>28.75</v>
      </c>
      <c r="B166" s="122">
        <f t="shared" si="12"/>
        <v>3.603401396328068E-5</v>
      </c>
      <c r="C166" s="122">
        <f t="shared" si="13"/>
        <v>1.3016346217936643E-5</v>
      </c>
      <c r="D166" s="122">
        <f t="shared" si="14"/>
        <v>0.49596314672567737</v>
      </c>
      <c r="E166" s="122">
        <f t="shared" si="15"/>
        <v>0</v>
      </c>
      <c r="F166" s="122">
        <f t="shared" si="21"/>
        <v>0</v>
      </c>
      <c r="G166" s="299">
        <f>HLOOKUP('Input &amp; Summary'!$B$6,'AEP Input Output sheet'!$N$50:$CO$211,ROW(G166)-49,0)</f>
        <v>0</v>
      </c>
      <c r="H166" s="122">
        <f t="shared" si="16"/>
        <v>0</v>
      </c>
      <c r="I166" s="247">
        <f t="shared" si="17"/>
        <v>0</v>
      </c>
      <c r="J166" s="254">
        <f t="shared" si="18"/>
        <v>28934.541862894115</v>
      </c>
      <c r="K166" s="122">
        <f t="shared" si="19"/>
        <v>8144.540748749374</v>
      </c>
      <c r="L166" s="122">
        <f t="shared" si="22"/>
        <v>1662.9519221382577</v>
      </c>
      <c r="M166" s="122"/>
      <c r="N166" s="254">
        <f t="shared" si="20"/>
        <v>0</v>
      </c>
      <c r="O166">
        <v>0</v>
      </c>
      <c r="P166">
        <v>0</v>
      </c>
      <c r="Q166">
        <v>0</v>
      </c>
      <c r="R166">
        <v>0</v>
      </c>
      <c r="S166">
        <v>0</v>
      </c>
      <c r="T166">
        <v>0</v>
      </c>
      <c r="U166">
        <v>0</v>
      </c>
      <c r="V166">
        <v>0</v>
      </c>
      <c r="W166">
        <v>0</v>
      </c>
      <c r="X166" s="300">
        <v>0</v>
      </c>
      <c r="Y166" s="300">
        <v>0</v>
      </c>
      <c r="Z166" s="300">
        <v>0</v>
      </c>
      <c r="AA166" s="300">
        <v>0</v>
      </c>
      <c r="AB166" s="301">
        <v>0</v>
      </c>
      <c r="AC166" s="300">
        <v>0</v>
      </c>
      <c r="AD166" s="300">
        <v>0</v>
      </c>
      <c r="AE166" s="300">
        <v>0</v>
      </c>
      <c r="AF166" s="300">
        <v>0</v>
      </c>
      <c r="AG166" s="300">
        <v>0</v>
      </c>
      <c r="AH166" s="300">
        <v>0</v>
      </c>
      <c r="AI166" s="300">
        <v>0</v>
      </c>
      <c r="AJ166" s="300">
        <v>0</v>
      </c>
      <c r="AK166" s="300">
        <v>0</v>
      </c>
      <c r="AL166" s="300">
        <v>0</v>
      </c>
      <c r="AM166" s="300">
        <v>0</v>
      </c>
      <c r="AN166" s="300">
        <v>0</v>
      </c>
      <c r="AO166" s="300">
        <v>0</v>
      </c>
      <c r="AP166" s="300">
        <v>0</v>
      </c>
      <c r="AQ166" s="300">
        <v>0</v>
      </c>
      <c r="AR166" s="300">
        <v>0</v>
      </c>
      <c r="AS166" s="300">
        <v>0</v>
      </c>
      <c r="AT166" s="300">
        <v>0</v>
      </c>
      <c r="AU166" s="300">
        <v>0</v>
      </c>
      <c r="AV166" s="300">
        <v>0</v>
      </c>
      <c r="AW166" s="300">
        <v>0</v>
      </c>
      <c r="AX166" s="300">
        <v>0</v>
      </c>
      <c r="AY166" s="300">
        <v>0</v>
      </c>
      <c r="AZ166" s="300">
        <v>0</v>
      </c>
      <c r="BA166" s="300">
        <v>0</v>
      </c>
      <c r="BB166" s="300">
        <v>0</v>
      </c>
      <c r="BC166" s="301">
        <v>0</v>
      </c>
      <c r="BD166" s="300">
        <v>0</v>
      </c>
      <c r="BE166" s="300">
        <v>0</v>
      </c>
      <c r="BF166" s="300">
        <v>0</v>
      </c>
      <c r="BG166" s="300">
        <v>0</v>
      </c>
      <c r="BH166" s="300">
        <v>0</v>
      </c>
      <c r="BI166" s="300">
        <v>0</v>
      </c>
      <c r="BJ166" s="300">
        <v>0</v>
      </c>
      <c r="BK166" s="300">
        <v>0</v>
      </c>
      <c r="BL166" s="300">
        <v>0</v>
      </c>
      <c r="BM166" s="300">
        <v>0</v>
      </c>
      <c r="BN166" s="300">
        <v>0</v>
      </c>
      <c r="BO166" s="300">
        <v>0</v>
      </c>
      <c r="BP166" s="300">
        <v>0</v>
      </c>
      <c r="BQ166" s="300">
        <v>0</v>
      </c>
      <c r="BR166" s="300">
        <v>0</v>
      </c>
      <c r="BS166" s="301">
        <v>0</v>
      </c>
      <c r="BT166" s="300">
        <v>0</v>
      </c>
      <c r="BU166" s="300">
        <v>0</v>
      </c>
      <c r="BV166" s="300">
        <v>0</v>
      </c>
      <c r="BW166" s="300">
        <v>0</v>
      </c>
      <c r="BX166" s="300">
        <v>0</v>
      </c>
      <c r="BY166" s="300">
        <v>0</v>
      </c>
      <c r="BZ166" s="300">
        <v>0</v>
      </c>
      <c r="CA166" s="300">
        <v>0</v>
      </c>
      <c r="CB166" s="300">
        <v>0</v>
      </c>
      <c r="CC166" s="300">
        <v>0</v>
      </c>
      <c r="CD166" s="300">
        <v>0</v>
      </c>
      <c r="CE166" s="300">
        <v>0</v>
      </c>
      <c r="CF166" s="300">
        <v>0</v>
      </c>
      <c r="CG166" s="300">
        <v>0</v>
      </c>
      <c r="CH166" s="300">
        <v>0</v>
      </c>
      <c r="CI166" s="300">
        <v>0</v>
      </c>
      <c r="CJ166" s="300">
        <v>0</v>
      </c>
      <c r="CK166" s="300">
        <v>0</v>
      </c>
      <c r="CL166" s="300">
        <v>0</v>
      </c>
      <c r="CM166" s="300">
        <v>0</v>
      </c>
      <c r="CN166" s="300">
        <v>0</v>
      </c>
      <c r="CO166" s="300">
        <v>0</v>
      </c>
      <c r="CP166" s="254">
        <v>28.75</v>
      </c>
      <c r="CQ166" s="254"/>
      <c r="CR166" s="254"/>
      <c r="CS166" s="254"/>
      <c r="CT166" s="254"/>
      <c r="CW166" s="301"/>
      <c r="CX166" s="301"/>
      <c r="CY166" s="301"/>
    </row>
    <row r="167" spans="1:103" x14ac:dyDescent="0.2">
      <c r="A167" s="254">
        <v>29</v>
      </c>
      <c r="B167" s="122">
        <f t="shared" si="12"/>
        <v>3.0600408886669266E-5</v>
      </c>
      <c r="C167" s="122">
        <f t="shared" si="13"/>
        <v>1.0732578509461682E-5</v>
      </c>
      <c r="D167" s="122">
        <f t="shared" si="14"/>
        <v>0.41970566939946602</v>
      </c>
      <c r="E167" s="122">
        <f t="shared" si="15"/>
        <v>0</v>
      </c>
      <c r="F167" s="122">
        <f t="shared" si="21"/>
        <v>0</v>
      </c>
      <c r="G167" s="299">
        <f>HLOOKUP('Input &amp; Summary'!$B$6,'AEP Input Output sheet'!$N$50:$CO$211,ROW(G167)-49,0)</f>
        <v>0</v>
      </c>
      <c r="H167" s="122">
        <f t="shared" si="16"/>
        <v>0</v>
      </c>
      <c r="I167" s="247">
        <f t="shared" si="17"/>
        <v>0</v>
      </c>
      <c r="J167" s="254">
        <f t="shared" si="18"/>
        <v>29695.938624557544</v>
      </c>
      <c r="K167" s="122">
        <f t="shared" si="19"/>
        <v>8236.8834399170973</v>
      </c>
      <c r="L167" s="122">
        <f t="shared" si="22"/>
        <v>1662.9519221382577</v>
      </c>
      <c r="M167" s="122"/>
      <c r="N167" s="254">
        <f t="shared" si="20"/>
        <v>0</v>
      </c>
      <c r="O167">
        <v>0</v>
      </c>
      <c r="P167">
        <v>0</v>
      </c>
      <c r="Q167">
        <v>0</v>
      </c>
      <c r="R167">
        <v>0</v>
      </c>
      <c r="S167">
        <v>0</v>
      </c>
      <c r="T167">
        <v>0</v>
      </c>
      <c r="U167">
        <v>0</v>
      </c>
      <c r="V167">
        <v>0</v>
      </c>
      <c r="W167">
        <v>0</v>
      </c>
      <c r="X167" s="300">
        <v>0</v>
      </c>
      <c r="Y167" s="300">
        <v>0</v>
      </c>
      <c r="Z167" s="300">
        <v>0</v>
      </c>
      <c r="AA167" s="300">
        <v>0</v>
      </c>
      <c r="AB167" s="301">
        <v>0</v>
      </c>
      <c r="AC167" s="300">
        <v>0</v>
      </c>
      <c r="AD167" s="300">
        <v>0</v>
      </c>
      <c r="AE167" s="300">
        <v>0</v>
      </c>
      <c r="AF167" s="300">
        <v>0</v>
      </c>
      <c r="AG167" s="300">
        <v>0</v>
      </c>
      <c r="AH167" s="300">
        <v>0</v>
      </c>
      <c r="AI167" s="300">
        <v>0</v>
      </c>
      <c r="AJ167" s="300">
        <v>0</v>
      </c>
      <c r="AK167" s="300">
        <v>0</v>
      </c>
      <c r="AL167" s="300">
        <v>0</v>
      </c>
      <c r="AM167" s="300">
        <v>0</v>
      </c>
      <c r="AN167" s="300">
        <v>0</v>
      </c>
      <c r="AO167" s="300">
        <v>0</v>
      </c>
      <c r="AP167" s="300">
        <v>0</v>
      </c>
      <c r="AQ167" s="300">
        <v>0</v>
      </c>
      <c r="AR167" s="300">
        <v>0</v>
      </c>
      <c r="AS167" s="300">
        <v>0</v>
      </c>
      <c r="AT167" s="300">
        <v>0</v>
      </c>
      <c r="AU167" s="300">
        <v>0</v>
      </c>
      <c r="AV167" s="300">
        <v>0</v>
      </c>
      <c r="AW167" s="300">
        <v>0</v>
      </c>
      <c r="AX167" s="300">
        <v>0</v>
      </c>
      <c r="AY167" s="300">
        <v>0</v>
      </c>
      <c r="AZ167" s="300">
        <v>0</v>
      </c>
      <c r="BA167" s="300">
        <v>0</v>
      </c>
      <c r="BB167" s="300">
        <v>0</v>
      </c>
      <c r="BC167" s="301">
        <v>0</v>
      </c>
      <c r="BD167" s="300">
        <v>0</v>
      </c>
      <c r="BE167" s="300">
        <v>0</v>
      </c>
      <c r="BF167" s="300">
        <v>0</v>
      </c>
      <c r="BG167" s="300">
        <v>0</v>
      </c>
      <c r="BH167" s="300">
        <v>0</v>
      </c>
      <c r="BI167" s="300">
        <v>0</v>
      </c>
      <c r="BJ167" s="300">
        <v>0</v>
      </c>
      <c r="BK167" s="300">
        <v>0</v>
      </c>
      <c r="BL167" s="300">
        <v>0</v>
      </c>
      <c r="BM167" s="300">
        <v>0</v>
      </c>
      <c r="BN167" s="300">
        <v>0</v>
      </c>
      <c r="BO167" s="300">
        <v>0</v>
      </c>
      <c r="BP167" s="300">
        <v>0</v>
      </c>
      <c r="BQ167" s="300">
        <v>0</v>
      </c>
      <c r="BR167" s="300">
        <v>0</v>
      </c>
      <c r="BS167" s="301">
        <v>0</v>
      </c>
      <c r="BT167" s="300">
        <v>0</v>
      </c>
      <c r="BU167" s="300">
        <v>0</v>
      </c>
      <c r="BV167" s="300">
        <v>0</v>
      </c>
      <c r="BW167" s="300">
        <v>0</v>
      </c>
      <c r="BX167" s="300">
        <v>0</v>
      </c>
      <c r="BY167" s="300">
        <v>0</v>
      </c>
      <c r="BZ167" s="300">
        <v>0</v>
      </c>
      <c r="CA167" s="300">
        <v>0</v>
      </c>
      <c r="CB167" s="300">
        <v>0</v>
      </c>
      <c r="CC167" s="300">
        <v>0</v>
      </c>
      <c r="CD167" s="300">
        <v>0</v>
      </c>
      <c r="CE167" s="300">
        <v>0</v>
      </c>
      <c r="CF167" s="300">
        <v>0</v>
      </c>
      <c r="CG167" s="300">
        <v>0</v>
      </c>
      <c r="CH167" s="300">
        <v>0</v>
      </c>
      <c r="CI167" s="300">
        <v>0</v>
      </c>
      <c r="CJ167" s="300">
        <v>0</v>
      </c>
      <c r="CK167" s="300">
        <v>0</v>
      </c>
      <c r="CL167" s="300">
        <v>0</v>
      </c>
      <c r="CM167" s="300">
        <v>0</v>
      </c>
      <c r="CN167" s="300">
        <v>0</v>
      </c>
      <c r="CO167" s="300">
        <v>0</v>
      </c>
      <c r="CP167" s="254">
        <v>29</v>
      </c>
      <c r="CQ167" s="254"/>
      <c r="CR167" s="254"/>
      <c r="CS167" s="254"/>
      <c r="CT167" s="254"/>
      <c r="CW167" s="301"/>
      <c r="CX167" s="301"/>
      <c r="CY167" s="301"/>
    </row>
    <row r="168" spans="1:103" x14ac:dyDescent="0.2">
      <c r="A168" s="254">
        <v>29.25</v>
      </c>
      <c r="B168" s="122">
        <f t="shared" si="12"/>
        <v>2.5945520801659465E-5</v>
      </c>
      <c r="C168" s="122">
        <f t="shared" si="13"/>
        <v>8.8317312859359532E-6</v>
      </c>
      <c r="D168" s="122">
        <f t="shared" si="14"/>
        <v>0.35438083407928461</v>
      </c>
      <c r="E168" s="122">
        <f t="shared" si="15"/>
        <v>0</v>
      </c>
      <c r="F168" s="122">
        <f t="shared" si="21"/>
        <v>0</v>
      </c>
      <c r="G168" s="299">
        <f>HLOOKUP('Input &amp; Summary'!$B$6,'AEP Input Output sheet'!$N$50:$CO$211,ROW(G168)-49,0)</f>
        <v>0</v>
      </c>
      <c r="H168" s="122">
        <f t="shared" si="16"/>
        <v>0</v>
      </c>
      <c r="I168" s="247">
        <f t="shared" si="17"/>
        <v>0</v>
      </c>
      <c r="J168" s="254">
        <f t="shared" si="18"/>
        <v>30470.576738164164</v>
      </c>
      <c r="K168" s="122">
        <f t="shared" si="19"/>
        <v>8329.2261310848226</v>
      </c>
      <c r="L168" s="122">
        <f t="shared" si="22"/>
        <v>1662.9519221382577</v>
      </c>
      <c r="M168" s="122"/>
      <c r="N168" s="254">
        <f t="shared" si="20"/>
        <v>0</v>
      </c>
      <c r="O168">
        <v>0</v>
      </c>
      <c r="P168">
        <v>0</v>
      </c>
      <c r="Q168">
        <v>0</v>
      </c>
      <c r="R168">
        <v>0</v>
      </c>
      <c r="S168">
        <v>0</v>
      </c>
      <c r="T168">
        <v>0</v>
      </c>
      <c r="U168">
        <v>0</v>
      </c>
      <c r="V168">
        <v>0</v>
      </c>
      <c r="W168">
        <v>0</v>
      </c>
      <c r="X168" s="300">
        <v>0</v>
      </c>
      <c r="Y168" s="300">
        <v>0</v>
      </c>
      <c r="Z168" s="300">
        <v>0</v>
      </c>
      <c r="AA168" s="300">
        <v>0</v>
      </c>
      <c r="AB168" s="301">
        <v>0</v>
      </c>
      <c r="AC168" s="300">
        <v>0</v>
      </c>
      <c r="AD168" s="300">
        <v>0</v>
      </c>
      <c r="AE168" s="300">
        <v>0</v>
      </c>
      <c r="AF168" s="300">
        <v>0</v>
      </c>
      <c r="AG168" s="300">
        <v>0</v>
      </c>
      <c r="AH168" s="300">
        <v>0</v>
      </c>
      <c r="AI168" s="300">
        <v>0</v>
      </c>
      <c r="AJ168" s="300">
        <v>0</v>
      </c>
      <c r="AK168" s="300">
        <v>0</v>
      </c>
      <c r="AL168" s="300">
        <v>0</v>
      </c>
      <c r="AM168" s="300">
        <v>0</v>
      </c>
      <c r="AN168" s="300">
        <v>0</v>
      </c>
      <c r="AO168" s="300">
        <v>0</v>
      </c>
      <c r="AP168" s="300">
        <v>0</v>
      </c>
      <c r="AQ168" s="300">
        <v>0</v>
      </c>
      <c r="AR168" s="300">
        <v>0</v>
      </c>
      <c r="AS168" s="300">
        <v>0</v>
      </c>
      <c r="AT168" s="300">
        <v>0</v>
      </c>
      <c r="AU168" s="300">
        <v>0</v>
      </c>
      <c r="AV168" s="300">
        <v>0</v>
      </c>
      <c r="AW168" s="300">
        <v>0</v>
      </c>
      <c r="AX168" s="300">
        <v>0</v>
      </c>
      <c r="AY168" s="300">
        <v>0</v>
      </c>
      <c r="AZ168" s="300">
        <v>0</v>
      </c>
      <c r="BA168" s="300">
        <v>0</v>
      </c>
      <c r="BB168" s="300">
        <v>0</v>
      </c>
      <c r="BC168" s="301">
        <v>0</v>
      </c>
      <c r="BD168" s="300">
        <v>0</v>
      </c>
      <c r="BE168" s="300">
        <v>0</v>
      </c>
      <c r="BF168" s="300">
        <v>0</v>
      </c>
      <c r="BG168" s="300">
        <v>0</v>
      </c>
      <c r="BH168" s="300">
        <v>0</v>
      </c>
      <c r="BI168" s="300">
        <v>0</v>
      </c>
      <c r="BJ168" s="300">
        <v>0</v>
      </c>
      <c r="BK168" s="300">
        <v>0</v>
      </c>
      <c r="BL168" s="300">
        <v>0</v>
      </c>
      <c r="BM168" s="300">
        <v>0</v>
      </c>
      <c r="BN168" s="300">
        <v>0</v>
      </c>
      <c r="BO168" s="300">
        <v>0</v>
      </c>
      <c r="BP168" s="300">
        <v>0</v>
      </c>
      <c r="BQ168" s="300">
        <v>0</v>
      </c>
      <c r="BR168" s="300">
        <v>0</v>
      </c>
      <c r="BS168" s="301">
        <v>0</v>
      </c>
      <c r="BT168" s="300">
        <v>0</v>
      </c>
      <c r="BU168" s="300">
        <v>0</v>
      </c>
      <c r="BV168" s="300">
        <v>0</v>
      </c>
      <c r="BW168" s="300">
        <v>0</v>
      </c>
      <c r="BX168" s="300">
        <v>0</v>
      </c>
      <c r="BY168" s="300">
        <v>0</v>
      </c>
      <c r="BZ168" s="300">
        <v>0</v>
      </c>
      <c r="CA168" s="300">
        <v>0</v>
      </c>
      <c r="CB168" s="300">
        <v>0</v>
      </c>
      <c r="CC168" s="300">
        <v>0</v>
      </c>
      <c r="CD168" s="300">
        <v>0</v>
      </c>
      <c r="CE168" s="300">
        <v>0</v>
      </c>
      <c r="CF168" s="300">
        <v>0</v>
      </c>
      <c r="CG168" s="300">
        <v>0</v>
      </c>
      <c r="CH168" s="300">
        <v>0</v>
      </c>
      <c r="CI168" s="300">
        <v>0</v>
      </c>
      <c r="CJ168" s="300">
        <v>0</v>
      </c>
      <c r="CK168" s="300">
        <v>0</v>
      </c>
      <c r="CL168" s="300">
        <v>0</v>
      </c>
      <c r="CM168" s="300">
        <v>0</v>
      </c>
      <c r="CN168" s="300">
        <v>0</v>
      </c>
      <c r="CO168" s="300">
        <v>0</v>
      </c>
      <c r="CP168" s="254">
        <v>29.25</v>
      </c>
      <c r="CQ168" s="254"/>
      <c r="CR168" s="254"/>
      <c r="CS168" s="254"/>
      <c r="CT168" s="254"/>
      <c r="CW168" s="301"/>
      <c r="CX168" s="301"/>
      <c r="CY168" s="301"/>
    </row>
    <row r="169" spans="1:103" x14ac:dyDescent="0.2">
      <c r="A169" s="254">
        <v>29.5</v>
      </c>
      <c r="B169" s="122">
        <f t="shared" si="12"/>
        <v>2.1964366461734637E-5</v>
      </c>
      <c r="C169" s="122">
        <f t="shared" si="13"/>
        <v>7.2529435075665177E-6</v>
      </c>
      <c r="D169" s="122">
        <f t="shared" si="14"/>
        <v>0.29855689863344997</v>
      </c>
      <c r="E169" s="122">
        <f t="shared" si="15"/>
        <v>0</v>
      </c>
      <c r="F169" s="122">
        <f t="shared" si="21"/>
        <v>0</v>
      </c>
      <c r="G169" s="299">
        <f>HLOOKUP('Input &amp; Summary'!$B$6,'AEP Input Output sheet'!$N$50:$CO$211,ROW(G169)-49,0)</f>
        <v>0</v>
      </c>
      <c r="H169" s="122">
        <f t="shared" si="16"/>
        <v>0</v>
      </c>
      <c r="I169" s="247">
        <f t="shared" si="17"/>
        <v>0</v>
      </c>
      <c r="J169" s="254">
        <f t="shared" si="18"/>
        <v>31258.570353299667</v>
      </c>
      <c r="K169" s="122">
        <f t="shared" si="19"/>
        <v>8421.5688222525459</v>
      </c>
      <c r="L169" s="122">
        <f t="shared" si="22"/>
        <v>1662.9519221382577</v>
      </c>
      <c r="M169" s="122"/>
      <c r="N169" s="254">
        <f t="shared" si="20"/>
        <v>0</v>
      </c>
      <c r="O169">
        <v>0</v>
      </c>
      <c r="P169">
        <v>0</v>
      </c>
      <c r="Q169">
        <v>0</v>
      </c>
      <c r="R169">
        <v>0</v>
      </c>
      <c r="S169">
        <v>0</v>
      </c>
      <c r="T169">
        <v>0</v>
      </c>
      <c r="U169">
        <v>0</v>
      </c>
      <c r="V169">
        <v>0</v>
      </c>
      <c r="W169">
        <v>0</v>
      </c>
      <c r="X169" s="300">
        <v>0</v>
      </c>
      <c r="Y169" s="300">
        <v>0</v>
      </c>
      <c r="Z169" s="300">
        <v>0</v>
      </c>
      <c r="AA169" s="300">
        <v>0</v>
      </c>
      <c r="AB169" s="301">
        <v>0</v>
      </c>
      <c r="AC169" s="300">
        <v>0</v>
      </c>
      <c r="AD169" s="300">
        <v>0</v>
      </c>
      <c r="AE169" s="300">
        <v>0</v>
      </c>
      <c r="AF169" s="300">
        <v>0</v>
      </c>
      <c r="AG169" s="300">
        <v>0</v>
      </c>
      <c r="AH169" s="300">
        <v>0</v>
      </c>
      <c r="AI169" s="300">
        <v>0</v>
      </c>
      <c r="AJ169" s="300">
        <v>0</v>
      </c>
      <c r="AK169" s="300">
        <v>0</v>
      </c>
      <c r="AL169" s="300">
        <v>0</v>
      </c>
      <c r="AM169" s="300">
        <v>0</v>
      </c>
      <c r="AN169" s="300">
        <v>0</v>
      </c>
      <c r="AO169" s="300">
        <v>0</v>
      </c>
      <c r="AP169" s="300">
        <v>0</v>
      </c>
      <c r="AQ169" s="300">
        <v>0</v>
      </c>
      <c r="AR169" s="300">
        <v>0</v>
      </c>
      <c r="AS169" s="300">
        <v>0</v>
      </c>
      <c r="AT169" s="300">
        <v>0</v>
      </c>
      <c r="AU169" s="300">
        <v>0</v>
      </c>
      <c r="AV169" s="300">
        <v>0</v>
      </c>
      <c r="AW169" s="300">
        <v>0</v>
      </c>
      <c r="AX169" s="300">
        <v>0</v>
      </c>
      <c r="AY169" s="300">
        <v>0</v>
      </c>
      <c r="AZ169" s="300">
        <v>0</v>
      </c>
      <c r="BA169" s="300">
        <v>0</v>
      </c>
      <c r="BB169" s="300">
        <v>0</v>
      </c>
      <c r="BC169" s="301">
        <v>0</v>
      </c>
      <c r="BD169" s="300">
        <v>0</v>
      </c>
      <c r="BE169" s="300">
        <v>0</v>
      </c>
      <c r="BF169" s="300">
        <v>0</v>
      </c>
      <c r="BG169" s="300">
        <v>0</v>
      </c>
      <c r="BH169" s="300">
        <v>0</v>
      </c>
      <c r="BI169" s="300">
        <v>0</v>
      </c>
      <c r="BJ169" s="300">
        <v>0</v>
      </c>
      <c r="BK169" s="300">
        <v>0</v>
      </c>
      <c r="BL169" s="300">
        <v>0</v>
      </c>
      <c r="BM169" s="300">
        <v>0</v>
      </c>
      <c r="BN169" s="300">
        <v>0</v>
      </c>
      <c r="BO169" s="300">
        <v>0</v>
      </c>
      <c r="BP169" s="300">
        <v>0</v>
      </c>
      <c r="BQ169" s="300">
        <v>0</v>
      </c>
      <c r="BR169" s="300">
        <v>0</v>
      </c>
      <c r="BS169" s="301">
        <v>0</v>
      </c>
      <c r="BT169" s="300">
        <v>0</v>
      </c>
      <c r="BU169" s="300">
        <v>0</v>
      </c>
      <c r="BV169" s="300">
        <v>0</v>
      </c>
      <c r="BW169" s="300">
        <v>0</v>
      </c>
      <c r="BX169" s="300">
        <v>0</v>
      </c>
      <c r="BY169" s="300">
        <v>0</v>
      </c>
      <c r="BZ169" s="300">
        <v>0</v>
      </c>
      <c r="CA169" s="300">
        <v>0</v>
      </c>
      <c r="CB169" s="300">
        <v>0</v>
      </c>
      <c r="CC169" s="300">
        <v>0</v>
      </c>
      <c r="CD169" s="300">
        <v>0</v>
      </c>
      <c r="CE169" s="300">
        <v>0</v>
      </c>
      <c r="CF169" s="300">
        <v>0</v>
      </c>
      <c r="CG169" s="300">
        <v>0</v>
      </c>
      <c r="CH169" s="300">
        <v>0</v>
      </c>
      <c r="CI169" s="300">
        <v>0</v>
      </c>
      <c r="CJ169" s="300">
        <v>0</v>
      </c>
      <c r="CK169" s="300">
        <v>0</v>
      </c>
      <c r="CL169" s="300">
        <v>0</v>
      </c>
      <c r="CM169" s="300">
        <v>0</v>
      </c>
      <c r="CN169" s="300">
        <v>0</v>
      </c>
      <c r="CO169" s="300">
        <v>0</v>
      </c>
      <c r="CP169" s="254">
        <v>29.5</v>
      </c>
      <c r="CQ169" s="254"/>
      <c r="CR169" s="254"/>
      <c r="CS169" s="254"/>
      <c r="CT169" s="254"/>
      <c r="CW169" s="301"/>
      <c r="CX169" s="301"/>
      <c r="CY169" s="301"/>
    </row>
    <row r="170" spans="1:103" x14ac:dyDescent="0.2">
      <c r="A170" s="254">
        <v>29.75</v>
      </c>
      <c r="B170" s="122">
        <f t="shared" si="12"/>
        <v>1.8565071672220546E-5</v>
      </c>
      <c r="C170" s="122">
        <f t="shared" si="13"/>
        <v>5.9444173537704484E-6</v>
      </c>
      <c r="D170" s="122">
        <f t="shared" si="14"/>
        <v>0.2509672035694035</v>
      </c>
      <c r="E170" s="122">
        <f t="shared" si="15"/>
        <v>0</v>
      </c>
      <c r="F170" s="122">
        <f t="shared" si="21"/>
        <v>0</v>
      </c>
      <c r="G170" s="299">
        <f>HLOOKUP('Input &amp; Summary'!$B$6,'AEP Input Output sheet'!$N$50:$CO$211,ROW(G170)-49,0)</f>
        <v>0</v>
      </c>
      <c r="H170" s="122">
        <f t="shared" si="16"/>
        <v>0</v>
      </c>
      <c r="I170" s="247">
        <f t="shared" si="17"/>
        <v>0</v>
      </c>
      <c r="J170" s="254">
        <f t="shared" si="18"/>
        <v>32060.03361954978</v>
      </c>
      <c r="K170" s="122">
        <f t="shared" si="19"/>
        <v>8513.9115134202711</v>
      </c>
      <c r="L170" s="122">
        <f t="shared" si="22"/>
        <v>1662.9519221382577</v>
      </c>
      <c r="M170" s="122"/>
      <c r="N170" s="254">
        <f t="shared" si="20"/>
        <v>0</v>
      </c>
      <c r="O170">
        <v>0</v>
      </c>
      <c r="P170">
        <v>0</v>
      </c>
      <c r="Q170">
        <v>0</v>
      </c>
      <c r="R170">
        <v>0</v>
      </c>
      <c r="S170">
        <v>0</v>
      </c>
      <c r="T170">
        <v>0</v>
      </c>
      <c r="U170">
        <v>0</v>
      </c>
      <c r="V170">
        <v>0</v>
      </c>
      <c r="W170">
        <v>0</v>
      </c>
      <c r="X170" s="300">
        <v>0</v>
      </c>
      <c r="Y170" s="300">
        <v>0</v>
      </c>
      <c r="Z170" s="300">
        <v>0</v>
      </c>
      <c r="AA170" s="300">
        <v>0</v>
      </c>
      <c r="AB170" s="301">
        <v>0</v>
      </c>
      <c r="AC170" s="300">
        <v>0</v>
      </c>
      <c r="AD170" s="300">
        <v>0</v>
      </c>
      <c r="AE170" s="300">
        <v>0</v>
      </c>
      <c r="AF170" s="300">
        <v>0</v>
      </c>
      <c r="AG170" s="300">
        <v>0</v>
      </c>
      <c r="AH170" s="300">
        <v>0</v>
      </c>
      <c r="AI170" s="300">
        <v>0</v>
      </c>
      <c r="AJ170" s="300">
        <v>0</v>
      </c>
      <c r="AK170" s="300">
        <v>0</v>
      </c>
      <c r="AL170" s="300">
        <v>0</v>
      </c>
      <c r="AM170" s="300">
        <v>0</v>
      </c>
      <c r="AN170" s="300">
        <v>0</v>
      </c>
      <c r="AO170" s="300">
        <v>0</v>
      </c>
      <c r="AP170" s="300">
        <v>0</v>
      </c>
      <c r="AQ170" s="300">
        <v>0</v>
      </c>
      <c r="AR170" s="300">
        <v>0</v>
      </c>
      <c r="AS170" s="300">
        <v>0</v>
      </c>
      <c r="AT170" s="300">
        <v>0</v>
      </c>
      <c r="AU170" s="300">
        <v>0</v>
      </c>
      <c r="AV170" s="300">
        <v>0</v>
      </c>
      <c r="AW170" s="300">
        <v>0</v>
      </c>
      <c r="AX170" s="300">
        <v>0</v>
      </c>
      <c r="AY170" s="300">
        <v>0</v>
      </c>
      <c r="AZ170" s="300">
        <v>0</v>
      </c>
      <c r="BA170" s="300">
        <v>0</v>
      </c>
      <c r="BB170" s="300">
        <v>0</v>
      </c>
      <c r="BC170" s="301">
        <v>0</v>
      </c>
      <c r="BD170" s="300">
        <v>0</v>
      </c>
      <c r="BE170" s="300">
        <v>0</v>
      </c>
      <c r="BF170" s="300">
        <v>0</v>
      </c>
      <c r="BG170" s="300">
        <v>0</v>
      </c>
      <c r="BH170" s="300">
        <v>0</v>
      </c>
      <c r="BI170" s="300">
        <v>0</v>
      </c>
      <c r="BJ170" s="300">
        <v>0</v>
      </c>
      <c r="BK170" s="300">
        <v>0</v>
      </c>
      <c r="BL170" s="300">
        <v>0</v>
      </c>
      <c r="BM170" s="300">
        <v>0</v>
      </c>
      <c r="BN170" s="300">
        <v>0</v>
      </c>
      <c r="BO170" s="300">
        <v>0</v>
      </c>
      <c r="BP170" s="300">
        <v>0</v>
      </c>
      <c r="BQ170" s="300">
        <v>0</v>
      </c>
      <c r="BR170" s="300">
        <v>0</v>
      </c>
      <c r="BS170" s="301">
        <v>0</v>
      </c>
      <c r="BT170" s="300">
        <v>0</v>
      </c>
      <c r="BU170" s="300">
        <v>0</v>
      </c>
      <c r="BV170" s="300">
        <v>0</v>
      </c>
      <c r="BW170" s="300">
        <v>0</v>
      </c>
      <c r="BX170" s="300">
        <v>0</v>
      </c>
      <c r="BY170" s="300">
        <v>0</v>
      </c>
      <c r="BZ170" s="300">
        <v>0</v>
      </c>
      <c r="CA170" s="300">
        <v>0</v>
      </c>
      <c r="CB170" s="300">
        <v>0</v>
      </c>
      <c r="CC170" s="300">
        <v>0</v>
      </c>
      <c r="CD170" s="300">
        <v>0</v>
      </c>
      <c r="CE170" s="300">
        <v>0</v>
      </c>
      <c r="CF170" s="300">
        <v>0</v>
      </c>
      <c r="CG170" s="300">
        <v>0</v>
      </c>
      <c r="CH170" s="300">
        <v>0</v>
      </c>
      <c r="CI170" s="300">
        <v>0</v>
      </c>
      <c r="CJ170" s="300">
        <v>0</v>
      </c>
      <c r="CK170" s="300">
        <v>0</v>
      </c>
      <c r="CL170" s="300">
        <v>0</v>
      </c>
      <c r="CM170" s="300">
        <v>0</v>
      </c>
      <c r="CN170" s="300">
        <v>0</v>
      </c>
      <c r="CO170" s="300">
        <v>0</v>
      </c>
      <c r="CP170" s="254">
        <v>29.75</v>
      </c>
      <c r="CQ170" s="254"/>
      <c r="CR170" s="254"/>
      <c r="CS170" s="254"/>
      <c r="CT170" s="254"/>
      <c r="CW170" s="301"/>
      <c r="CX170" s="301"/>
      <c r="CY170" s="301"/>
    </row>
    <row r="171" spans="1:103" x14ac:dyDescent="0.2">
      <c r="A171" s="254">
        <v>30</v>
      </c>
      <c r="B171" s="122">
        <f t="shared" si="12"/>
        <v>1.5667393896048175E-5</v>
      </c>
      <c r="C171" s="122">
        <f t="shared" si="13"/>
        <v>4.8621763689296115E-6</v>
      </c>
      <c r="D171" s="122">
        <f t="shared" si="14"/>
        <v>0.21049473638262473</v>
      </c>
      <c r="E171" s="122">
        <f t="shared" si="15"/>
        <v>0</v>
      </c>
      <c r="F171" s="122">
        <f t="shared" si="21"/>
        <v>0</v>
      </c>
      <c r="G171" s="299">
        <f>HLOOKUP('Input &amp; Summary'!$B$6,'AEP Input Output sheet'!$N$50:$CO$211,ROW(G171)-49,0)</f>
        <v>0</v>
      </c>
      <c r="H171" s="122">
        <f t="shared" si="16"/>
        <v>0</v>
      </c>
      <c r="I171" s="247">
        <f t="shared" si="17"/>
        <v>0</v>
      </c>
      <c r="J171" s="254">
        <f t="shared" si="18"/>
        <v>32875.080686500223</v>
      </c>
      <c r="K171" s="122">
        <f t="shared" si="19"/>
        <v>8606.2542045879945</v>
      </c>
      <c r="L171" s="122">
        <f t="shared" si="22"/>
        <v>1662.9519221382577</v>
      </c>
      <c r="M171" s="122"/>
      <c r="N171" s="254">
        <f t="shared" si="20"/>
        <v>0</v>
      </c>
      <c r="O171">
        <v>0</v>
      </c>
      <c r="P171">
        <v>0</v>
      </c>
      <c r="Q171">
        <v>0</v>
      </c>
      <c r="R171">
        <v>0</v>
      </c>
      <c r="S171">
        <v>0</v>
      </c>
      <c r="T171">
        <v>0</v>
      </c>
      <c r="U171">
        <v>0</v>
      </c>
      <c r="V171">
        <v>0</v>
      </c>
      <c r="W171">
        <v>0</v>
      </c>
      <c r="X171" s="300">
        <v>0</v>
      </c>
      <c r="Y171" s="300">
        <v>0</v>
      </c>
      <c r="Z171" s="300">
        <v>0</v>
      </c>
      <c r="AA171" s="300">
        <v>0</v>
      </c>
      <c r="AB171" s="301">
        <v>0</v>
      </c>
      <c r="AC171" s="300">
        <v>0</v>
      </c>
      <c r="AD171" s="300">
        <v>0</v>
      </c>
      <c r="AE171" s="300">
        <v>0</v>
      </c>
      <c r="AF171" s="300">
        <v>0</v>
      </c>
      <c r="AG171" s="300">
        <v>0</v>
      </c>
      <c r="AH171" s="300">
        <v>0</v>
      </c>
      <c r="AI171" s="300">
        <v>0</v>
      </c>
      <c r="AJ171" s="300">
        <v>0</v>
      </c>
      <c r="AK171" s="300">
        <v>0</v>
      </c>
      <c r="AL171" s="300">
        <v>0</v>
      </c>
      <c r="AM171" s="300">
        <v>0</v>
      </c>
      <c r="AN171" s="300">
        <v>0</v>
      </c>
      <c r="AO171" s="300">
        <v>0</v>
      </c>
      <c r="AP171" s="300">
        <v>0</v>
      </c>
      <c r="AQ171" s="300">
        <v>0</v>
      </c>
      <c r="AR171" s="300">
        <v>0</v>
      </c>
      <c r="AS171" s="300">
        <v>0</v>
      </c>
      <c r="AT171" s="300">
        <v>0</v>
      </c>
      <c r="AU171" s="300">
        <v>0</v>
      </c>
      <c r="AV171" s="300">
        <v>0</v>
      </c>
      <c r="AW171" s="300">
        <v>0</v>
      </c>
      <c r="AX171" s="300">
        <v>0</v>
      </c>
      <c r="AY171" s="300">
        <v>0</v>
      </c>
      <c r="AZ171" s="300">
        <v>0</v>
      </c>
      <c r="BA171" s="300">
        <v>0</v>
      </c>
      <c r="BB171" s="300">
        <v>0</v>
      </c>
      <c r="BC171" s="301">
        <v>0</v>
      </c>
      <c r="BD171" s="300">
        <v>0</v>
      </c>
      <c r="BE171" s="300">
        <v>0</v>
      </c>
      <c r="BF171" s="300">
        <v>0</v>
      </c>
      <c r="BG171" s="300">
        <v>0</v>
      </c>
      <c r="BH171" s="300">
        <v>0</v>
      </c>
      <c r="BI171" s="300">
        <v>0</v>
      </c>
      <c r="BJ171" s="300">
        <v>0</v>
      </c>
      <c r="BK171" s="300">
        <v>0</v>
      </c>
      <c r="BL171" s="300">
        <v>0</v>
      </c>
      <c r="BM171" s="300">
        <v>0</v>
      </c>
      <c r="BN171" s="300">
        <v>0</v>
      </c>
      <c r="BO171" s="300">
        <v>0</v>
      </c>
      <c r="BP171" s="300">
        <v>0</v>
      </c>
      <c r="BQ171" s="300">
        <v>0</v>
      </c>
      <c r="BR171" s="300">
        <v>0</v>
      </c>
      <c r="BS171" s="301">
        <v>0</v>
      </c>
      <c r="BT171" s="300">
        <v>0</v>
      </c>
      <c r="BU171" s="300">
        <v>0</v>
      </c>
      <c r="BV171" s="300">
        <v>0</v>
      </c>
      <c r="BW171" s="300">
        <v>0</v>
      </c>
      <c r="BX171" s="300">
        <v>0</v>
      </c>
      <c r="BY171" s="300">
        <v>0</v>
      </c>
      <c r="BZ171" s="300">
        <v>0</v>
      </c>
      <c r="CA171" s="300">
        <v>0</v>
      </c>
      <c r="CB171" s="300">
        <v>0</v>
      </c>
      <c r="CC171" s="300">
        <v>0</v>
      </c>
      <c r="CD171" s="300">
        <v>0</v>
      </c>
      <c r="CE171" s="300">
        <v>0</v>
      </c>
      <c r="CF171" s="300">
        <v>0</v>
      </c>
      <c r="CG171" s="300">
        <v>0</v>
      </c>
      <c r="CH171" s="300">
        <v>0</v>
      </c>
      <c r="CI171" s="300">
        <v>0</v>
      </c>
      <c r="CJ171" s="300">
        <v>0</v>
      </c>
      <c r="CK171" s="300">
        <v>0</v>
      </c>
      <c r="CL171" s="300">
        <v>0</v>
      </c>
      <c r="CM171" s="300">
        <v>0</v>
      </c>
      <c r="CN171" s="300">
        <v>0</v>
      </c>
      <c r="CO171" s="300">
        <v>0</v>
      </c>
      <c r="CP171" s="254">
        <v>30</v>
      </c>
      <c r="CQ171" s="254"/>
      <c r="CR171" s="254"/>
      <c r="CS171" s="254"/>
      <c r="CT171" s="254"/>
      <c r="CW171" s="301"/>
      <c r="CX171" s="301"/>
      <c r="CY171" s="301"/>
    </row>
    <row r="172" spans="1:103" x14ac:dyDescent="0.2">
      <c r="A172" s="254">
        <v>30.25</v>
      </c>
      <c r="B172" s="122">
        <f t="shared" si="12"/>
        <v>1.3201387714336466E-5</v>
      </c>
      <c r="C172" s="122">
        <f t="shared" si="13"/>
        <v>3.9689753009033354E-6</v>
      </c>
      <c r="D172" s="122">
        <f t="shared" si="14"/>
        <v>0.17615756610907909</v>
      </c>
      <c r="E172" s="122">
        <f t="shared" si="15"/>
        <v>0</v>
      </c>
      <c r="F172" s="122">
        <f t="shared" si="21"/>
        <v>0</v>
      </c>
      <c r="G172" s="299">
        <f>HLOOKUP('Input &amp; Summary'!$B$6,'AEP Input Output sheet'!$N$50:$CO$211,ROW(G172)-49,0)</f>
        <v>0</v>
      </c>
      <c r="H172" s="122">
        <f t="shared" si="16"/>
        <v>0</v>
      </c>
      <c r="I172" s="247">
        <f t="shared" si="17"/>
        <v>0</v>
      </c>
      <c r="J172" s="254">
        <f t="shared" si="18"/>
        <v>33703.825703736693</v>
      </c>
      <c r="K172" s="122">
        <f t="shared" si="19"/>
        <v>8698.5968957557197</v>
      </c>
      <c r="L172" s="122">
        <f t="shared" si="22"/>
        <v>1662.9519221382577</v>
      </c>
      <c r="M172" s="122"/>
      <c r="N172" s="254">
        <f t="shared" si="20"/>
        <v>0</v>
      </c>
      <c r="O172">
        <v>0</v>
      </c>
      <c r="P172">
        <v>0</v>
      </c>
      <c r="Q172">
        <v>0</v>
      </c>
      <c r="R172">
        <v>0</v>
      </c>
      <c r="S172">
        <v>0</v>
      </c>
      <c r="T172">
        <v>0</v>
      </c>
      <c r="U172">
        <v>0</v>
      </c>
      <c r="V172">
        <v>0</v>
      </c>
      <c r="W172">
        <v>0</v>
      </c>
      <c r="X172" s="300">
        <v>0</v>
      </c>
      <c r="Y172" s="300">
        <v>0</v>
      </c>
      <c r="Z172" s="300">
        <v>0</v>
      </c>
      <c r="AA172" s="300">
        <v>0</v>
      </c>
      <c r="AB172" s="301">
        <v>0</v>
      </c>
      <c r="AC172" s="300">
        <v>0</v>
      </c>
      <c r="AD172" s="300">
        <v>0</v>
      </c>
      <c r="AE172" s="300">
        <v>0</v>
      </c>
      <c r="AF172" s="300">
        <v>0</v>
      </c>
      <c r="AG172" s="300">
        <v>0</v>
      </c>
      <c r="AH172" s="300">
        <v>0</v>
      </c>
      <c r="AI172" s="300">
        <v>0</v>
      </c>
      <c r="AJ172" s="300">
        <v>0</v>
      </c>
      <c r="AK172" s="300">
        <v>0</v>
      </c>
      <c r="AL172" s="300">
        <v>0</v>
      </c>
      <c r="AM172" s="300">
        <v>0</v>
      </c>
      <c r="AN172" s="300">
        <v>0</v>
      </c>
      <c r="AO172" s="300">
        <v>0</v>
      </c>
      <c r="AP172" s="300">
        <v>0</v>
      </c>
      <c r="AQ172" s="300">
        <v>0</v>
      </c>
      <c r="AR172" s="300">
        <v>0</v>
      </c>
      <c r="AS172" s="300">
        <v>0</v>
      </c>
      <c r="AT172" s="300">
        <v>0</v>
      </c>
      <c r="AU172" s="300">
        <v>0</v>
      </c>
      <c r="AV172" s="300">
        <v>0</v>
      </c>
      <c r="AW172" s="300">
        <v>0</v>
      </c>
      <c r="AX172" s="300">
        <v>0</v>
      </c>
      <c r="AY172" s="300">
        <v>0</v>
      </c>
      <c r="AZ172" s="300">
        <v>0</v>
      </c>
      <c r="BA172" s="300">
        <v>0</v>
      </c>
      <c r="BB172" s="300">
        <v>0</v>
      </c>
      <c r="BC172" s="301">
        <v>0</v>
      </c>
      <c r="BD172" s="300">
        <v>0</v>
      </c>
      <c r="BE172" s="300">
        <v>0</v>
      </c>
      <c r="BF172" s="300">
        <v>0</v>
      </c>
      <c r="BG172" s="300">
        <v>0</v>
      </c>
      <c r="BH172" s="300">
        <v>0</v>
      </c>
      <c r="BI172" s="300">
        <v>0</v>
      </c>
      <c r="BJ172" s="300">
        <v>0</v>
      </c>
      <c r="BK172" s="300">
        <v>0</v>
      </c>
      <c r="BL172" s="300">
        <v>0</v>
      </c>
      <c r="BM172" s="300">
        <v>0</v>
      </c>
      <c r="BN172" s="300">
        <v>0</v>
      </c>
      <c r="BO172" s="300">
        <v>0</v>
      </c>
      <c r="BP172" s="300">
        <v>0</v>
      </c>
      <c r="BQ172" s="300">
        <v>0</v>
      </c>
      <c r="BR172" s="300">
        <v>0</v>
      </c>
      <c r="BS172" s="301">
        <v>0</v>
      </c>
      <c r="BT172" s="300">
        <v>0</v>
      </c>
      <c r="BU172" s="300">
        <v>0</v>
      </c>
      <c r="BV172" s="300">
        <v>0</v>
      </c>
      <c r="BW172" s="300">
        <v>0</v>
      </c>
      <c r="BX172" s="300">
        <v>0</v>
      </c>
      <c r="BY172" s="300">
        <v>0</v>
      </c>
      <c r="BZ172" s="300">
        <v>0</v>
      </c>
      <c r="CA172" s="300">
        <v>0</v>
      </c>
      <c r="CB172" s="300">
        <v>0</v>
      </c>
      <c r="CC172" s="300">
        <v>0</v>
      </c>
      <c r="CD172" s="300">
        <v>0</v>
      </c>
      <c r="CE172" s="300">
        <v>0</v>
      </c>
      <c r="CF172" s="300">
        <v>0</v>
      </c>
      <c r="CG172" s="300">
        <v>0</v>
      </c>
      <c r="CH172" s="300">
        <v>0</v>
      </c>
      <c r="CI172" s="300">
        <v>0</v>
      </c>
      <c r="CJ172" s="300">
        <v>0</v>
      </c>
      <c r="CK172" s="300">
        <v>0</v>
      </c>
      <c r="CL172" s="300">
        <v>0</v>
      </c>
      <c r="CM172" s="300">
        <v>0</v>
      </c>
      <c r="CN172" s="300">
        <v>0</v>
      </c>
      <c r="CO172" s="300">
        <v>0</v>
      </c>
      <c r="CP172" s="254">
        <v>30.25</v>
      </c>
      <c r="CQ172" s="254"/>
      <c r="CR172" s="254"/>
      <c r="CS172" s="254"/>
      <c r="CT172" s="254"/>
      <c r="CW172" s="301"/>
      <c r="CX172" s="301"/>
      <c r="CY172" s="301"/>
    </row>
    <row r="173" spans="1:103" x14ac:dyDescent="0.2">
      <c r="A173" s="254">
        <v>30.5</v>
      </c>
      <c r="B173" s="122">
        <f t="shared" si="12"/>
        <v>1.110620277328078E-5</v>
      </c>
      <c r="C173" s="122">
        <f t="shared" si="13"/>
        <v>3.2333461850109053E-6</v>
      </c>
      <c r="D173" s="122">
        <f t="shared" si="14"/>
        <v>0.14709519683911804</v>
      </c>
      <c r="E173" s="122">
        <f t="shared" si="15"/>
        <v>0</v>
      </c>
      <c r="F173" s="122">
        <f t="shared" si="21"/>
        <v>0</v>
      </c>
      <c r="G173" s="299">
        <f>HLOOKUP('Input &amp; Summary'!$B$6,'AEP Input Output sheet'!$N$50:$CO$211,ROW(G173)-49,0)</f>
        <v>0</v>
      </c>
      <c r="H173" s="122">
        <f t="shared" si="16"/>
        <v>0</v>
      </c>
      <c r="I173" s="247">
        <f t="shared" si="17"/>
        <v>0</v>
      </c>
      <c r="J173" s="254">
        <f t="shared" si="18"/>
        <v>34546.382820844941</v>
      </c>
      <c r="K173" s="122">
        <f t="shared" si="19"/>
        <v>8790.9395869234449</v>
      </c>
      <c r="L173" s="122">
        <f t="shared" si="22"/>
        <v>1662.9519221382577</v>
      </c>
      <c r="M173" s="122"/>
      <c r="N173" s="254">
        <f t="shared" si="20"/>
        <v>0</v>
      </c>
      <c r="O173">
        <v>0</v>
      </c>
      <c r="P173">
        <v>0</v>
      </c>
      <c r="Q173">
        <v>0</v>
      </c>
      <c r="R173">
        <v>0</v>
      </c>
      <c r="S173">
        <v>0</v>
      </c>
      <c r="T173">
        <v>0</v>
      </c>
      <c r="U173">
        <v>0</v>
      </c>
      <c r="V173">
        <v>0</v>
      </c>
      <c r="W173">
        <v>0</v>
      </c>
      <c r="X173" s="300">
        <v>0</v>
      </c>
      <c r="Y173" s="300">
        <v>0</v>
      </c>
      <c r="Z173" s="300">
        <v>0</v>
      </c>
      <c r="AA173" s="300">
        <v>0</v>
      </c>
      <c r="AB173" s="301">
        <v>0</v>
      </c>
      <c r="AC173" s="300">
        <v>0</v>
      </c>
      <c r="AD173" s="300">
        <v>0</v>
      </c>
      <c r="AE173" s="300">
        <v>0</v>
      </c>
      <c r="AF173" s="300">
        <v>0</v>
      </c>
      <c r="AG173" s="300">
        <v>0</v>
      </c>
      <c r="AH173" s="300">
        <v>0</v>
      </c>
      <c r="AI173" s="300">
        <v>0</v>
      </c>
      <c r="AJ173" s="300">
        <v>0</v>
      </c>
      <c r="AK173" s="300">
        <v>0</v>
      </c>
      <c r="AL173" s="300">
        <v>0</v>
      </c>
      <c r="AM173" s="300">
        <v>0</v>
      </c>
      <c r="AN173" s="300">
        <v>0</v>
      </c>
      <c r="AO173" s="300">
        <v>0</v>
      </c>
      <c r="AP173" s="300">
        <v>0</v>
      </c>
      <c r="AQ173" s="300">
        <v>0</v>
      </c>
      <c r="AR173" s="300">
        <v>0</v>
      </c>
      <c r="AS173" s="300">
        <v>0</v>
      </c>
      <c r="AT173" s="300">
        <v>0</v>
      </c>
      <c r="AU173" s="300">
        <v>0</v>
      </c>
      <c r="AV173" s="300">
        <v>0</v>
      </c>
      <c r="AW173" s="300">
        <v>0</v>
      </c>
      <c r="AX173" s="300">
        <v>0</v>
      </c>
      <c r="AY173" s="300">
        <v>0</v>
      </c>
      <c r="AZ173" s="300">
        <v>0</v>
      </c>
      <c r="BA173" s="300">
        <v>0</v>
      </c>
      <c r="BB173" s="300">
        <v>0</v>
      </c>
      <c r="BC173" s="301">
        <v>0</v>
      </c>
      <c r="BD173" s="300">
        <v>0</v>
      </c>
      <c r="BE173" s="300">
        <v>0</v>
      </c>
      <c r="BF173" s="300">
        <v>0</v>
      </c>
      <c r="BG173" s="300">
        <v>0</v>
      </c>
      <c r="BH173" s="300">
        <v>0</v>
      </c>
      <c r="BI173" s="300">
        <v>0</v>
      </c>
      <c r="BJ173" s="300">
        <v>0</v>
      </c>
      <c r="BK173" s="300">
        <v>0</v>
      </c>
      <c r="BL173" s="300">
        <v>0</v>
      </c>
      <c r="BM173" s="300">
        <v>0</v>
      </c>
      <c r="BN173" s="300">
        <v>0</v>
      </c>
      <c r="BO173" s="300">
        <v>0</v>
      </c>
      <c r="BP173" s="300">
        <v>0</v>
      </c>
      <c r="BQ173" s="300">
        <v>0</v>
      </c>
      <c r="BR173" s="300">
        <v>0</v>
      </c>
      <c r="BS173" s="301">
        <v>0</v>
      </c>
      <c r="BT173" s="300">
        <v>0</v>
      </c>
      <c r="BU173" s="300">
        <v>0</v>
      </c>
      <c r="BV173" s="300">
        <v>0</v>
      </c>
      <c r="BW173" s="300">
        <v>0</v>
      </c>
      <c r="BX173" s="300">
        <v>0</v>
      </c>
      <c r="BY173" s="300">
        <v>0</v>
      </c>
      <c r="BZ173" s="300">
        <v>0</v>
      </c>
      <c r="CA173" s="300">
        <v>0</v>
      </c>
      <c r="CB173" s="300">
        <v>0</v>
      </c>
      <c r="CC173" s="300">
        <v>0</v>
      </c>
      <c r="CD173" s="300">
        <v>0</v>
      </c>
      <c r="CE173" s="300">
        <v>0</v>
      </c>
      <c r="CF173" s="300">
        <v>0</v>
      </c>
      <c r="CG173" s="300">
        <v>0</v>
      </c>
      <c r="CH173" s="300">
        <v>0</v>
      </c>
      <c r="CI173" s="300">
        <v>0</v>
      </c>
      <c r="CJ173" s="300">
        <v>0</v>
      </c>
      <c r="CK173" s="300">
        <v>0</v>
      </c>
      <c r="CL173" s="300">
        <v>0</v>
      </c>
      <c r="CM173" s="300">
        <v>0</v>
      </c>
      <c r="CN173" s="300">
        <v>0</v>
      </c>
      <c r="CO173" s="300">
        <v>0</v>
      </c>
      <c r="CP173" s="254">
        <v>30.5</v>
      </c>
      <c r="CQ173" s="254"/>
      <c r="CR173" s="254"/>
      <c r="CS173" s="254"/>
      <c r="CT173" s="254"/>
      <c r="CW173" s="301"/>
      <c r="CX173" s="301"/>
      <c r="CY173" s="301"/>
    </row>
    <row r="174" spans="1:103" x14ac:dyDescent="0.2">
      <c r="A174" s="254">
        <v>30.75</v>
      </c>
      <c r="B174" s="122">
        <f t="shared" si="12"/>
        <v>9.3290040877984641E-6</v>
      </c>
      <c r="C174" s="122">
        <f t="shared" si="13"/>
        <v>2.62876628861902E-6</v>
      </c>
      <c r="D174" s="122">
        <f t="shared" si="14"/>
        <v>0.12255586654018806</v>
      </c>
      <c r="E174" s="122">
        <f t="shared" si="15"/>
        <v>0</v>
      </c>
      <c r="F174" s="122">
        <f t="shared" si="21"/>
        <v>0</v>
      </c>
      <c r="G174" s="299">
        <f>HLOOKUP('Input &amp; Summary'!$B$6,'AEP Input Output sheet'!$N$50:$CO$211,ROW(G174)-49,0)</f>
        <v>0</v>
      </c>
      <c r="H174" s="122">
        <f t="shared" si="16"/>
        <v>0</v>
      </c>
      <c r="I174" s="247">
        <f t="shared" si="17"/>
        <v>0</v>
      </c>
      <c r="J174" s="254">
        <f t="shared" si="18"/>
        <v>35402.86618741064</v>
      </c>
      <c r="K174" s="122">
        <f t="shared" si="19"/>
        <v>8883.2822780911683</v>
      </c>
      <c r="L174" s="122">
        <f t="shared" si="22"/>
        <v>1662.9519221382577</v>
      </c>
      <c r="M174" s="122"/>
      <c r="N174" s="254">
        <f t="shared" si="20"/>
        <v>0</v>
      </c>
      <c r="O174">
        <v>0</v>
      </c>
      <c r="P174">
        <v>0</v>
      </c>
      <c r="Q174">
        <v>0</v>
      </c>
      <c r="R174">
        <v>0</v>
      </c>
      <c r="S174">
        <v>0</v>
      </c>
      <c r="T174">
        <v>0</v>
      </c>
      <c r="U174">
        <v>0</v>
      </c>
      <c r="V174">
        <v>0</v>
      </c>
      <c r="W174">
        <v>0</v>
      </c>
      <c r="X174" s="300">
        <v>0</v>
      </c>
      <c r="Y174" s="300">
        <v>0</v>
      </c>
      <c r="Z174" s="300">
        <v>0</v>
      </c>
      <c r="AA174" s="300">
        <v>0</v>
      </c>
      <c r="AB174" s="301">
        <v>0</v>
      </c>
      <c r="AC174" s="300">
        <v>0</v>
      </c>
      <c r="AD174" s="300">
        <v>0</v>
      </c>
      <c r="AE174" s="300">
        <v>0</v>
      </c>
      <c r="AF174" s="300">
        <v>0</v>
      </c>
      <c r="AG174" s="300">
        <v>0</v>
      </c>
      <c r="AH174" s="300">
        <v>0</v>
      </c>
      <c r="AI174" s="300">
        <v>0</v>
      </c>
      <c r="AJ174" s="300">
        <v>0</v>
      </c>
      <c r="AK174" s="300">
        <v>0</v>
      </c>
      <c r="AL174" s="300">
        <v>0</v>
      </c>
      <c r="AM174" s="300">
        <v>0</v>
      </c>
      <c r="AN174" s="300">
        <v>0</v>
      </c>
      <c r="AO174" s="300">
        <v>0</v>
      </c>
      <c r="AP174" s="300">
        <v>0</v>
      </c>
      <c r="AQ174" s="300">
        <v>0</v>
      </c>
      <c r="AR174" s="300">
        <v>0</v>
      </c>
      <c r="AS174" s="300">
        <v>0</v>
      </c>
      <c r="AT174" s="300">
        <v>0</v>
      </c>
      <c r="AU174" s="300">
        <v>0</v>
      </c>
      <c r="AV174" s="300">
        <v>0</v>
      </c>
      <c r="AW174" s="300">
        <v>0</v>
      </c>
      <c r="AX174" s="300">
        <v>0</v>
      </c>
      <c r="AY174" s="300">
        <v>0</v>
      </c>
      <c r="AZ174" s="300">
        <v>0</v>
      </c>
      <c r="BA174" s="300">
        <v>0</v>
      </c>
      <c r="BB174" s="300">
        <v>0</v>
      </c>
      <c r="BC174" s="301">
        <v>0</v>
      </c>
      <c r="BD174" s="300">
        <v>0</v>
      </c>
      <c r="BE174" s="300">
        <v>0</v>
      </c>
      <c r="BF174" s="300">
        <v>0</v>
      </c>
      <c r="BG174" s="300">
        <v>0</v>
      </c>
      <c r="BH174" s="300">
        <v>0</v>
      </c>
      <c r="BI174" s="300">
        <v>0</v>
      </c>
      <c r="BJ174" s="300">
        <v>0</v>
      </c>
      <c r="BK174" s="300">
        <v>0</v>
      </c>
      <c r="BL174" s="300">
        <v>0</v>
      </c>
      <c r="BM174" s="300">
        <v>0</v>
      </c>
      <c r="BN174" s="300">
        <v>0</v>
      </c>
      <c r="BO174" s="300">
        <v>0</v>
      </c>
      <c r="BP174" s="300">
        <v>0</v>
      </c>
      <c r="BQ174" s="300">
        <v>0</v>
      </c>
      <c r="BR174" s="300">
        <v>0</v>
      </c>
      <c r="BS174" s="301">
        <v>0</v>
      </c>
      <c r="BT174" s="300">
        <v>0</v>
      </c>
      <c r="BU174" s="300">
        <v>0</v>
      </c>
      <c r="BV174" s="300">
        <v>0</v>
      </c>
      <c r="BW174" s="300">
        <v>0</v>
      </c>
      <c r="BX174" s="300">
        <v>0</v>
      </c>
      <c r="BY174" s="300">
        <v>0</v>
      </c>
      <c r="BZ174" s="300">
        <v>0</v>
      </c>
      <c r="CA174" s="300">
        <v>0</v>
      </c>
      <c r="CB174" s="300">
        <v>0</v>
      </c>
      <c r="CC174" s="300">
        <v>0</v>
      </c>
      <c r="CD174" s="300">
        <v>0</v>
      </c>
      <c r="CE174" s="300">
        <v>0</v>
      </c>
      <c r="CF174" s="300">
        <v>0</v>
      </c>
      <c r="CG174" s="300">
        <v>0</v>
      </c>
      <c r="CH174" s="300">
        <v>0</v>
      </c>
      <c r="CI174" s="300">
        <v>0</v>
      </c>
      <c r="CJ174" s="300">
        <v>0</v>
      </c>
      <c r="CK174" s="300">
        <v>0</v>
      </c>
      <c r="CL174" s="300">
        <v>0</v>
      </c>
      <c r="CM174" s="300">
        <v>0</v>
      </c>
      <c r="CN174" s="300">
        <v>0</v>
      </c>
      <c r="CO174" s="300">
        <v>0</v>
      </c>
      <c r="CP174" s="254">
        <v>30.75</v>
      </c>
      <c r="CQ174" s="254"/>
      <c r="CR174" s="254"/>
      <c r="CS174" s="254"/>
      <c r="CT174" s="254"/>
      <c r="CW174" s="301"/>
      <c r="CX174" s="301"/>
      <c r="CY174" s="301"/>
    </row>
    <row r="175" spans="1:103" x14ac:dyDescent="0.2">
      <c r="A175" s="254">
        <v>31</v>
      </c>
      <c r="B175" s="122">
        <f t="shared" si="12"/>
        <v>7.8240048965776806E-6</v>
      </c>
      <c r="C175" s="122">
        <f t="shared" si="13"/>
        <v>2.1329346102056392E-6</v>
      </c>
      <c r="D175" s="122">
        <f t="shared" si="14"/>
        <v>0.10188479849913537</v>
      </c>
      <c r="E175" s="122">
        <f t="shared" si="15"/>
        <v>0</v>
      </c>
      <c r="F175" s="122">
        <f t="shared" si="21"/>
        <v>0</v>
      </c>
      <c r="G175" s="299">
        <f>HLOOKUP('Input &amp; Summary'!$B$6,'AEP Input Output sheet'!$N$50:$CO$211,ROW(G175)-49,0)</f>
        <v>0</v>
      </c>
      <c r="H175" s="122">
        <f t="shared" si="16"/>
        <v>0</v>
      </c>
      <c r="I175" s="247">
        <f t="shared" si="17"/>
        <v>0</v>
      </c>
      <c r="J175" s="254">
        <f t="shared" si="18"/>
        <v>36273.389953019549</v>
      </c>
      <c r="K175" s="122">
        <f t="shared" si="19"/>
        <v>8975.6249692588935</v>
      </c>
      <c r="L175" s="122">
        <f t="shared" si="22"/>
        <v>1662.9519221382577</v>
      </c>
      <c r="M175" s="122"/>
      <c r="N175" s="254">
        <f t="shared" si="20"/>
        <v>0</v>
      </c>
      <c r="O175">
        <v>0</v>
      </c>
      <c r="P175">
        <v>0</v>
      </c>
      <c r="Q175">
        <v>0</v>
      </c>
      <c r="R175">
        <v>0</v>
      </c>
      <c r="S175">
        <v>0</v>
      </c>
      <c r="T175">
        <v>0</v>
      </c>
      <c r="U175">
        <v>0</v>
      </c>
      <c r="V175">
        <v>0</v>
      </c>
      <c r="W175">
        <v>0</v>
      </c>
      <c r="X175" s="300">
        <v>0</v>
      </c>
      <c r="Y175" s="300">
        <v>0</v>
      </c>
      <c r="Z175" s="300">
        <v>0</v>
      </c>
      <c r="AA175" s="300">
        <v>0</v>
      </c>
      <c r="AB175" s="301">
        <v>0</v>
      </c>
      <c r="AC175" s="300">
        <v>0</v>
      </c>
      <c r="AD175" s="300">
        <v>0</v>
      </c>
      <c r="AE175" s="300">
        <v>0</v>
      </c>
      <c r="AF175" s="300">
        <v>0</v>
      </c>
      <c r="AG175" s="300">
        <v>0</v>
      </c>
      <c r="AH175" s="300">
        <v>0</v>
      </c>
      <c r="AI175" s="300">
        <v>0</v>
      </c>
      <c r="AJ175" s="300">
        <v>0</v>
      </c>
      <c r="AK175" s="300">
        <v>0</v>
      </c>
      <c r="AL175" s="300">
        <v>0</v>
      </c>
      <c r="AM175" s="300">
        <v>0</v>
      </c>
      <c r="AN175" s="300">
        <v>0</v>
      </c>
      <c r="AO175" s="300">
        <v>0</v>
      </c>
      <c r="AP175" s="300">
        <v>0</v>
      </c>
      <c r="AQ175" s="300">
        <v>0</v>
      </c>
      <c r="AR175" s="300">
        <v>0</v>
      </c>
      <c r="AS175" s="300">
        <v>0</v>
      </c>
      <c r="AT175" s="300">
        <v>0</v>
      </c>
      <c r="AU175" s="300">
        <v>0</v>
      </c>
      <c r="AV175" s="300">
        <v>0</v>
      </c>
      <c r="AW175" s="300">
        <v>0</v>
      </c>
      <c r="AX175" s="300">
        <v>0</v>
      </c>
      <c r="AY175" s="300">
        <v>0</v>
      </c>
      <c r="AZ175" s="300">
        <v>0</v>
      </c>
      <c r="BA175" s="300">
        <v>0</v>
      </c>
      <c r="BB175" s="300">
        <v>0</v>
      </c>
      <c r="BC175" s="301">
        <v>0</v>
      </c>
      <c r="BD175" s="300">
        <v>0</v>
      </c>
      <c r="BE175" s="300">
        <v>0</v>
      </c>
      <c r="BF175" s="300">
        <v>0</v>
      </c>
      <c r="BG175" s="300">
        <v>0</v>
      </c>
      <c r="BH175" s="300">
        <v>0</v>
      </c>
      <c r="BI175" s="300">
        <v>0</v>
      </c>
      <c r="BJ175" s="300">
        <v>0</v>
      </c>
      <c r="BK175" s="300">
        <v>0</v>
      </c>
      <c r="BL175" s="300">
        <v>0</v>
      </c>
      <c r="BM175" s="300">
        <v>0</v>
      </c>
      <c r="BN175" s="300">
        <v>0</v>
      </c>
      <c r="BO175" s="300">
        <v>0</v>
      </c>
      <c r="BP175" s="300">
        <v>0</v>
      </c>
      <c r="BQ175" s="300">
        <v>0</v>
      </c>
      <c r="BR175" s="300">
        <v>0</v>
      </c>
      <c r="BS175" s="301">
        <v>0</v>
      </c>
      <c r="BT175" s="300">
        <v>0</v>
      </c>
      <c r="BU175" s="300">
        <v>0</v>
      </c>
      <c r="BV175" s="300">
        <v>0</v>
      </c>
      <c r="BW175" s="300">
        <v>0</v>
      </c>
      <c r="BX175" s="300">
        <v>0</v>
      </c>
      <c r="BY175" s="300">
        <v>0</v>
      </c>
      <c r="BZ175" s="300">
        <v>0</v>
      </c>
      <c r="CA175" s="300">
        <v>0</v>
      </c>
      <c r="CB175" s="300">
        <v>0</v>
      </c>
      <c r="CC175" s="300">
        <v>0</v>
      </c>
      <c r="CD175" s="300">
        <v>0</v>
      </c>
      <c r="CE175" s="300">
        <v>0</v>
      </c>
      <c r="CF175" s="300">
        <v>0</v>
      </c>
      <c r="CG175" s="300">
        <v>0</v>
      </c>
      <c r="CH175" s="300">
        <v>0</v>
      </c>
      <c r="CI175" s="300">
        <v>0</v>
      </c>
      <c r="CJ175" s="300">
        <v>0</v>
      </c>
      <c r="CK175" s="300">
        <v>0</v>
      </c>
      <c r="CL175" s="300">
        <v>0</v>
      </c>
      <c r="CM175" s="300">
        <v>0</v>
      </c>
      <c r="CN175" s="300">
        <v>0</v>
      </c>
      <c r="CO175" s="300">
        <v>0</v>
      </c>
      <c r="CP175" s="254">
        <v>31</v>
      </c>
      <c r="CQ175" s="254"/>
      <c r="CR175" s="254"/>
      <c r="CS175" s="254"/>
      <c r="CT175" s="254"/>
      <c r="CW175" s="301"/>
      <c r="CX175" s="301"/>
      <c r="CY175" s="301"/>
    </row>
    <row r="176" spans="1:103" x14ac:dyDescent="0.2">
      <c r="A176" s="254">
        <v>31.25</v>
      </c>
      <c r="B176" s="122">
        <f t="shared" si="12"/>
        <v>6.5516026542445594E-6</v>
      </c>
      <c r="C176" s="122">
        <f t="shared" si="13"/>
        <v>1.7271447010553108E-6</v>
      </c>
      <c r="D176" s="122">
        <f t="shared" si="14"/>
        <v>8.451339681875894E-2</v>
      </c>
      <c r="E176" s="122">
        <f t="shared" si="15"/>
        <v>0</v>
      </c>
      <c r="F176" s="122">
        <f t="shared" si="21"/>
        <v>0</v>
      </c>
      <c r="G176" s="299">
        <f>HLOOKUP('Input &amp; Summary'!$B$6,'AEP Input Output sheet'!$N$50:$CO$211,ROW(G176)-49,0)</f>
        <v>0</v>
      </c>
      <c r="H176" s="122">
        <f t="shared" si="16"/>
        <v>0</v>
      </c>
      <c r="I176" s="247">
        <f t="shared" si="17"/>
        <v>0</v>
      </c>
      <c r="J176" s="254">
        <f t="shared" si="18"/>
        <v>37158.068267257375</v>
      </c>
      <c r="K176" s="122">
        <f t="shared" si="19"/>
        <v>9067.9676604266169</v>
      </c>
      <c r="L176" s="122">
        <f t="shared" si="22"/>
        <v>1662.9519221382577</v>
      </c>
      <c r="M176" s="122"/>
      <c r="N176" s="254">
        <f t="shared" si="20"/>
        <v>0</v>
      </c>
      <c r="O176">
        <v>0</v>
      </c>
      <c r="P176">
        <v>0</v>
      </c>
      <c r="Q176">
        <v>0</v>
      </c>
      <c r="R176">
        <v>0</v>
      </c>
      <c r="S176">
        <v>0</v>
      </c>
      <c r="T176">
        <v>0</v>
      </c>
      <c r="U176">
        <v>0</v>
      </c>
      <c r="V176">
        <v>0</v>
      </c>
      <c r="W176">
        <v>0</v>
      </c>
      <c r="X176" s="300">
        <v>0</v>
      </c>
      <c r="Y176" s="300">
        <v>0</v>
      </c>
      <c r="Z176" s="300">
        <v>0</v>
      </c>
      <c r="AA176" s="300">
        <v>0</v>
      </c>
      <c r="AB176" s="301">
        <v>0</v>
      </c>
      <c r="AC176" s="300">
        <v>0</v>
      </c>
      <c r="AD176" s="300">
        <v>0</v>
      </c>
      <c r="AE176" s="300">
        <v>0</v>
      </c>
      <c r="AF176" s="300">
        <v>0</v>
      </c>
      <c r="AG176" s="300">
        <v>0</v>
      </c>
      <c r="AH176" s="300">
        <v>0</v>
      </c>
      <c r="AI176" s="300">
        <v>0</v>
      </c>
      <c r="AJ176" s="300">
        <v>0</v>
      </c>
      <c r="AK176" s="300">
        <v>0</v>
      </c>
      <c r="AL176" s="300">
        <v>0</v>
      </c>
      <c r="AM176" s="300">
        <v>0</v>
      </c>
      <c r="AN176" s="300">
        <v>0</v>
      </c>
      <c r="AO176" s="300">
        <v>0</v>
      </c>
      <c r="AP176" s="300">
        <v>0</v>
      </c>
      <c r="AQ176" s="300">
        <v>0</v>
      </c>
      <c r="AR176" s="300">
        <v>0</v>
      </c>
      <c r="AS176" s="300">
        <v>0</v>
      </c>
      <c r="AT176" s="300">
        <v>0</v>
      </c>
      <c r="AU176" s="300">
        <v>0</v>
      </c>
      <c r="AV176" s="300">
        <v>0</v>
      </c>
      <c r="AW176" s="300">
        <v>0</v>
      </c>
      <c r="AX176" s="300">
        <v>0</v>
      </c>
      <c r="AY176" s="300">
        <v>0</v>
      </c>
      <c r="AZ176" s="300">
        <v>0</v>
      </c>
      <c r="BA176" s="300">
        <v>0</v>
      </c>
      <c r="BB176" s="300">
        <v>0</v>
      </c>
      <c r="BC176" s="301">
        <v>0</v>
      </c>
      <c r="BD176" s="300">
        <v>0</v>
      </c>
      <c r="BE176" s="300">
        <v>0</v>
      </c>
      <c r="BF176" s="300">
        <v>0</v>
      </c>
      <c r="BG176" s="300">
        <v>0</v>
      </c>
      <c r="BH176" s="300">
        <v>0</v>
      </c>
      <c r="BI176" s="300">
        <v>0</v>
      </c>
      <c r="BJ176" s="300">
        <v>0</v>
      </c>
      <c r="BK176" s="300">
        <v>0</v>
      </c>
      <c r="BL176" s="300">
        <v>0</v>
      </c>
      <c r="BM176" s="300">
        <v>0</v>
      </c>
      <c r="BN176" s="300">
        <v>0</v>
      </c>
      <c r="BO176" s="300">
        <v>0</v>
      </c>
      <c r="BP176" s="300">
        <v>0</v>
      </c>
      <c r="BQ176" s="300">
        <v>0</v>
      </c>
      <c r="BR176" s="300">
        <v>0</v>
      </c>
      <c r="BS176" s="301">
        <v>0</v>
      </c>
      <c r="BT176" s="300">
        <v>0</v>
      </c>
      <c r="BU176" s="300">
        <v>0</v>
      </c>
      <c r="BV176" s="300">
        <v>0</v>
      </c>
      <c r="BW176" s="300">
        <v>0</v>
      </c>
      <c r="BX176" s="300">
        <v>0</v>
      </c>
      <c r="BY176" s="300">
        <v>0</v>
      </c>
      <c r="BZ176" s="300">
        <v>0</v>
      </c>
      <c r="CA176" s="300">
        <v>0</v>
      </c>
      <c r="CB176" s="300">
        <v>0</v>
      </c>
      <c r="CC176" s="300">
        <v>0</v>
      </c>
      <c r="CD176" s="300">
        <v>0</v>
      </c>
      <c r="CE176" s="300">
        <v>0</v>
      </c>
      <c r="CF176" s="300">
        <v>0</v>
      </c>
      <c r="CG176" s="300">
        <v>0</v>
      </c>
      <c r="CH176" s="300">
        <v>0</v>
      </c>
      <c r="CI176" s="300">
        <v>0</v>
      </c>
      <c r="CJ176" s="300">
        <v>0</v>
      </c>
      <c r="CK176" s="300">
        <v>0</v>
      </c>
      <c r="CL176" s="300">
        <v>0</v>
      </c>
      <c r="CM176" s="300">
        <v>0</v>
      </c>
      <c r="CN176" s="300">
        <v>0</v>
      </c>
      <c r="CO176" s="300">
        <v>0</v>
      </c>
      <c r="CP176" s="254">
        <v>31.25</v>
      </c>
      <c r="CQ176" s="254"/>
      <c r="CR176" s="254"/>
      <c r="CS176" s="254"/>
      <c r="CT176" s="254"/>
      <c r="CW176" s="301"/>
      <c r="CX176" s="301"/>
      <c r="CY176" s="301"/>
    </row>
    <row r="177" spans="1:103" x14ac:dyDescent="0.2">
      <c r="A177" s="254">
        <v>31.5</v>
      </c>
      <c r="B177" s="122">
        <f t="shared" si="12"/>
        <v>5.4776091879680327E-6</v>
      </c>
      <c r="C177" s="122">
        <f t="shared" si="13"/>
        <v>1.3957426307426519E-6</v>
      </c>
      <c r="D177" s="122">
        <f t="shared" si="14"/>
        <v>6.9949364444069781E-2</v>
      </c>
      <c r="E177" s="122">
        <f t="shared" si="15"/>
        <v>0</v>
      </c>
      <c r="F177" s="122">
        <f t="shared" si="21"/>
        <v>0</v>
      </c>
      <c r="G177" s="299">
        <f>HLOOKUP('Input &amp; Summary'!$B$6,'AEP Input Output sheet'!$N$50:$CO$211,ROW(G177)-49,0)</f>
        <v>0</v>
      </c>
      <c r="H177" s="122">
        <f t="shared" si="16"/>
        <v>0</v>
      </c>
      <c r="I177" s="247">
        <f t="shared" si="17"/>
        <v>0</v>
      </c>
      <c r="J177" s="254">
        <f t="shared" si="18"/>
        <v>38057.015279709805</v>
      </c>
      <c r="K177" s="122">
        <f t="shared" si="19"/>
        <v>9160.3103515943421</v>
      </c>
      <c r="L177" s="122">
        <f t="shared" si="22"/>
        <v>1662.9519221382577</v>
      </c>
      <c r="M177" s="122"/>
      <c r="N177" s="254">
        <f t="shared" si="20"/>
        <v>0</v>
      </c>
      <c r="O177">
        <v>0</v>
      </c>
      <c r="P177">
        <v>0</v>
      </c>
      <c r="Q177">
        <v>0</v>
      </c>
      <c r="R177">
        <v>0</v>
      </c>
      <c r="S177">
        <v>0</v>
      </c>
      <c r="T177">
        <v>0</v>
      </c>
      <c r="U177">
        <v>0</v>
      </c>
      <c r="V177">
        <v>0</v>
      </c>
      <c r="W177">
        <v>0</v>
      </c>
      <c r="X177" s="300">
        <v>0</v>
      </c>
      <c r="Y177" s="300">
        <v>0</v>
      </c>
      <c r="Z177" s="300">
        <v>0</v>
      </c>
      <c r="AA177" s="300">
        <v>0</v>
      </c>
      <c r="AB177" s="301">
        <v>0</v>
      </c>
      <c r="AC177" s="300">
        <v>0</v>
      </c>
      <c r="AD177" s="300">
        <v>0</v>
      </c>
      <c r="AE177" s="300">
        <v>0</v>
      </c>
      <c r="AF177" s="300">
        <v>0</v>
      </c>
      <c r="AG177" s="300">
        <v>0</v>
      </c>
      <c r="AH177" s="300">
        <v>0</v>
      </c>
      <c r="AI177" s="300">
        <v>0</v>
      </c>
      <c r="AJ177" s="300">
        <v>0</v>
      </c>
      <c r="AK177" s="300">
        <v>0</v>
      </c>
      <c r="AL177" s="300">
        <v>0</v>
      </c>
      <c r="AM177" s="300">
        <v>0</v>
      </c>
      <c r="AN177" s="300">
        <v>0</v>
      </c>
      <c r="AO177" s="300">
        <v>0</v>
      </c>
      <c r="AP177" s="300">
        <v>0</v>
      </c>
      <c r="AQ177" s="300">
        <v>0</v>
      </c>
      <c r="AR177" s="300">
        <v>0</v>
      </c>
      <c r="AS177" s="300">
        <v>0</v>
      </c>
      <c r="AT177" s="300">
        <v>0</v>
      </c>
      <c r="AU177" s="300">
        <v>0</v>
      </c>
      <c r="AV177" s="300">
        <v>0</v>
      </c>
      <c r="AW177" s="300">
        <v>0</v>
      </c>
      <c r="AX177" s="300">
        <v>0</v>
      </c>
      <c r="AY177" s="300">
        <v>0</v>
      </c>
      <c r="AZ177" s="300">
        <v>0</v>
      </c>
      <c r="BA177" s="300">
        <v>0</v>
      </c>
      <c r="BB177" s="300">
        <v>0</v>
      </c>
      <c r="BC177" s="301">
        <v>0</v>
      </c>
      <c r="BD177" s="300">
        <v>0</v>
      </c>
      <c r="BE177" s="300">
        <v>0</v>
      </c>
      <c r="BF177" s="300">
        <v>0</v>
      </c>
      <c r="BG177" s="300">
        <v>0</v>
      </c>
      <c r="BH177" s="300">
        <v>0</v>
      </c>
      <c r="BI177" s="300">
        <v>0</v>
      </c>
      <c r="BJ177" s="300">
        <v>0</v>
      </c>
      <c r="BK177" s="300">
        <v>0</v>
      </c>
      <c r="BL177" s="300">
        <v>0</v>
      </c>
      <c r="BM177" s="300">
        <v>0</v>
      </c>
      <c r="BN177" s="300">
        <v>0</v>
      </c>
      <c r="BO177" s="300">
        <v>0</v>
      </c>
      <c r="BP177" s="300">
        <v>0</v>
      </c>
      <c r="BQ177" s="300">
        <v>0</v>
      </c>
      <c r="BR177" s="300">
        <v>0</v>
      </c>
      <c r="BS177" s="301">
        <v>0</v>
      </c>
      <c r="BT177" s="300">
        <v>0</v>
      </c>
      <c r="BU177" s="300">
        <v>0</v>
      </c>
      <c r="BV177" s="300">
        <v>0</v>
      </c>
      <c r="BW177" s="300">
        <v>0</v>
      </c>
      <c r="BX177" s="300">
        <v>0</v>
      </c>
      <c r="BY177" s="300">
        <v>0</v>
      </c>
      <c r="BZ177" s="300">
        <v>0</v>
      </c>
      <c r="CA177" s="300">
        <v>0</v>
      </c>
      <c r="CB177" s="300">
        <v>0</v>
      </c>
      <c r="CC177" s="300">
        <v>0</v>
      </c>
      <c r="CD177" s="300">
        <v>0</v>
      </c>
      <c r="CE177" s="300">
        <v>0</v>
      </c>
      <c r="CF177" s="300">
        <v>0</v>
      </c>
      <c r="CG177" s="300">
        <v>0</v>
      </c>
      <c r="CH177" s="300">
        <v>0</v>
      </c>
      <c r="CI177" s="300">
        <v>0</v>
      </c>
      <c r="CJ177" s="300">
        <v>0</v>
      </c>
      <c r="CK177" s="300">
        <v>0</v>
      </c>
      <c r="CL177" s="300">
        <v>0</v>
      </c>
      <c r="CM177" s="300">
        <v>0</v>
      </c>
      <c r="CN177" s="300">
        <v>0</v>
      </c>
      <c r="CO177" s="300">
        <v>0</v>
      </c>
      <c r="CP177" s="254">
        <v>31.5</v>
      </c>
      <c r="CQ177" s="254"/>
      <c r="CR177" s="254"/>
      <c r="CS177" s="254"/>
      <c r="CT177" s="254"/>
      <c r="CW177" s="301"/>
      <c r="CX177" s="301"/>
      <c r="CY177" s="301"/>
    </row>
    <row r="178" spans="1:103" x14ac:dyDescent="0.2">
      <c r="A178" s="254">
        <v>31.75</v>
      </c>
      <c r="B178" s="122">
        <f t="shared" si="12"/>
        <v>4.5725665235631844E-6</v>
      </c>
      <c r="C178" s="122">
        <f t="shared" si="13"/>
        <v>1.1256599359759976E-6</v>
      </c>
      <c r="D178" s="122">
        <f t="shared" si="14"/>
        <v>5.7767711888346132E-2</v>
      </c>
      <c r="E178" s="122">
        <f t="shared" si="15"/>
        <v>0</v>
      </c>
      <c r="F178" s="122">
        <f t="shared" si="21"/>
        <v>0</v>
      </c>
      <c r="G178" s="299">
        <f>HLOOKUP('Input &amp; Summary'!$B$6,'AEP Input Output sheet'!$N$50:$CO$211,ROW(G178)-49,0)</f>
        <v>0</v>
      </c>
      <c r="H178" s="122">
        <f t="shared" si="16"/>
        <v>0</v>
      </c>
      <c r="I178" s="247">
        <f t="shared" si="17"/>
        <v>0</v>
      </c>
      <c r="J178" s="254">
        <f t="shared" si="18"/>
        <v>38970.345139962606</v>
      </c>
      <c r="K178" s="122">
        <f t="shared" si="19"/>
        <v>9252.6530427620655</v>
      </c>
      <c r="L178" s="122">
        <f t="shared" si="22"/>
        <v>1662.9519221382577</v>
      </c>
      <c r="M178" s="122"/>
      <c r="N178" s="254">
        <f t="shared" si="20"/>
        <v>0</v>
      </c>
      <c r="O178">
        <v>0</v>
      </c>
      <c r="P178">
        <v>0</v>
      </c>
      <c r="Q178">
        <v>0</v>
      </c>
      <c r="R178">
        <v>0</v>
      </c>
      <c r="S178">
        <v>0</v>
      </c>
      <c r="T178">
        <v>0</v>
      </c>
      <c r="U178">
        <v>0</v>
      </c>
      <c r="V178">
        <v>0</v>
      </c>
      <c r="W178">
        <v>0</v>
      </c>
      <c r="X178" s="300">
        <v>0</v>
      </c>
      <c r="Y178" s="300">
        <v>0</v>
      </c>
      <c r="Z178" s="300">
        <v>0</v>
      </c>
      <c r="AA178" s="300">
        <v>0</v>
      </c>
      <c r="AB178" s="301">
        <v>0</v>
      </c>
      <c r="AC178" s="300">
        <v>0</v>
      </c>
      <c r="AD178" s="300">
        <v>0</v>
      </c>
      <c r="AE178" s="300">
        <v>0</v>
      </c>
      <c r="AF178" s="300">
        <v>0</v>
      </c>
      <c r="AG178" s="300">
        <v>0</v>
      </c>
      <c r="AH178" s="300">
        <v>0</v>
      </c>
      <c r="AI178" s="300">
        <v>0</v>
      </c>
      <c r="AJ178" s="300">
        <v>0</v>
      </c>
      <c r="AK178" s="300">
        <v>0</v>
      </c>
      <c r="AL178" s="300">
        <v>0</v>
      </c>
      <c r="AM178" s="300">
        <v>0</v>
      </c>
      <c r="AN178" s="300">
        <v>0</v>
      </c>
      <c r="AO178" s="300">
        <v>0</v>
      </c>
      <c r="AP178" s="300">
        <v>0</v>
      </c>
      <c r="AQ178" s="300">
        <v>0</v>
      </c>
      <c r="AR178" s="300">
        <v>0</v>
      </c>
      <c r="AS178" s="300">
        <v>0</v>
      </c>
      <c r="AT178" s="300">
        <v>0</v>
      </c>
      <c r="AU178" s="300">
        <v>0</v>
      </c>
      <c r="AV178" s="300">
        <v>0</v>
      </c>
      <c r="AW178" s="300">
        <v>0</v>
      </c>
      <c r="AX178" s="300">
        <v>0</v>
      </c>
      <c r="AY178" s="300">
        <v>0</v>
      </c>
      <c r="AZ178" s="300">
        <v>0</v>
      </c>
      <c r="BA178" s="300">
        <v>0</v>
      </c>
      <c r="BB178" s="300">
        <v>0</v>
      </c>
      <c r="BC178" s="301">
        <v>0</v>
      </c>
      <c r="BD178" s="300">
        <v>0</v>
      </c>
      <c r="BE178" s="300">
        <v>0</v>
      </c>
      <c r="BF178" s="300">
        <v>0</v>
      </c>
      <c r="BG178" s="300">
        <v>0</v>
      </c>
      <c r="BH178" s="300">
        <v>0</v>
      </c>
      <c r="BI178" s="300">
        <v>0</v>
      </c>
      <c r="BJ178" s="300">
        <v>0</v>
      </c>
      <c r="BK178" s="300">
        <v>0</v>
      </c>
      <c r="BL178" s="300">
        <v>0</v>
      </c>
      <c r="BM178" s="300">
        <v>0</v>
      </c>
      <c r="BN178" s="300">
        <v>0</v>
      </c>
      <c r="BO178" s="300">
        <v>0</v>
      </c>
      <c r="BP178" s="300">
        <v>0</v>
      </c>
      <c r="BQ178" s="300">
        <v>0</v>
      </c>
      <c r="BR178" s="300">
        <v>0</v>
      </c>
      <c r="BS178" s="301">
        <v>0</v>
      </c>
      <c r="BT178" s="300">
        <v>0</v>
      </c>
      <c r="BU178" s="300">
        <v>0</v>
      </c>
      <c r="BV178" s="300">
        <v>0</v>
      </c>
      <c r="BW178" s="300">
        <v>0</v>
      </c>
      <c r="BX178" s="300">
        <v>0</v>
      </c>
      <c r="BY178" s="300">
        <v>0</v>
      </c>
      <c r="BZ178" s="300">
        <v>0</v>
      </c>
      <c r="CA178" s="300">
        <v>0</v>
      </c>
      <c r="CB178" s="300">
        <v>0</v>
      </c>
      <c r="CC178" s="300">
        <v>0</v>
      </c>
      <c r="CD178" s="300">
        <v>0</v>
      </c>
      <c r="CE178" s="300">
        <v>0</v>
      </c>
      <c r="CF178" s="300">
        <v>0</v>
      </c>
      <c r="CG178" s="300">
        <v>0</v>
      </c>
      <c r="CH178" s="300">
        <v>0</v>
      </c>
      <c r="CI178" s="300">
        <v>0</v>
      </c>
      <c r="CJ178" s="300">
        <v>0</v>
      </c>
      <c r="CK178" s="300">
        <v>0</v>
      </c>
      <c r="CL178" s="300">
        <v>0</v>
      </c>
      <c r="CM178" s="300">
        <v>0</v>
      </c>
      <c r="CN178" s="300">
        <v>0</v>
      </c>
      <c r="CO178" s="300">
        <v>0</v>
      </c>
      <c r="CP178" s="254">
        <v>31.75</v>
      </c>
      <c r="CQ178" s="254"/>
      <c r="CR178" s="254"/>
      <c r="CS178" s="254"/>
      <c r="CT178" s="254"/>
      <c r="CW178" s="301"/>
      <c r="CX178" s="301"/>
      <c r="CY178" s="301"/>
    </row>
    <row r="179" spans="1:103" x14ac:dyDescent="0.2">
      <c r="A179" s="254">
        <v>32</v>
      </c>
      <c r="B179" s="122">
        <f t="shared" ref="B179:B211" si="23">((PI()*$A179)/(2*$B$16*$B$16))*EXP(((-PI()*$A179*$A179)/(4*$B$16*$B$16)))</f>
        <v>3.8111403875016831E-6</v>
      </c>
      <c r="C179" s="122">
        <f t="shared" ref="C179:C211" si="24">WEIBULL(A179,$B$2,$B$16/EXP(GAMMALN(1+1/$B$2)),FALSE)</f>
        <v>9.060123660416781E-7</v>
      </c>
      <c r="D179" s="122">
        <f t="shared" ref="D179:D210" si="25">((0.5*$B$15*0.25*PI()*$B$4^2*A179^3)*C179/(1000))*16/27</f>
        <v>4.76026169050663E-2</v>
      </c>
      <c r="E179" s="122">
        <f t="shared" ref="E179:E211" si="26">((0.5*$B$15*0.25*PI()*$B$4^2*A179^3)*C179/(1000))*$B$7*I179</f>
        <v>0</v>
      </c>
      <c r="F179" s="122">
        <f t="shared" si="21"/>
        <v>0</v>
      </c>
      <c r="G179" s="299">
        <f>HLOOKUP('Input &amp; Summary'!$B$6,'AEP Input Output sheet'!$N$50:$CO$211,ROW(G179)-49,0)</f>
        <v>0</v>
      </c>
      <c r="H179" s="122">
        <f t="shared" ref="H179:H211" si="27">IF(AND(A179 &gt; $B$11,A179&lt;$B$12),IF(A179&gt;$B$18,L179,IF(A179&gt;=$M$25,K179,J179)),0)</f>
        <v>0</v>
      </c>
      <c r="I179" s="247">
        <f t="shared" ref="I179:I210" si="28">IF(ISERROR(((H179/$B$17)-($B$19+$B$20*(H179/$B$17)+$B$21*(H179/$B$17)^2))/(H179/$B$17)),0,((H179/$B$17)-($B$19+$B$20*(H179/$B$17)+$B$21*(H179/$B$17)^2))/(H179/$B$17))</f>
        <v>0</v>
      </c>
      <c r="J179" s="254">
        <f t="shared" ref="J179:J211" si="29">$G$28*(A179*$B$8/($B$4/2))^3/1000</f>
        <v>39898.171997601465</v>
      </c>
      <c r="K179" s="122">
        <f t="shared" ref="K179:K211" si="30">IF(A179&gt;=$M$25,($B$17-$M$26)/($B$18-$M$25)*(A179-$M$25)+$M$26,0)</f>
        <v>9344.9957339297907</v>
      </c>
      <c r="L179" s="122">
        <f t="shared" si="22"/>
        <v>1662.9519221382577</v>
      </c>
      <c r="M179" s="122"/>
      <c r="N179" s="254">
        <f t="shared" ref="N179:N211" si="31">H179*I179</f>
        <v>0</v>
      </c>
      <c r="O179">
        <v>0</v>
      </c>
      <c r="P179">
        <v>0</v>
      </c>
      <c r="Q179">
        <v>0</v>
      </c>
      <c r="R179">
        <v>0</v>
      </c>
      <c r="S179">
        <v>0</v>
      </c>
      <c r="T179">
        <v>0</v>
      </c>
      <c r="U179">
        <v>0</v>
      </c>
      <c r="V179">
        <v>0</v>
      </c>
      <c r="W179">
        <v>0</v>
      </c>
      <c r="X179" s="300">
        <v>0</v>
      </c>
      <c r="Y179" s="300">
        <v>0</v>
      </c>
      <c r="Z179" s="300">
        <v>0</v>
      </c>
      <c r="AA179" s="300">
        <v>0</v>
      </c>
      <c r="AB179" s="301">
        <v>0</v>
      </c>
      <c r="AC179" s="300">
        <v>0</v>
      </c>
      <c r="AD179" s="300">
        <v>0</v>
      </c>
      <c r="AE179" s="300">
        <v>0</v>
      </c>
      <c r="AF179" s="300">
        <v>0</v>
      </c>
      <c r="AG179" s="300">
        <v>0</v>
      </c>
      <c r="AH179" s="300">
        <v>0</v>
      </c>
      <c r="AI179" s="300">
        <v>0</v>
      </c>
      <c r="AJ179" s="300">
        <v>0</v>
      </c>
      <c r="AK179" s="300">
        <v>0</v>
      </c>
      <c r="AL179" s="300">
        <v>0</v>
      </c>
      <c r="AM179" s="300">
        <v>0</v>
      </c>
      <c r="AN179" s="300">
        <v>0</v>
      </c>
      <c r="AO179" s="300">
        <v>0</v>
      </c>
      <c r="AP179" s="300">
        <v>0</v>
      </c>
      <c r="AQ179" s="300">
        <v>0</v>
      </c>
      <c r="AR179" s="300">
        <v>0</v>
      </c>
      <c r="AS179" s="300">
        <v>0</v>
      </c>
      <c r="AT179" s="300">
        <v>0</v>
      </c>
      <c r="AU179" s="300">
        <v>0</v>
      </c>
      <c r="AV179" s="300">
        <v>0</v>
      </c>
      <c r="AW179" s="300">
        <v>0</v>
      </c>
      <c r="AX179" s="300">
        <v>0</v>
      </c>
      <c r="AY179" s="300">
        <v>0</v>
      </c>
      <c r="AZ179" s="300">
        <v>0</v>
      </c>
      <c r="BA179" s="300">
        <v>0</v>
      </c>
      <c r="BB179" s="300">
        <v>0</v>
      </c>
      <c r="BC179" s="301">
        <v>0</v>
      </c>
      <c r="BD179" s="300">
        <v>0</v>
      </c>
      <c r="BE179" s="300">
        <v>0</v>
      </c>
      <c r="BF179" s="300">
        <v>0</v>
      </c>
      <c r="BG179" s="300">
        <v>0</v>
      </c>
      <c r="BH179" s="300">
        <v>0</v>
      </c>
      <c r="BI179" s="300">
        <v>0</v>
      </c>
      <c r="BJ179" s="300">
        <v>0</v>
      </c>
      <c r="BK179" s="300">
        <v>0</v>
      </c>
      <c r="BL179" s="300">
        <v>0</v>
      </c>
      <c r="BM179" s="300">
        <v>0</v>
      </c>
      <c r="BN179" s="300">
        <v>0</v>
      </c>
      <c r="BO179" s="300">
        <v>0</v>
      </c>
      <c r="BP179" s="300">
        <v>0</v>
      </c>
      <c r="BQ179" s="300">
        <v>0</v>
      </c>
      <c r="BR179" s="300">
        <v>0</v>
      </c>
      <c r="BS179" s="301">
        <v>0</v>
      </c>
      <c r="BT179" s="300">
        <v>0</v>
      </c>
      <c r="BU179" s="300">
        <v>0</v>
      </c>
      <c r="BV179" s="300">
        <v>0</v>
      </c>
      <c r="BW179" s="300">
        <v>0</v>
      </c>
      <c r="BX179" s="300">
        <v>0</v>
      </c>
      <c r="BY179" s="300">
        <v>0</v>
      </c>
      <c r="BZ179" s="300">
        <v>0</v>
      </c>
      <c r="CA179" s="300">
        <v>0</v>
      </c>
      <c r="CB179" s="300">
        <v>0</v>
      </c>
      <c r="CC179" s="300">
        <v>0</v>
      </c>
      <c r="CD179" s="300">
        <v>0</v>
      </c>
      <c r="CE179" s="300">
        <v>0</v>
      </c>
      <c r="CF179" s="300">
        <v>0</v>
      </c>
      <c r="CG179" s="300">
        <v>0</v>
      </c>
      <c r="CH179" s="300">
        <v>0</v>
      </c>
      <c r="CI179" s="300">
        <v>0</v>
      </c>
      <c r="CJ179" s="300">
        <v>0</v>
      </c>
      <c r="CK179" s="300">
        <v>0</v>
      </c>
      <c r="CL179" s="300">
        <v>0</v>
      </c>
      <c r="CM179" s="300">
        <v>0</v>
      </c>
      <c r="CN179" s="300">
        <v>0</v>
      </c>
      <c r="CO179" s="300">
        <v>0</v>
      </c>
      <c r="CP179" s="254">
        <v>32</v>
      </c>
      <c r="CQ179" s="254"/>
      <c r="CR179" s="254"/>
      <c r="CS179" s="254"/>
      <c r="CT179" s="254"/>
      <c r="CW179" s="301"/>
      <c r="CX179" s="301"/>
      <c r="CY179" s="301"/>
    </row>
    <row r="180" spans="1:103" x14ac:dyDescent="0.2">
      <c r="A180" s="254">
        <v>32.25</v>
      </c>
      <c r="B180" s="122">
        <f t="shared" si="23"/>
        <v>3.1715839054052246E-6</v>
      </c>
      <c r="C180" s="122">
        <f t="shared" si="24"/>
        <v>7.2775615958695745E-7</v>
      </c>
      <c r="D180" s="122">
        <f t="shared" si="25"/>
        <v>3.9140089534681212E-2</v>
      </c>
      <c r="E180" s="122">
        <f t="shared" si="26"/>
        <v>0</v>
      </c>
      <c r="F180" s="122">
        <f t="shared" ref="F180:F211" si="32">$G180*$C180</f>
        <v>0</v>
      </c>
      <c r="G180" s="299">
        <f>HLOOKUP('Input &amp; Summary'!$B$6,'AEP Input Output sheet'!$N$50:$CO$211,ROW(G180)-49,0)</f>
        <v>0</v>
      </c>
      <c r="H180" s="122">
        <f t="shared" si="27"/>
        <v>0</v>
      </c>
      <c r="I180" s="247">
        <f t="shared" si="28"/>
        <v>0</v>
      </c>
      <c r="J180" s="254">
        <f t="shared" si="29"/>
        <v>40840.610002212066</v>
      </c>
      <c r="K180" s="122">
        <f t="shared" si="30"/>
        <v>9437.3384250975141</v>
      </c>
      <c r="L180" s="122">
        <f t="shared" ref="L180:L211" si="33">$B$17</f>
        <v>1662.9519221382577</v>
      </c>
      <c r="M180" s="122"/>
      <c r="N180" s="254">
        <f t="shared" si="31"/>
        <v>0</v>
      </c>
      <c r="O180">
        <v>0</v>
      </c>
      <c r="P180">
        <v>0</v>
      </c>
      <c r="Q180">
        <v>0</v>
      </c>
      <c r="R180">
        <v>0</v>
      </c>
      <c r="S180">
        <v>0</v>
      </c>
      <c r="T180">
        <v>0</v>
      </c>
      <c r="U180">
        <v>0</v>
      </c>
      <c r="V180">
        <v>0</v>
      </c>
      <c r="W180">
        <v>0</v>
      </c>
      <c r="X180" s="300">
        <v>0</v>
      </c>
      <c r="Y180" s="300">
        <v>0</v>
      </c>
      <c r="Z180" s="300">
        <v>0</v>
      </c>
      <c r="AA180" s="300">
        <v>0</v>
      </c>
      <c r="AB180" s="301">
        <v>0</v>
      </c>
      <c r="AC180" s="300">
        <v>0</v>
      </c>
      <c r="AD180" s="300">
        <v>0</v>
      </c>
      <c r="AE180" s="300">
        <v>0</v>
      </c>
      <c r="AF180" s="300">
        <v>0</v>
      </c>
      <c r="AG180" s="300">
        <v>0</v>
      </c>
      <c r="AH180" s="300">
        <v>0</v>
      </c>
      <c r="AI180" s="300">
        <v>0</v>
      </c>
      <c r="AJ180" s="300">
        <v>0</v>
      </c>
      <c r="AK180" s="300">
        <v>0</v>
      </c>
      <c r="AL180" s="300">
        <v>0</v>
      </c>
      <c r="AM180" s="300">
        <v>0</v>
      </c>
      <c r="AN180" s="300">
        <v>0</v>
      </c>
      <c r="AO180" s="300">
        <v>0</v>
      </c>
      <c r="AP180" s="300">
        <v>0</v>
      </c>
      <c r="AQ180" s="300">
        <v>0</v>
      </c>
      <c r="AR180" s="300">
        <v>0</v>
      </c>
      <c r="AS180" s="300">
        <v>0</v>
      </c>
      <c r="AT180" s="300">
        <v>0</v>
      </c>
      <c r="AU180" s="300">
        <v>0</v>
      </c>
      <c r="AV180" s="300">
        <v>0</v>
      </c>
      <c r="AW180" s="300">
        <v>0</v>
      </c>
      <c r="AX180" s="300">
        <v>0</v>
      </c>
      <c r="AY180" s="300">
        <v>0</v>
      </c>
      <c r="AZ180" s="300">
        <v>0</v>
      </c>
      <c r="BA180" s="300">
        <v>0</v>
      </c>
      <c r="BB180" s="300">
        <v>0</v>
      </c>
      <c r="BC180" s="301">
        <v>0</v>
      </c>
      <c r="BD180" s="300">
        <v>0</v>
      </c>
      <c r="BE180" s="300">
        <v>0</v>
      </c>
      <c r="BF180" s="300">
        <v>0</v>
      </c>
      <c r="BG180" s="300">
        <v>0</v>
      </c>
      <c r="BH180" s="300">
        <v>0</v>
      </c>
      <c r="BI180" s="300">
        <v>0</v>
      </c>
      <c r="BJ180" s="300">
        <v>0</v>
      </c>
      <c r="BK180" s="300">
        <v>0</v>
      </c>
      <c r="BL180" s="300">
        <v>0</v>
      </c>
      <c r="BM180" s="300">
        <v>0</v>
      </c>
      <c r="BN180" s="300">
        <v>0</v>
      </c>
      <c r="BO180" s="300">
        <v>0</v>
      </c>
      <c r="BP180" s="300">
        <v>0</v>
      </c>
      <c r="BQ180" s="300">
        <v>0</v>
      </c>
      <c r="BR180" s="300">
        <v>0</v>
      </c>
      <c r="BS180" s="301">
        <v>0</v>
      </c>
      <c r="BT180" s="300">
        <v>0</v>
      </c>
      <c r="BU180" s="300">
        <v>0</v>
      </c>
      <c r="BV180" s="300">
        <v>0</v>
      </c>
      <c r="BW180" s="300">
        <v>0</v>
      </c>
      <c r="BX180" s="300">
        <v>0</v>
      </c>
      <c r="BY180" s="300">
        <v>0</v>
      </c>
      <c r="BZ180" s="300">
        <v>0</v>
      </c>
      <c r="CA180" s="300">
        <v>0</v>
      </c>
      <c r="CB180" s="300">
        <v>0</v>
      </c>
      <c r="CC180" s="300">
        <v>0</v>
      </c>
      <c r="CD180" s="300">
        <v>0</v>
      </c>
      <c r="CE180" s="300">
        <v>0</v>
      </c>
      <c r="CF180" s="300">
        <v>0</v>
      </c>
      <c r="CG180" s="300">
        <v>0</v>
      </c>
      <c r="CH180" s="300">
        <v>0</v>
      </c>
      <c r="CI180" s="300">
        <v>0</v>
      </c>
      <c r="CJ180" s="300">
        <v>0</v>
      </c>
      <c r="CK180" s="300">
        <v>0</v>
      </c>
      <c r="CL180" s="300">
        <v>0</v>
      </c>
      <c r="CM180" s="300">
        <v>0</v>
      </c>
      <c r="CN180" s="300">
        <v>0</v>
      </c>
      <c r="CO180" s="300">
        <v>0</v>
      </c>
      <c r="CP180" s="254">
        <v>32.25</v>
      </c>
      <c r="CQ180" s="254"/>
      <c r="CR180" s="254"/>
      <c r="CS180" s="254"/>
      <c r="CT180" s="254"/>
      <c r="CW180" s="301"/>
      <c r="CX180" s="301"/>
      <c r="CY180" s="301"/>
    </row>
    <row r="181" spans="1:103" x14ac:dyDescent="0.2">
      <c r="A181" s="254">
        <v>32.5</v>
      </c>
      <c r="B181" s="122">
        <f t="shared" si="23"/>
        <v>2.6352645354373661E-6</v>
      </c>
      <c r="C181" s="122">
        <f t="shared" si="24"/>
        <v>5.8339445175504695E-7</v>
      </c>
      <c r="D181" s="122">
        <f t="shared" si="25"/>
        <v>3.2111392975680303E-2</v>
      </c>
      <c r="E181" s="122">
        <f t="shared" si="26"/>
        <v>0</v>
      </c>
      <c r="F181" s="122">
        <f t="shared" si="32"/>
        <v>0</v>
      </c>
      <c r="G181" s="299">
        <f>HLOOKUP('Input &amp; Summary'!$B$6,'AEP Input Output sheet'!$N$50:$CO$211,ROW(G181)-49,0)</f>
        <v>0</v>
      </c>
      <c r="H181" s="122">
        <f t="shared" si="27"/>
        <v>0</v>
      </c>
      <c r="I181" s="247">
        <f t="shared" si="28"/>
        <v>0</v>
      </c>
      <c r="J181" s="254">
        <f t="shared" si="29"/>
        <v>41797.773303380207</v>
      </c>
      <c r="K181" s="122">
        <f t="shared" si="30"/>
        <v>9529.6811162652393</v>
      </c>
      <c r="L181" s="122">
        <f t="shared" si="33"/>
        <v>1662.9519221382577</v>
      </c>
      <c r="M181" s="122"/>
      <c r="N181" s="254">
        <f t="shared" si="31"/>
        <v>0</v>
      </c>
      <c r="O181">
        <v>0</v>
      </c>
      <c r="P181">
        <v>0</v>
      </c>
      <c r="Q181">
        <v>0</v>
      </c>
      <c r="R181">
        <v>0</v>
      </c>
      <c r="S181">
        <v>0</v>
      </c>
      <c r="T181">
        <v>0</v>
      </c>
      <c r="U181">
        <v>0</v>
      </c>
      <c r="V181">
        <v>0</v>
      </c>
      <c r="W181">
        <v>0</v>
      </c>
      <c r="X181" s="300">
        <v>0</v>
      </c>
      <c r="Y181" s="300">
        <v>0</v>
      </c>
      <c r="Z181" s="300">
        <v>0</v>
      </c>
      <c r="AA181" s="300">
        <v>0</v>
      </c>
      <c r="AB181" s="301">
        <v>0</v>
      </c>
      <c r="AC181" s="300">
        <v>0</v>
      </c>
      <c r="AD181" s="300">
        <v>0</v>
      </c>
      <c r="AE181" s="300">
        <v>0</v>
      </c>
      <c r="AF181" s="300">
        <v>0</v>
      </c>
      <c r="AG181" s="300">
        <v>0</v>
      </c>
      <c r="AH181" s="300">
        <v>0</v>
      </c>
      <c r="AI181" s="300">
        <v>0</v>
      </c>
      <c r="AJ181" s="300">
        <v>0</v>
      </c>
      <c r="AK181" s="300">
        <v>0</v>
      </c>
      <c r="AL181" s="300">
        <v>0</v>
      </c>
      <c r="AM181" s="300">
        <v>0</v>
      </c>
      <c r="AN181" s="300">
        <v>0</v>
      </c>
      <c r="AO181" s="300">
        <v>0</v>
      </c>
      <c r="AP181" s="300">
        <v>0</v>
      </c>
      <c r="AQ181" s="300">
        <v>0</v>
      </c>
      <c r="AR181" s="300">
        <v>0</v>
      </c>
      <c r="AS181" s="300">
        <v>0</v>
      </c>
      <c r="AT181" s="300">
        <v>0</v>
      </c>
      <c r="AU181" s="300">
        <v>0</v>
      </c>
      <c r="AV181" s="300">
        <v>0</v>
      </c>
      <c r="AW181" s="300">
        <v>0</v>
      </c>
      <c r="AX181" s="300">
        <v>0</v>
      </c>
      <c r="AY181" s="300">
        <v>0</v>
      </c>
      <c r="AZ181" s="300">
        <v>0</v>
      </c>
      <c r="BA181" s="300">
        <v>0</v>
      </c>
      <c r="BB181" s="300">
        <v>0</v>
      </c>
      <c r="BC181" s="301">
        <v>0</v>
      </c>
      <c r="BD181" s="300">
        <v>0</v>
      </c>
      <c r="BE181" s="300">
        <v>0</v>
      </c>
      <c r="BF181" s="300">
        <v>0</v>
      </c>
      <c r="BG181" s="300">
        <v>0</v>
      </c>
      <c r="BH181" s="300">
        <v>0</v>
      </c>
      <c r="BI181" s="300">
        <v>0</v>
      </c>
      <c r="BJ181" s="300">
        <v>0</v>
      </c>
      <c r="BK181" s="300">
        <v>0</v>
      </c>
      <c r="BL181" s="300">
        <v>0</v>
      </c>
      <c r="BM181" s="300">
        <v>0</v>
      </c>
      <c r="BN181" s="300">
        <v>0</v>
      </c>
      <c r="BO181" s="300">
        <v>0</v>
      </c>
      <c r="BP181" s="300">
        <v>0</v>
      </c>
      <c r="BQ181" s="300">
        <v>0</v>
      </c>
      <c r="BR181" s="300">
        <v>0</v>
      </c>
      <c r="BS181" s="301">
        <v>0</v>
      </c>
      <c r="BT181" s="300">
        <v>0</v>
      </c>
      <c r="BU181" s="300">
        <v>0</v>
      </c>
      <c r="BV181" s="300">
        <v>0</v>
      </c>
      <c r="BW181" s="300">
        <v>0</v>
      </c>
      <c r="BX181" s="300">
        <v>0</v>
      </c>
      <c r="BY181" s="300">
        <v>0</v>
      </c>
      <c r="BZ181" s="300">
        <v>0</v>
      </c>
      <c r="CA181" s="300">
        <v>0</v>
      </c>
      <c r="CB181" s="300">
        <v>0</v>
      </c>
      <c r="CC181" s="300">
        <v>0</v>
      </c>
      <c r="CD181" s="300">
        <v>0</v>
      </c>
      <c r="CE181" s="300">
        <v>0</v>
      </c>
      <c r="CF181" s="300">
        <v>0</v>
      </c>
      <c r="CG181" s="300">
        <v>0</v>
      </c>
      <c r="CH181" s="300">
        <v>0</v>
      </c>
      <c r="CI181" s="300">
        <v>0</v>
      </c>
      <c r="CJ181" s="300">
        <v>0</v>
      </c>
      <c r="CK181" s="300">
        <v>0</v>
      </c>
      <c r="CL181" s="300">
        <v>0</v>
      </c>
      <c r="CM181" s="300">
        <v>0</v>
      </c>
      <c r="CN181" s="300">
        <v>0</v>
      </c>
      <c r="CO181" s="300">
        <v>0</v>
      </c>
      <c r="CP181" s="254">
        <v>32.5</v>
      </c>
      <c r="CQ181" s="254"/>
      <c r="CR181" s="254"/>
      <c r="CS181" s="254"/>
      <c r="CT181" s="254"/>
      <c r="CW181" s="301"/>
      <c r="CX181" s="301"/>
      <c r="CY181" s="301"/>
    </row>
    <row r="182" spans="1:103" x14ac:dyDescent="0.2">
      <c r="A182" s="254">
        <v>32.75</v>
      </c>
      <c r="B182" s="122">
        <f t="shared" si="23"/>
        <v>2.1862477888717401E-6</v>
      </c>
      <c r="C182" s="122">
        <f t="shared" si="24"/>
        <v>4.667272146961875E-7</v>
      </c>
      <c r="D182" s="122">
        <f t="shared" si="25"/>
        <v>2.6287168328321273E-2</v>
      </c>
      <c r="E182" s="122">
        <f t="shared" si="26"/>
        <v>0</v>
      </c>
      <c r="F182" s="122">
        <f t="shared" si="32"/>
        <v>0</v>
      </c>
      <c r="G182" s="299">
        <f>HLOOKUP('Input &amp; Summary'!$B$6,'AEP Input Output sheet'!$N$50:$CO$211,ROW(G182)-49,0)</f>
        <v>0</v>
      </c>
      <c r="H182" s="122">
        <f t="shared" si="27"/>
        <v>0</v>
      </c>
      <c r="I182" s="247">
        <f t="shared" si="28"/>
        <v>0</v>
      </c>
      <c r="J182" s="254">
        <f t="shared" si="29"/>
        <v>42769.776050691522</v>
      </c>
      <c r="K182" s="122">
        <f t="shared" si="30"/>
        <v>9622.0238074329627</v>
      </c>
      <c r="L182" s="122">
        <f t="shared" si="33"/>
        <v>1662.9519221382577</v>
      </c>
      <c r="M182" s="122"/>
      <c r="N182" s="254">
        <f t="shared" si="31"/>
        <v>0</v>
      </c>
      <c r="O182">
        <v>0</v>
      </c>
      <c r="P182">
        <v>0</v>
      </c>
      <c r="Q182">
        <v>0</v>
      </c>
      <c r="R182">
        <v>0</v>
      </c>
      <c r="S182">
        <v>0</v>
      </c>
      <c r="T182">
        <v>0</v>
      </c>
      <c r="U182">
        <v>0</v>
      </c>
      <c r="V182">
        <v>0</v>
      </c>
      <c r="W182">
        <v>0</v>
      </c>
      <c r="X182" s="300">
        <v>0</v>
      </c>
      <c r="Y182" s="300">
        <v>0</v>
      </c>
      <c r="Z182" s="300">
        <v>0</v>
      </c>
      <c r="AA182" s="300">
        <v>0</v>
      </c>
      <c r="AB182" s="301">
        <v>0</v>
      </c>
      <c r="AC182" s="300">
        <v>0</v>
      </c>
      <c r="AD182" s="300">
        <v>0</v>
      </c>
      <c r="AE182" s="300">
        <v>0</v>
      </c>
      <c r="AF182" s="300">
        <v>0</v>
      </c>
      <c r="AG182" s="300">
        <v>0</v>
      </c>
      <c r="AH182" s="300">
        <v>0</v>
      </c>
      <c r="AI182" s="300">
        <v>0</v>
      </c>
      <c r="AJ182" s="300">
        <v>0</v>
      </c>
      <c r="AK182" s="300">
        <v>0</v>
      </c>
      <c r="AL182" s="300">
        <v>0</v>
      </c>
      <c r="AM182" s="300">
        <v>0</v>
      </c>
      <c r="AN182" s="300">
        <v>0</v>
      </c>
      <c r="AO182" s="300">
        <v>0</v>
      </c>
      <c r="AP182" s="300">
        <v>0</v>
      </c>
      <c r="AQ182" s="300">
        <v>0</v>
      </c>
      <c r="AR182" s="300">
        <v>0</v>
      </c>
      <c r="AS182" s="300">
        <v>0</v>
      </c>
      <c r="AT182" s="300">
        <v>0</v>
      </c>
      <c r="AU182" s="300">
        <v>0</v>
      </c>
      <c r="AV182" s="300">
        <v>0</v>
      </c>
      <c r="AW182" s="300">
        <v>0</v>
      </c>
      <c r="AX182" s="300">
        <v>0</v>
      </c>
      <c r="AY182" s="300">
        <v>0</v>
      </c>
      <c r="AZ182" s="300">
        <v>0</v>
      </c>
      <c r="BA182" s="300">
        <v>0</v>
      </c>
      <c r="BB182" s="300">
        <v>0</v>
      </c>
      <c r="BC182" s="301">
        <v>0</v>
      </c>
      <c r="BD182" s="300">
        <v>0</v>
      </c>
      <c r="BE182" s="300">
        <v>0</v>
      </c>
      <c r="BF182" s="300">
        <v>0</v>
      </c>
      <c r="BG182" s="300">
        <v>0</v>
      </c>
      <c r="BH182" s="300">
        <v>0</v>
      </c>
      <c r="BI182" s="300">
        <v>0</v>
      </c>
      <c r="BJ182" s="300">
        <v>0</v>
      </c>
      <c r="BK182" s="300">
        <v>0</v>
      </c>
      <c r="BL182" s="300">
        <v>0</v>
      </c>
      <c r="BM182" s="300">
        <v>0</v>
      </c>
      <c r="BN182" s="300">
        <v>0</v>
      </c>
      <c r="BO182" s="300">
        <v>0</v>
      </c>
      <c r="BP182" s="300">
        <v>0</v>
      </c>
      <c r="BQ182" s="300">
        <v>0</v>
      </c>
      <c r="BR182" s="300">
        <v>0</v>
      </c>
      <c r="BS182" s="301">
        <v>0</v>
      </c>
      <c r="BT182" s="300">
        <v>0</v>
      </c>
      <c r="BU182" s="300">
        <v>0</v>
      </c>
      <c r="BV182" s="300">
        <v>0</v>
      </c>
      <c r="BW182" s="300">
        <v>0</v>
      </c>
      <c r="BX182" s="300">
        <v>0</v>
      </c>
      <c r="BY182" s="300">
        <v>0</v>
      </c>
      <c r="BZ182" s="300">
        <v>0</v>
      </c>
      <c r="CA182" s="300">
        <v>0</v>
      </c>
      <c r="CB182" s="300">
        <v>0</v>
      </c>
      <c r="CC182" s="300">
        <v>0</v>
      </c>
      <c r="CD182" s="300">
        <v>0</v>
      </c>
      <c r="CE182" s="300">
        <v>0</v>
      </c>
      <c r="CF182" s="300">
        <v>0</v>
      </c>
      <c r="CG182" s="300">
        <v>0</v>
      </c>
      <c r="CH182" s="300">
        <v>0</v>
      </c>
      <c r="CI182" s="300">
        <v>0</v>
      </c>
      <c r="CJ182" s="300">
        <v>0</v>
      </c>
      <c r="CK182" s="300">
        <v>0</v>
      </c>
      <c r="CL182" s="300">
        <v>0</v>
      </c>
      <c r="CM182" s="300">
        <v>0</v>
      </c>
      <c r="CN182" s="300">
        <v>0</v>
      </c>
      <c r="CO182" s="300">
        <v>0</v>
      </c>
      <c r="CP182" s="254">
        <v>32.75</v>
      </c>
      <c r="CQ182" s="254"/>
      <c r="CR182" s="254"/>
      <c r="CS182" s="254"/>
      <c r="CT182" s="254"/>
      <c r="CW182" s="301"/>
      <c r="CX182" s="301"/>
      <c r="CY182" s="301"/>
    </row>
    <row r="183" spans="1:103" x14ac:dyDescent="0.2">
      <c r="A183" s="254">
        <v>33</v>
      </c>
      <c r="B183" s="122">
        <f t="shared" si="23"/>
        <v>1.8109317937278267E-6</v>
      </c>
      <c r="C183" s="122">
        <f t="shared" si="24"/>
        <v>3.7263887686699013E-7</v>
      </c>
      <c r="D183" s="122">
        <f t="shared" si="25"/>
        <v>2.1472210192025894E-2</v>
      </c>
      <c r="E183" s="122">
        <f t="shared" si="26"/>
        <v>0</v>
      </c>
      <c r="F183" s="122">
        <f t="shared" si="32"/>
        <v>0</v>
      </c>
      <c r="G183" s="299">
        <f>HLOOKUP('Input &amp; Summary'!$B$6,'AEP Input Output sheet'!$N$50:$CO$211,ROW(G183)-49,0)</f>
        <v>0</v>
      </c>
      <c r="H183" s="122">
        <f t="shared" si="27"/>
        <v>0</v>
      </c>
      <c r="I183" s="247">
        <f t="shared" si="28"/>
        <v>0</v>
      </c>
      <c r="J183" s="254">
        <f t="shared" si="29"/>
        <v>43756.732393731785</v>
      </c>
      <c r="K183" s="122">
        <f t="shared" si="30"/>
        <v>9714.3664986006879</v>
      </c>
      <c r="L183" s="122">
        <f t="shared" si="33"/>
        <v>1662.9519221382577</v>
      </c>
      <c r="M183" s="122"/>
      <c r="N183" s="254">
        <f t="shared" si="31"/>
        <v>0</v>
      </c>
      <c r="O183">
        <v>0</v>
      </c>
      <c r="P183">
        <v>0</v>
      </c>
      <c r="Q183">
        <v>0</v>
      </c>
      <c r="R183">
        <v>0</v>
      </c>
      <c r="S183">
        <v>0</v>
      </c>
      <c r="T183">
        <v>0</v>
      </c>
      <c r="U183">
        <v>0</v>
      </c>
      <c r="V183">
        <v>0</v>
      </c>
      <c r="W183">
        <v>0</v>
      </c>
      <c r="X183" s="300">
        <v>0</v>
      </c>
      <c r="Y183" s="300">
        <v>0</v>
      </c>
      <c r="Z183" s="300">
        <v>0</v>
      </c>
      <c r="AA183" s="300">
        <v>0</v>
      </c>
      <c r="AB183" s="301">
        <v>0</v>
      </c>
      <c r="AC183" s="300">
        <v>0</v>
      </c>
      <c r="AD183" s="300">
        <v>0</v>
      </c>
      <c r="AE183" s="300">
        <v>0</v>
      </c>
      <c r="AF183" s="300">
        <v>0</v>
      </c>
      <c r="AG183" s="300">
        <v>0</v>
      </c>
      <c r="AH183" s="300">
        <v>0</v>
      </c>
      <c r="AI183" s="300">
        <v>0</v>
      </c>
      <c r="AJ183" s="300">
        <v>0</v>
      </c>
      <c r="AK183" s="300">
        <v>0</v>
      </c>
      <c r="AL183" s="300">
        <v>0</v>
      </c>
      <c r="AM183" s="300">
        <v>0</v>
      </c>
      <c r="AN183" s="300">
        <v>0</v>
      </c>
      <c r="AO183" s="300">
        <v>0</v>
      </c>
      <c r="AP183" s="300">
        <v>0</v>
      </c>
      <c r="AQ183" s="300">
        <v>0</v>
      </c>
      <c r="AR183" s="300">
        <v>0</v>
      </c>
      <c r="AS183" s="300">
        <v>0</v>
      </c>
      <c r="AT183" s="300">
        <v>0</v>
      </c>
      <c r="AU183" s="300">
        <v>0</v>
      </c>
      <c r="AV183" s="300">
        <v>0</v>
      </c>
      <c r="AW183" s="300">
        <v>0</v>
      </c>
      <c r="AX183" s="300">
        <v>0</v>
      </c>
      <c r="AY183" s="300">
        <v>0</v>
      </c>
      <c r="AZ183" s="300">
        <v>0</v>
      </c>
      <c r="BA183" s="300">
        <v>0</v>
      </c>
      <c r="BB183" s="300">
        <v>0</v>
      </c>
      <c r="BC183" s="301">
        <v>0</v>
      </c>
      <c r="BD183" s="300">
        <v>0</v>
      </c>
      <c r="BE183" s="300">
        <v>0</v>
      </c>
      <c r="BF183" s="300">
        <v>0</v>
      </c>
      <c r="BG183" s="300">
        <v>0</v>
      </c>
      <c r="BH183" s="300">
        <v>0</v>
      </c>
      <c r="BI183" s="300">
        <v>0</v>
      </c>
      <c r="BJ183" s="300">
        <v>0</v>
      </c>
      <c r="BK183" s="300">
        <v>0</v>
      </c>
      <c r="BL183" s="300">
        <v>0</v>
      </c>
      <c r="BM183" s="300">
        <v>0</v>
      </c>
      <c r="BN183" s="300">
        <v>0</v>
      </c>
      <c r="BO183" s="300">
        <v>0</v>
      </c>
      <c r="BP183" s="300">
        <v>0</v>
      </c>
      <c r="BQ183" s="300">
        <v>0</v>
      </c>
      <c r="BR183" s="300">
        <v>0</v>
      </c>
      <c r="BS183" s="301">
        <v>0</v>
      </c>
      <c r="BT183" s="300">
        <v>0</v>
      </c>
      <c r="BU183" s="300">
        <v>0</v>
      </c>
      <c r="BV183" s="300">
        <v>0</v>
      </c>
      <c r="BW183" s="300">
        <v>0</v>
      </c>
      <c r="BX183" s="300">
        <v>0</v>
      </c>
      <c r="BY183" s="300">
        <v>0</v>
      </c>
      <c r="BZ183" s="300">
        <v>0</v>
      </c>
      <c r="CA183" s="300">
        <v>0</v>
      </c>
      <c r="CB183" s="300">
        <v>0</v>
      </c>
      <c r="CC183" s="300">
        <v>0</v>
      </c>
      <c r="CD183" s="300">
        <v>0</v>
      </c>
      <c r="CE183" s="300">
        <v>0</v>
      </c>
      <c r="CF183" s="300">
        <v>0</v>
      </c>
      <c r="CG183" s="300">
        <v>0</v>
      </c>
      <c r="CH183" s="300">
        <v>0</v>
      </c>
      <c r="CI183" s="300">
        <v>0</v>
      </c>
      <c r="CJ183" s="300">
        <v>0</v>
      </c>
      <c r="CK183" s="300">
        <v>0</v>
      </c>
      <c r="CL183" s="300">
        <v>0</v>
      </c>
      <c r="CM183" s="300">
        <v>0</v>
      </c>
      <c r="CN183" s="300">
        <v>0</v>
      </c>
      <c r="CO183" s="300">
        <v>0</v>
      </c>
      <c r="CP183" s="254">
        <v>33</v>
      </c>
      <c r="CQ183" s="254"/>
      <c r="CR183" s="254"/>
      <c r="CS183" s="254"/>
      <c r="CT183" s="254"/>
      <c r="CW183" s="301"/>
      <c r="CX183" s="301"/>
      <c r="CY183" s="301"/>
    </row>
    <row r="184" spans="1:103" x14ac:dyDescent="0.2">
      <c r="A184" s="254">
        <v>33.25</v>
      </c>
      <c r="B184" s="122">
        <f t="shared" si="23"/>
        <v>1.4977272456895521E-6</v>
      </c>
      <c r="C184" s="122">
        <f t="shared" si="24"/>
        <v>2.9691844731738993E-7</v>
      </c>
      <c r="D184" s="122">
        <f t="shared" si="25"/>
        <v>1.7500840136320455E-2</v>
      </c>
      <c r="E184" s="122">
        <f t="shared" si="26"/>
        <v>0</v>
      </c>
      <c r="F184" s="122">
        <f t="shared" si="32"/>
        <v>0</v>
      </c>
      <c r="G184" s="299">
        <f>HLOOKUP('Input &amp; Summary'!$B$6,'AEP Input Output sheet'!$N$50:$CO$211,ROW(G184)-49,0)</f>
        <v>0</v>
      </c>
      <c r="H184" s="122">
        <f t="shared" si="27"/>
        <v>0</v>
      </c>
      <c r="I184" s="247">
        <f t="shared" si="28"/>
        <v>0</v>
      </c>
      <c r="J184" s="254">
        <f t="shared" si="29"/>
        <v>44758.756482086705</v>
      </c>
      <c r="K184" s="122">
        <f t="shared" si="30"/>
        <v>9806.7091897684131</v>
      </c>
      <c r="L184" s="122">
        <f t="shared" si="33"/>
        <v>1662.9519221382577</v>
      </c>
      <c r="M184" s="122"/>
      <c r="N184" s="254">
        <f t="shared" si="31"/>
        <v>0</v>
      </c>
      <c r="O184">
        <v>0</v>
      </c>
      <c r="P184">
        <v>0</v>
      </c>
      <c r="Q184">
        <v>0</v>
      </c>
      <c r="R184">
        <v>0</v>
      </c>
      <c r="S184">
        <v>0</v>
      </c>
      <c r="T184">
        <v>0</v>
      </c>
      <c r="U184">
        <v>0</v>
      </c>
      <c r="V184">
        <v>0</v>
      </c>
      <c r="W184">
        <v>0</v>
      </c>
      <c r="X184" s="300">
        <v>0</v>
      </c>
      <c r="Y184" s="300">
        <v>0</v>
      </c>
      <c r="Z184" s="300">
        <v>0</v>
      </c>
      <c r="AA184" s="300">
        <v>0</v>
      </c>
      <c r="AB184" s="301">
        <v>0</v>
      </c>
      <c r="AC184" s="300">
        <v>0</v>
      </c>
      <c r="AD184" s="300">
        <v>0</v>
      </c>
      <c r="AE184" s="300">
        <v>0</v>
      </c>
      <c r="AF184" s="300">
        <v>0</v>
      </c>
      <c r="AG184" s="300">
        <v>0</v>
      </c>
      <c r="AH184" s="300">
        <v>0</v>
      </c>
      <c r="AI184" s="300">
        <v>0</v>
      </c>
      <c r="AJ184" s="300">
        <v>0</v>
      </c>
      <c r="AK184" s="300">
        <v>0</v>
      </c>
      <c r="AL184" s="300">
        <v>0</v>
      </c>
      <c r="AM184" s="300">
        <v>0</v>
      </c>
      <c r="AN184" s="300">
        <v>0</v>
      </c>
      <c r="AO184" s="300">
        <v>0</v>
      </c>
      <c r="AP184" s="300">
        <v>0</v>
      </c>
      <c r="AQ184" s="300">
        <v>0</v>
      </c>
      <c r="AR184" s="300">
        <v>0</v>
      </c>
      <c r="AS184" s="300">
        <v>0</v>
      </c>
      <c r="AT184" s="300">
        <v>0</v>
      </c>
      <c r="AU184" s="300">
        <v>0</v>
      </c>
      <c r="AV184" s="300">
        <v>0</v>
      </c>
      <c r="AW184" s="300">
        <v>0</v>
      </c>
      <c r="AX184" s="300">
        <v>0</v>
      </c>
      <c r="AY184" s="300">
        <v>0</v>
      </c>
      <c r="AZ184" s="300">
        <v>0</v>
      </c>
      <c r="BA184" s="300">
        <v>0</v>
      </c>
      <c r="BB184" s="300">
        <v>0</v>
      </c>
      <c r="BC184" s="301">
        <v>0</v>
      </c>
      <c r="BD184" s="300">
        <v>0</v>
      </c>
      <c r="BE184" s="300">
        <v>0</v>
      </c>
      <c r="BF184" s="300">
        <v>0</v>
      </c>
      <c r="BG184" s="300">
        <v>0</v>
      </c>
      <c r="BH184" s="300">
        <v>0</v>
      </c>
      <c r="BI184" s="300">
        <v>0</v>
      </c>
      <c r="BJ184" s="300">
        <v>0</v>
      </c>
      <c r="BK184" s="300">
        <v>0</v>
      </c>
      <c r="BL184" s="300">
        <v>0</v>
      </c>
      <c r="BM184" s="300">
        <v>0</v>
      </c>
      <c r="BN184" s="300">
        <v>0</v>
      </c>
      <c r="BO184" s="300">
        <v>0</v>
      </c>
      <c r="BP184" s="300">
        <v>0</v>
      </c>
      <c r="BQ184" s="300">
        <v>0</v>
      </c>
      <c r="BR184" s="300">
        <v>0</v>
      </c>
      <c r="BS184" s="301">
        <v>0</v>
      </c>
      <c r="BT184" s="300">
        <v>0</v>
      </c>
      <c r="BU184" s="300">
        <v>0</v>
      </c>
      <c r="BV184" s="300">
        <v>0</v>
      </c>
      <c r="BW184" s="300">
        <v>0</v>
      </c>
      <c r="BX184" s="300">
        <v>0</v>
      </c>
      <c r="BY184" s="300">
        <v>0</v>
      </c>
      <c r="BZ184" s="300">
        <v>0</v>
      </c>
      <c r="CA184" s="300">
        <v>0</v>
      </c>
      <c r="CB184" s="300">
        <v>0</v>
      </c>
      <c r="CC184" s="300">
        <v>0</v>
      </c>
      <c r="CD184" s="300">
        <v>0</v>
      </c>
      <c r="CE184" s="300">
        <v>0</v>
      </c>
      <c r="CF184" s="300">
        <v>0</v>
      </c>
      <c r="CG184" s="300">
        <v>0</v>
      </c>
      <c r="CH184" s="300">
        <v>0</v>
      </c>
      <c r="CI184" s="300">
        <v>0</v>
      </c>
      <c r="CJ184" s="300">
        <v>0</v>
      </c>
      <c r="CK184" s="300">
        <v>0</v>
      </c>
      <c r="CL184" s="300">
        <v>0</v>
      </c>
      <c r="CM184" s="300">
        <v>0</v>
      </c>
      <c r="CN184" s="300">
        <v>0</v>
      </c>
      <c r="CO184" s="300">
        <v>0</v>
      </c>
      <c r="CP184" s="254">
        <v>33.25</v>
      </c>
      <c r="CQ184" s="254"/>
      <c r="CR184" s="254"/>
      <c r="CS184" s="254"/>
      <c r="CT184" s="254"/>
      <c r="CW184" s="301"/>
      <c r="CX184" s="301"/>
      <c r="CY184" s="301"/>
    </row>
    <row r="185" spans="1:103" x14ac:dyDescent="0.2">
      <c r="A185" s="254">
        <v>33.5</v>
      </c>
      <c r="B185" s="122">
        <f t="shared" si="23"/>
        <v>1.236777759625366E-6</v>
      </c>
      <c r="C185" s="122">
        <f t="shared" si="24"/>
        <v>2.3610759148118876E-7</v>
      </c>
      <c r="D185" s="122">
        <f t="shared" si="25"/>
        <v>1.4232826002206015E-2</v>
      </c>
      <c r="E185" s="122">
        <f t="shared" si="26"/>
        <v>0</v>
      </c>
      <c r="F185" s="122">
        <f t="shared" si="32"/>
        <v>0</v>
      </c>
      <c r="G185" s="299">
        <f>HLOOKUP('Input &amp; Summary'!$B$6,'AEP Input Output sheet'!$N$50:$CO$211,ROW(G185)-49,0)</f>
        <v>0</v>
      </c>
      <c r="H185" s="122">
        <f t="shared" si="27"/>
        <v>0</v>
      </c>
      <c r="I185" s="247">
        <f t="shared" si="28"/>
        <v>0</v>
      </c>
      <c r="J185" s="254">
        <f t="shared" si="29"/>
        <v>45775.962465341967</v>
      </c>
      <c r="K185" s="122">
        <f t="shared" si="30"/>
        <v>9899.0518809361365</v>
      </c>
      <c r="L185" s="122">
        <f t="shared" si="33"/>
        <v>1662.9519221382577</v>
      </c>
      <c r="M185" s="122"/>
      <c r="N185" s="254">
        <f t="shared" si="31"/>
        <v>0</v>
      </c>
      <c r="O185">
        <v>0</v>
      </c>
      <c r="P185">
        <v>0</v>
      </c>
      <c r="Q185">
        <v>0</v>
      </c>
      <c r="R185">
        <v>0</v>
      </c>
      <c r="S185">
        <v>0</v>
      </c>
      <c r="T185">
        <v>0</v>
      </c>
      <c r="U185">
        <v>0</v>
      </c>
      <c r="V185">
        <v>0</v>
      </c>
      <c r="W185">
        <v>0</v>
      </c>
      <c r="X185" s="300">
        <v>0</v>
      </c>
      <c r="Y185" s="300">
        <v>0</v>
      </c>
      <c r="Z185" s="300">
        <v>0</v>
      </c>
      <c r="AA185" s="300">
        <v>0</v>
      </c>
      <c r="AB185" s="301">
        <v>0</v>
      </c>
      <c r="AC185" s="300">
        <v>0</v>
      </c>
      <c r="AD185" s="300">
        <v>0</v>
      </c>
      <c r="AE185" s="300">
        <v>0</v>
      </c>
      <c r="AF185" s="300">
        <v>0</v>
      </c>
      <c r="AG185" s="300">
        <v>0</v>
      </c>
      <c r="AH185" s="300">
        <v>0</v>
      </c>
      <c r="AI185" s="300">
        <v>0</v>
      </c>
      <c r="AJ185" s="300">
        <v>0</v>
      </c>
      <c r="AK185" s="300">
        <v>0</v>
      </c>
      <c r="AL185" s="300">
        <v>0</v>
      </c>
      <c r="AM185" s="300">
        <v>0</v>
      </c>
      <c r="AN185" s="300">
        <v>0</v>
      </c>
      <c r="AO185" s="300">
        <v>0</v>
      </c>
      <c r="AP185" s="300">
        <v>0</v>
      </c>
      <c r="AQ185" s="300">
        <v>0</v>
      </c>
      <c r="AR185" s="300">
        <v>0</v>
      </c>
      <c r="AS185" s="300">
        <v>0</v>
      </c>
      <c r="AT185" s="300">
        <v>0</v>
      </c>
      <c r="AU185" s="300">
        <v>0</v>
      </c>
      <c r="AV185" s="300">
        <v>0</v>
      </c>
      <c r="AW185" s="300">
        <v>0</v>
      </c>
      <c r="AX185" s="300">
        <v>0</v>
      </c>
      <c r="AY185" s="300">
        <v>0</v>
      </c>
      <c r="AZ185" s="300">
        <v>0</v>
      </c>
      <c r="BA185" s="300">
        <v>0</v>
      </c>
      <c r="BB185" s="300">
        <v>0</v>
      </c>
      <c r="BC185" s="301">
        <v>0</v>
      </c>
      <c r="BD185" s="300">
        <v>0</v>
      </c>
      <c r="BE185" s="300">
        <v>0</v>
      </c>
      <c r="BF185" s="300">
        <v>0</v>
      </c>
      <c r="BG185" s="300">
        <v>0</v>
      </c>
      <c r="BH185" s="300">
        <v>0</v>
      </c>
      <c r="BI185" s="300">
        <v>0</v>
      </c>
      <c r="BJ185" s="300">
        <v>0</v>
      </c>
      <c r="BK185" s="300">
        <v>0</v>
      </c>
      <c r="BL185" s="300">
        <v>0</v>
      </c>
      <c r="BM185" s="300">
        <v>0</v>
      </c>
      <c r="BN185" s="300">
        <v>0</v>
      </c>
      <c r="BO185" s="300">
        <v>0</v>
      </c>
      <c r="BP185" s="300">
        <v>0</v>
      </c>
      <c r="BQ185" s="300">
        <v>0</v>
      </c>
      <c r="BR185" s="300">
        <v>0</v>
      </c>
      <c r="BS185" s="301">
        <v>0</v>
      </c>
      <c r="BT185" s="300">
        <v>0</v>
      </c>
      <c r="BU185" s="300">
        <v>0</v>
      </c>
      <c r="BV185" s="300">
        <v>0</v>
      </c>
      <c r="BW185" s="300">
        <v>0</v>
      </c>
      <c r="BX185" s="300">
        <v>0</v>
      </c>
      <c r="BY185" s="300">
        <v>0</v>
      </c>
      <c r="BZ185" s="300">
        <v>0</v>
      </c>
      <c r="CA185" s="300">
        <v>0</v>
      </c>
      <c r="CB185" s="300">
        <v>0</v>
      </c>
      <c r="CC185" s="300">
        <v>0</v>
      </c>
      <c r="CD185" s="300">
        <v>0</v>
      </c>
      <c r="CE185" s="300">
        <v>0</v>
      </c>
      <c r="CF185" s="300">
        <v>0</v>
      </c>
      <c r="CG185" s="300">
        <v>0</v>
      </c>
      <c r="CH185" s="300">
        <v>0</v>
      </c>
      <c r="CI185" s="300">
        <v>0</v>
      </c>
      <c r="CJ185" s="300">
        <v>0</v>
      </c>
      <c r="CK185" s="300">
        <v>0</v>
      </c>
      <c r="CL185" s="300">
        <v>0</v>
      </c>
      <c r="CM185" s="300">
        <v>0</v>
      </c>
      <c r="CN185" s="300">
        <v>0</v>
      </c>
      <c r="CO185" s="300">
        <v>0</v>
      </c>
      <c r="CP185" s="254">
        <v>33.5</v>
      </c>
      <c r="CQ185" s="254"/>
      <c r="CR185" s="254"/>
      <c r="CS185" s="254"/>
      <c r="CT185" s="254"/>
      <c r="CW185" s="301"/>
      <c r="CX185" s="301"/>
      <c r="CY185" s="301"/>
    </row>
    <row r="186" spans="1:103" x14ac:dyDescent="0.2">
      <c r="A186" s="254">
        <v>33.75</v>
      </c>
      <c r="B186" s="122">
        <f t="shared" si="23"/>
        <v>1.0197160819512268E-6</v>
      </c>
      <c r="C186" s="122">
        <f t="shared" si="24"/>
        <v>1.8737266682810308E-7</v>
      </c>
      <c r="D186" s="122">
        <f t="shared" si="25"/>
        <v>1.15497966382849E-2</v>
      </c>
      <c r="E186" s="122">
        <f t="shared" si="26"/>
        <v>0</v>
      </c>
      <c r="F186" s="122">
        <f t="shared" si="32"/>
        <v>0</v>
      </c>
      <c r="G186" s="299">
        <f>HLOOKUP('Input &amp; Summary'!$B$6,'AEP Input Output sheet'!$N$50:$CO$211,ROW(G186)-49,0)</f>
        <v>0</v>
      </c>
      <c r="H186" s="122">
        <f t="shared" si="27"/>
        <v>0</v>
      </c>
      <c r="I186" s="247">
        <f t="shared" si="28"/>
        <v>0</v>
      </c>
      <c r="J186" s="254">
        <f t="shared" si="29"/>
        <v>46808.464493083324</v>
      </c>
      <c r="K186" s="122">
        <f t="shared" si="30"/>
        <v>9991.3945721038617</v>
      </c>
      <c r="L186" s="122">
        <f t="shared" si="33"/>
        <v>1662.9519221382577</v>
      </c>
      <c r="M186" s="122"/>
      <c r="N186" s="254">
        <f t="shared" si="31"/>
        <v>0</v>
      </c>
      <c r="O186">
        <v>0</v>
      </c>
      <c r="P186">
        <v>0</v>
      </c>
      <c r="Q186">
        <v>0</v>
      </c>
      <c r="R186">
        <v>0</v>
      </c>
      <c r="S186">
        <v>0</v>
      </c>
      <c r="T186">
        <v>0</v>
      </c>
      <c r="U186">
        <v>0</v>
      </c>
      <c r="V186">
        <v>0</v>
      </c>
      <c r="W186">
        <v>0</v>
      </c>
      <c r="X186" s="300">
        <v>0</v>
      </c>
      <c r="Y186" s="300">
        <v>0</v>
      </c>
      <c r="Z186" s="300">
        <v>0</v>
      </c>
      <c r="AA186" s="300">
        <v>0</v>
      </c>
      <c r="AB186" s="301">
        <v>0</v>
      </c>
      <c r="AC186" s="300">
        <v>0</v>
      </c>
      <c r="AD186" s="300">
        <v>0</v>
      </c>
      <c r="AE186" s="300">
        <v>0</v>
      </c>
      <c r="AF186" s="300">
        <v>0</v>
      </c>
      <c r="AG186" s="300">
        <v>0</v>
      </c>
      <c r="AH186" s="300">
        <v>0</v>
      </c>
      <c r="AI186" s="300">
        <v>0</v>
      </c>
      <c r="AJ186" s="300">
        <v>0</v>
      </c>
      <c r="AK186" s="300">
        <v>0</v>
      </c>
      <c r="AL186" s="300">
        <v>0</v>
      </c>
      <c r="AM186" s="300">
        <v>0</v>
      </c>
      <c r="AN186" s="300">
        <v>0</v>
      </c>
      <c r="AO186" s="300">
        <v>0</v>
      </c>
      <c r="AP186" s="300">
        <v>0</v>
      </c>
      <c r="AQ186" s="300">
        <v>0</v>
      </c>
      <c r="AR186" s="300">
        <v>0</v>
      </c>
      <c r="AS186" s="300">
        <v>0</v>
      </c>
      <c r="AT186" s="300">
        <v>0</v>
      </c>
      <c r="AU186" s="300">
        <v>0</v>
      </c>
      <c r="AV186" s="300">
        <v>0</v>
      </c>
      <c r="AW186" s="300">
        <v>0</v>
      </c>
      <c r="AX186" s="300">
        <v>0</v>
      </c>
      <c r="AY186" s="300">
        <v>0</v>
      </c>
      <c r="AZ186" s="300">
        <v>0</v>
      </c>
      <c r="BA186" s="300">
        <v>0</v>
      </c>
      <c r="BB186" s="300">
        <v>0</v>
      </c>
      <c r="BC186" s="301">
        <v>0</v>
      </c>
      <c r="BD186" s="300">
        <v>0</v>
      </c>
      <c r="BE186" s="300">
        <v>0</v>
      </c>
      <c r="BF186" s="300">
        <v>0</v>
      </c>
      <c r="BG186" s="300">
        <v>0</v>
      </c>
      <c r="BH186" s="300">
        <v>0</v>
      </c>
      <c r="BI186" s="300">
        <v>0</v>
      </c>
      <c r="BJ186" s="300">
        <v>0</v>
      </c>
      <c r="BK186" s="300">
        <v>0</v>
      </c>
      <c r="BL186" s="300">
        <v>0</v>
      </c>
      <c r="BM186" s="300">
        <v>0</v>
      </c>
      <c r="BN186" s="300">
        <v>0</v>
      </c>
      <c r="BO186" s="300">
        <v>0</v>
      </c>
      <c r="BP186" s="300">
        <v>0</v>
      </c>
      <c r="BQ186" s="300">
        <v>0</v>
      </c>
      <c r="BR186" s="300">
        <v>0</v>
      </c>
      <c r="BS186" s="301">
        <v>0</v>
      </c>
      <c r="BT186" s="300">
        <v>0</v>
      </c>
      <c r="BU186" s="300">
        <v>0</v>
      </c>
      <c r="BV186" s="300">
        <v>0</v>
      </c>
      <c r="BW186" s="300">
        <v>0</v>
      </c>
      <c r="BX186" s="300">
        <v>0</v>
      </c>
      <c r="BY186" s="300">
        <v>0</v>
      </c>
      <c r="BZ186" s="300">
        <v>0</v>
      </c>
      <c r="CA186" s="300">
        <v>0</v>
      </c>
      <c r="CB186" s="300">
        <v>0</v>
      </c>
      <c r="CC186" s="300">
        <v>0</v>
      </c>
      <c r="CD186" s="300">
        <v>0</v>
      </c>
      <c r="CE186" s="300">
        <v>0</v>
      </c>
      <c r="CF186" s="300">
        <v>0</v>
      </c>
      <c r="CG186" s="300">
        <v>0</v>
      </c>
      <c r="CH186" s="300">
        <v>0</v>
      </c>
      <c r="CI186" s="300">
        <v>0</v>
      </c>
      <c r="CJ186" s="300">
        <v>0</v>
      </c>
      <c r="CK186" s="300">
        <v>0</v>
      </c>
      <c r="CL186" s="300">
        <v>0</v>
      </c>
      <c r="CM186" s="300">
        <v>0</v>
      </c>
      <c r="CN186" s="300">
        <v>0</v>
      </c>
      <c r="CO186" s="300">
        <v>0</v>
      </c>
      <c r="CP186" s="254">
        <v>33.75</v>
      </c>
      <c r="CQ186" s="254"/>
      <c r="CR186" s="254"/>
      <c r="CS186" s="254"/>
      <c r="CT186" s="254"/>
      <c r="CW186" s="301"/>
      <c r="CX186" s="301"/>
      <c r="CY186" s="301"/>
    </row>
    <row r="187" spans="1:103" x14ac:dyDescent="0.2">
      <c r="A187" s="254">
        <v>34</v>
      </c>
      <c r="B187" s="122">
        <f t="shared" si="23"/>
        <v>8.3945204671549686E-7</v>
      </c>
      <c r="C187" s="122">
        <f t="shared" si="24"/>
        <v>1.4839723275164856E-7</v>
      </c>
      <c r="D187" s="122">
        <f t="shared" si="25"/>
        <v>9.352103867010457E-3</v>
      </c>
      <c r="E187" s="122">
        <f t="shared" si="26"/>
        <v>0</v>
      </c>
      <c r="F187" s="122">
        <f t="shared" si="32"/>
        <v>0</v>
      </c>
      <c r="G187" s="299">
        <f>HLOOKUP('Input &amp; Summary'!$B$6,'AEP Input Output sheet'!$N$50:$CO$211,ROW(G187)-49,0)</f>
        <v>0</v>
      </c>
      <c r="H187" s="122">
        <f t="shared" si="27"/>
        <v>0</v>
      </c>
      <c r="I187" s="247">
        <f t="shared" si="28"/>
        <v>0</v>
      </c>
      <c r="J187" s="254">
        <f t="shared" si="29"/>
        <v>47856.376714896454</v>
      </c>
      <c r="K187" s="122">
        <f t="shared" si="30"/>
        <v>10083.737263271585</v>
      </c>
      <c r="L187" s="122">
        <f t="shared" si="33"/>
        <v>1662.9519221382577</v>
      </c>
      <c r="M187" s="122"/>
      <c r="N187" s="254">
        <f t="shared" si="31"/>
        <v>0</v>
      </c>
      <c r="O187">
        <v>0</v>
      </c>
      <c r="P187">
        <v>0</v>
      </c>
      <c r="Q187">
        <v>0</v>
      </c>
      <c r="R187">
        <v>0</v>
      </c>
      <c r="S187">
        <v>0</v>
      </c>
      <c r="T187">
        <v>0</v>
      </c>
      <c r="U187">
        <v>0</v>
      </c>
      <c r="V187">
        <v>0</v>
      </c>
      <c r="W187">
        <v>0</v>
      </c>
      <c r="X187" s="300">
        <v>0</v>
      </c>
      <c r="Y187" s="300">
        <v>0</v>
      </c>
      <c r="Z187" s="300">
        <v>0</v>
      </c>
      <c r="AA187" s="300">
        <v>0</v>
      </c>
      <c r="AB187" s="301">
        <v>0</v>
      </c>
      <c r="AC187" s="300">
        <v>0</v>
      </c>
      <c r="AD187" s="300">
        <v>0</v>
      </c>
      <c r="AE187" s="300">
        <v>0</v>
      </c>
      <c r="AF187" s="300">
        <v>0</v>
      </c>
      <c r="AG187" s="300">
        <v>0</v>
      </c>
      <c r="AH187" s="300">
        <v>0</v>
      </c>
      <c r="AI187" s="300">
        <v>0</v>
      </c>
      <c r="AJ187" s="300">
        <v>0</v>
      </c>
      <c r="AK187" s="300">
        <v>0</v>
      </c>
      <c r="AL187" s="300">
        <v>0</v>
      </c>
      <c r="AM187" s="300">
        <v>0</v>
      </c>
      <c r="AN187" s="300">
        <v>0</v>
      </c>
      <c r="AO187" s="300">
        <v>0</v>
      </c>
      <c r="AP187" s="300">
        <v>0</v>
      </c>
      <c r="AQ187" s="300">
        <v>0</v>
      </c>
      <c r="AR187" s="300">
        <v>0</v>
      </c>
      <c r="AS187" s="300">
        <v>0</v>
      </c>
      <c r="AT187" s="300">
        <v>0</v>
      </c>
      <c r="AU187" s="300">
        <v>0</v>
      </c>
      <c r="AV187" s="300">
        <v>0</v>
      </c>
      <c r="AW187" s="300">
        <v>0</v>
      </c>
      <c r="AX187" s="300">
        <v>0</v>
      </c>
      <c r="AY187" s="300">
        <v>0</v>
      </c>
      <c r="AZ187" s="300">
        <v>0</v>
      </c>
      <c r="BA187" s="300">
        <v>0</v>
      </c>
      <c r="BB187" s="300">
        <v>0</v>
      </c>
      <c r="BC187" s="301">
        <v>0</v>
      </c>
      <c r="BD187" s="300">
        <v>0</v>
      </c>
      <c r="BE187" s="300">
        <v>0</v>
      </c>
      <c r="BF187" s="300">
        <v>0</v>
      </c>
      <c r="BG187" s="300">
        <v>0</v>
      </c>
      <c r="BH187" s="300">
        <v>0</v>
      </c>
      <c r="BI187" s="300">
        <v>0</v>
      </c>
      <c r="BJ187" s="300">
        <v>0</v>
      </c>
      <c r="BK187" s="300">
        <v>0</v>
      </c>
      <c r="BL187" s="300">
        <v>0</v>
      </c>
      <c r="BM187" s="300">
        <v>0</v>
      </c>
      <c r="BN187" s="300">
        <v>0</v>
      </c>
      <c r="BO187" s="300">
        <v>0</v>
      </c>
      <c r="BP187" s="300">
        <v>0</v>
      </c>
      <c r="BQ187" s="300">
        <v>0</v>
      </c>
      <c r="BR187" s="300">
        <v>0</v>
      </c>
      <c r="BS187" s="301">
        <v>0</v>
      </c>
      <c r="BT187" s="300">
        <v>0</v>
      </c>
      <c r="BU187" s="300">
        <v>0</v>
      </c>
      <c r="BV187" s="300">
        <v>0</v>
      </c>
      <c r="BW187" s="300">
        <v>0</v>
      </c>
      <c r="BX187" s="300">
        <v>0</v>
      </c>
      <c r="BY187" s="300">
        <v>0</v>
      </c>
      <c r="BZ187" s="300">
        <v>0</v>
      </c>
      <c r="CA187" s="300">
        <v>0</v>
      </c>
      <c r="CB187" s="300">
        <v>0</v>
      </c>
      <c r="CC187" s="300">
        <v>0</v>
      </c>
      <c r="CD187" s="300">
        <v>0</v>
      </c>
      <c r="CE187" s="300">
        <v>0</v>
      </c>
      <c r="CF187" s="300">
        <v>0</v>
      </c>
      <c r="CG187" s="300">
        <v>0</v>
      </c>
      <c r="CH187" s="300">
        <v>0</v>
      </c>
      <c r="CI187" s="300">
        <v>0</v>
      </c>
      <c r="CJ187" s="300">
        <v>0</v>
      </c>
      <c r="CK187" s="300">
        <v>0</v>
      </c>
      <c r="CL187" s="300">
        <v>0</v>
      </c>
      <c r="CM187" s="300">
        <v>0</v>
      </c>
      <c r="CN187" s="300">
        <v>0</v>
      </c>
      <c r="CO187" s="300">
        <v>0</v>
      </c>
      <c r="CP187" s="254">
        <v>34</v>
      </c>
      <c r="CQ187" s="254"/>
      <c r="CR187" s="254"/>
      <c r="CS187" s="254"/>
      <c r="CT187" s="254"/>
      <c r="CW187" s="301"/>
      <c r="CX187" s="301"/>
      <c r="CY187" s="301"/>
    </row>
    <row r="188" spans="1:103" x14ac:dyDescent="0.2">
      <c r="A188" s="254">
        <v>34.25</v>
      </c>
      <c r="B188" s="122">
        <f t="shared" si="23"/>
        <v>6.8998855526419768E-7</v>
      </c>
      <c r="C188" s="122">
        <f t="shared" si="24"/>
        <v>1.1729200237645658E-7</v>
      </c>
      <c r="D188" s="122">
        <f t="shared" si="25"/>
        <v>7.5560860649042097E-3</v>
      </c>
      <c r="E188" s="122">
        <f t="shared" si="26"/>
        <v>0</v>
      </c>
      <c r="F188" s="122">
        <f t="shared" si="32"/>
        <v>0</v>
      </c>
      <c r="G188" s="299">
        <f>HLOOKUP('Input &amp; Summary'!$B$6,'AEP Input Output sheet'!$N$50:$CO$211,ROW(G188)-49,0)</f>
        <v>0</v>
      </c>
      <c r="H188" s="122">
        <f t="shared" si="27"/>
        <v>0</v>
      </c>
      <c r="I188" s="247">
        <f t="shared" si="28"/>
        <v>0</v>
      </c>
      <c r="J188" s="254">
        <f t="shared" si="29"/>
        <v>48919.813280367125</v>
      </c>
      <c r="K188" s="122">
        <f t="shared" si="30"/>
        <v>10176.07995443931</v>
      </c>
      <c r="L188" s="122">
        <f t="shared" si="33"/>
        <v>1662.9519221382577</v>
      </c>
      <c r="M188" s="122"/>
      <c r="N188" s="254">
        <f t="shared" si="31"/>
        <v>0</v>
      </c>
      <c r="O188">
        <v>0</v>
      </c>
      <c r="P188">
        <v>0</v>
      </c>
      <c r="Q188">
        <v>0</v>
      </c>
      <c r="R188">
        <v>0</v>
      </c>
      <c r="S188">
        <v>0</v>
      </c>
      <c r="T188">
        <v>0</v>
      </c>
      <c r="U188">
        <v>0</v>
      </c>
      <c r="V188">
        <v>0</v>
      </c>
      <c r="W188">
        <v>0</v>
      </c>
      <c r="X188" s="300">
        <v>0</v>
      </c>
      <c r="Y188" s="300">
        <v>0</v>
      </c>
      <c r="Z188" s="300">
        <v>0</v>
      </c>
      <c r="AA188" s="300">
        <v>0</v>
      </c>
      <c r="AB188" s="301">
        <v>0</v>
      </c>
      <c r="AC188" s="300">
        <v>0</v>
      </c>
      <c r="AD188" s="300">
        <v>0</v>
      </c>
      <c r="AE188" s="300">
        <v>0</v>
      </c>
      <c r="AF188" s="300">
        <v>0</v>
      </c>
      <c r="AG188" s="300">
        <v>0</v>
      </c>
      <c r="AH188" s="300">
        <v>0</v>
      </c>
      <c r="AI188" s="300">
        <v>0</v>
      </c>
      <c r="AJ188" s="300">
        <v>0</v>
      </c>
      <c r="AK188" s="300">
        <v>0</v>
      </c>
      <c r="AL188" s="300">
        <v>0</v>
      </c>
      <c r="AM188" s="300">
        <v>0</v>
      </c>
      <c r="AN188" s="300">
        <v>0</v>
      </c>
      <c r="AO188" s="300">
        <v>0</v>
      </c>
      <c r="AP188" s="300">
        <v>0</v>
      </c>
      <c r="AQ188" s="300">
        <v>0</v>
      </c>
      <c r="AR188" s="300">
        <v>0</v>
      </c>
      <c r="AS188" s="300">
        <v>0</v>
      </c>
      <c r="AT188" s="300">
        <v>0</v>
      </c>
      <c r="AU188" s="300">
        <v>0</v>
      </c>
      <c r="AV188" s="300">
        <v>0</v>
      </c>
      <c r="AW188" s="300">
        <v>0</v>
      </c>
      <c r="AX188" s="300">
        <v>0</v>
      </c>
      <c r="AY188" s="300">
        <v>0</v>
      </c>
      <c r="AZ188" s="300">
        <v>0</v>
      </c>
      <c r="BA188" s="300">
        <v>0</v>
      </c>
      <c r="BB188" s="300">
        <v>0</v>
      </c>
      <c r="BC188" s="301">
        <v>0</v>
      </c>
      <c r="BD188" s="300">
        <v>0</v>
      </c>
      <c r="BE188" s="300">
        <v>0</v>
      </c>
      <c r="BF188" s="300">
        <v>0</v>
      </c>
      <c r="BG188" s="300">
        <v>0</v>
      </c>
      <c r="BH188" s="300">
        <v>0</v>
      </c>
      <c r="BI188" s="300">
        <v>0</v>
      </c>
      <c r="BJ188" s="300">
        <v>0</v>
      </c>
      <c r="BK188" s="300">
        <v>0</v>
      </c>
      <c r="BL188" s="300">
        <v>0</v>
      </c>
      <c r="BM188" s="300">
        <v>0</v>
      </c>
      <c r="BN188" s="300">
        <v>0</v>
      </c>
      <c r="BO188" s="300">
        <v>0</v>
      </c>
      <c r="BP188" s="300">
        <v>0</v>
      </c>
      <c r="BQ188" s="300">
        <v>0</v>
      </c>
      <c r="BR188" s="300">
        <v>0</v>
      </c>
      <c r="BS188" s="301">
        <v>0</v>
      </c>
      <c r="BT188" s="300">
        <v>0</v>
      </c>
      <c r="BU188" s="300">
        <v>0</v>
      </c>
      <c r="BV188" s="300">
        <v>0</v>
      </c>
      <c r="BW188" s="300">
        <v>0</v>
      </c>
      <c r="BX188" s="300">
        <v>0</v>
      </c>
      <c r="BY188" s="300">
        <v>0</v>
      </c>
      <c r="BZ188" s="300">
        <v>0</v>
      </c>
      <c r="CA188" s="300">
        <v>0</v>
      </c>
      <c r="CB188" s="300">
        <v>0</v>
      </c>
      <c r="CC188" s="300">
        <v>0</v>
      </c>
      <c r="CD188" s="300">
        <v>0</v>
      </c>
      <c r="CE188" s="300">
        <v>0</v>
      </c>
      <c r="CF188" s="300">
        <v>0</v>
      </c>
      <c r="CG188" s="300">
        <v>0</v>
      </c>
      <c r="CH188" s="300">
        <v>0</v>
      </c>
      <c r="CI188" s="300">
        <v>0</v>
      </c>
      <c r="CJ188" s="300">
        <v>0</v>
      </c>
      <c r="CK188" s="300">
        <v>0</v>
      </c>
      <c r="CL188" s="300">
        <v>0</v>
      </c>
      <c r="CM188" s="300">
        <v>0</v>
      </c>
      <c r="CN188" s="300">
        <v>0</v>
      </c>
      <c r="CO188" s="300">
        <v>0</v>
      </c>
      <c r="CP188" s="254">
        <v>34.25</v>
      </c>
      <c r="CQ188" s="254"/>
      <c r="CR188" s="254"/>
      <c r="CS188" s="254"/>
      <c r="CT188" s="254"/>
      <c r="CW188" s="301"/>
      <c r="CX188" s="301"/>
      <c r="CY188" s="301"/>
    </row>
    <row r="189" spans="1:103" x14ac:dyDescent="0.2">
      <c r="A189" s="254">
        <v>34.5</v>
      </c>
      <c r="B189" s="122">
        <f t="shared" si="23"/>
        <v>5.6626222992209815E-7</v>
      </c>
      <c r="C189" s="122">
        <f t="shared" si="24"/>
        <v>9.25196080010744E-8</v>
      </c>
      <c r="D189" s="122">
        <f t="shared" si="25"/>
        <v>6.091690600324301E-3</v>
      </c>
      <c r="E189" s="122">
        <f t="shared" si="26"/>
        <v>0</v>
      </c>
      <c r="F189" s="122">
        <f t="shared" si="32"/>
        <v>0</v>
      </c>
      <c r="G189" s="299">
        <f>HLOOKUP('Input &amp; Summary'!$B$6,'AEP Input Output sheet'!$N$50:$CO$211,ROW(G189)-49,0)</f>
        <v>0</v>
      </c>
      <c r="H189" s="122">
        <f t="shared" si="27"/>
        <v>0</v>
      </c>
      <c r="I189" s="247">
        <f t="shared" si="28"/>
        <v>0</v>
      </c>
      <c r="J189" s="254">
        <f t="shared" si="29"/>
        <v>49998.888339081022</v>
      </c>
      <c r="K189" s="122">
        <f t="shared" si="30"/>
        <v>10268.422645607034</v>
      </c>
      <c r="L189" s="122">
        <f t="shared" si="33"/>
        <v>1662.9519221382577</v>
      </c>
      <c r="M189" s="122"/>
      <c r="N189" s="254">
        <f t="shared" si="31"/>
        <v>0</v>
      </c>
      <c r="O189">
        <v>0</v>
      </c>
      <c r="P189">
        <v>0</v>
      </c>
      <c r="Q189">
        <v>0</v>
      </c>
      <c r="R189">
        <v>0</v>
      </c>
      <c r="S189">
        <v>0</v>
      </c>
      <c r="T189">
        <v>0</v>
      </c>
      <c r="U189">
        <v>0</v>
      </c>
      <c r="V189">
        <v>0</v>
      </c>
      <c r="W189">
        <v>0</v>
      </c>
      <c r="X189" s="300">
        <v>0</v>
      </c>
      <c r="Y189" s="300">
        <v>0</v>
      </c>
      <c r="Z189" s="300">
        <v>0</v>
      </c>
      <c r="AA189" s="300">
        <v>0</v>
      </c>
      <c r="AB189" s="301">
        <v>0</v>
      </c>
      <c r="AC189" s="300">
        <v>0</v>
      </c>
      <c r="AD189" s="300">
        <v>0</v>
      </c>
      <c r="AE189" s="300">
        <v>0</v>
      </c>
      <c r="AF189" s="300">
        <v>0</v>
      </c>
      <c r="AG189" s="300">
        <v>0</v>
      </c>
      <c r="AH189" s="300">
        <v>0</v>
      </c>
      <c r="AI189" s="300">
        <v>0</v>
      </c>
      <c r="AJ189" s="300">
        <v>0</v>
      </c>
      <c r="AK189" s="300">
        <v>0</v>
      </c>
      <c r="AL189" s="300">
        <v>0</v>
      </c>
      <c r="AM189" s="300">
        <v>0</v>
      </c>
      <c r="AN189" s="300">
        <v>0</v>
      </c>
      <c r="AO189" s="300">
        <v>0</v>
      </c>
      <c r="AP189" s="300">
        <v>0</v>
      </c>
      <c r="AQ189" s="300">
        <v>0</v>
      </c>
      <c r="AR189" s="300">
        <v>0</v>
      </c>
      <c r="AS189" s="300">
        <v>0</v>
      </c>
      <c r="AT189" s="300">
        <v>0</v>
      </c>
      <c r="AU189" s="300">
        <v>0</v>
      </c>
      <c r="AV189" s="300">
        <v>0</v>
      </c>
      <c r="AW189" s="300">
        <v>0</v>
      </c>
      <c r="AX189" s="300">
        <v>0</v>
      </c>
      <c r="AY189" s="300">
        <v>0</v>
      </c>
      <c r="AZ189" s="300">
        <v>0</v>
      </c>
      <c r="BA189" s="300">
        <v>0</v>
      </c>
      <c r="BB189" s="300">
        <v>0</v>
      </c>
      <c r="BC189" s="301">
        <v>0</v>
      </c>
      <c r="BD189" s="300">
        <v>0</v>
      </c>
      <c r="BE189" s="300">
        <v>0</v>
      </c>
      <c r="BF189" s="300">
        <v>0</v>
      </c>
      <c r="BG189" s="300">
        <v>0</v>
      </c>
      <c r="BH189" s="300">
        <v>0</v>
      </c>
      <c r="BI189" s="300">
        <v>0</v>
      </c>
      <c r="BJ189" s="300">
        <v>0</v>
      </c>
      <c r="BK189" s="300">
        <v>0</v>
      </c>
      <c r="BL189" s="300">
        <v>0</v>
      </c>
      <c r="BM189" s="300">
        <v>0</v>
      </c>
      <c r="BN189" s="300">
        <v>0</v>
      </c>
      <c r="BO189" s="300">
        <v>0</v>
      </c>
      <c r="BP189" s="300">
        <v>0</v>
      </c>
      <c r="BQ189" s="300">
        <v>0</v>
      </c>
      <c r="BR189" s="300">
        <v>0</v>
      </c>
      <c r="BS189" s="301">
        <v>0</v>
      </c>
      <c r="BT189" s="300">
        <v>0</v>
      </c>
      <c r="BU189" s="300">
        <v>0</v>
      </c>
      <c r="BV189" s="300">
        <v>0</v>
      </c>
      <c r="BW189" s="300">
        <v>0</v>
      </c>
      <c r="BX189" s="300">
        <v>0</v>
      </c>
      <c r="BY189" s="300">
        <v>0</v>
      </c>
      <c r="BZ189" s="300">
        <v>0</v>
      </c>
      <c r="CA189" s="300">
        <v>0</v>
      </c>
      <c r="CB189" s="300">
        <v>0</v>
      </c>
      <c r="CC189" s="300">
        <v>0</v>
      </c>
      <c r="CD189" s="300">
        <v>0</v>
      </c>
      <c r="CE189" s="300">
        <v>0</v>
      </c>
      <c r="CF189" s="300">
        <v>0</v>
      </c>
      <c r="CG189" s="300">
        <v>0</v>
      </c>
      <c r="CH189" s="300">
        <v>0</v>
      </c>
      <c r="CI189" s="300">
        <v>0</v>
      </c>
      <c r="CJ189" s="300">
        <v>0</v>
      </c>
      <c r="CK189" s="300">
        <v>0</v>
      </c>
      <c r="CL189" s="300">
        <v>0</v>
      </c>
      <c r="CM189" s="300">
        <v>0</v>
      </c>
      <c r="CN189" s="300">
        <v>0</v>
      </c>
      <c r="CO189" s="300">
        <v>0</v>
      </c>
      <c r="CP189" s="254">
        <v>34.5</v>
      </c>
      <c r="CQ189" s="254"/>
      <c r="CR189" s="254"/>
      <c r="CS189" s="254"/>
      <c r="CT189" s="254"/>
      <c r="CW189" s="301"/>
      <c r="CX189" s="301"/>
      <c r="CY189" s="301"/>
    </row>
    <row r="190" spans="1:103" x14ac:dyDescent="0.2">
      <c r="A190" s="254">
        <v>34.75</v>
      </c>
      <c r="B190" s="122">
        <f t="shared" si="23"/>
        <v>4.6400573607954516E-7</v>
      </c>
      <c r="C190" s="122">
        <f t="shared" si="24"/>
        <v>7.2831910259742658E-8</v>
      </c>
      <c r="D190" s="122">
        <f t="shared" si="25"/>
        <v>4.9004153962238575E-3</v>
      </c>
      <c r="E190" s="122">
        <f t="shared" si="26"/>
        <v>0</v>
      </c>
      <c r="F190" s="122">
        <f t="shared" si="32"/>
        <v>0</v>
      </c>
      <c r="G190" s="299">
        <f>HLOOKUP('Input &amp; Summary'!$B$6,'AEP Input Output sheet'!$N$50:$CO$211,ROW(G190)-49,0)</f>
        <v>0</v>
      </c>
      <c r="H190" s="122">
        <f t="shared" si="27"/>
        <v>0</v>
      </c>
      <c r="I190" s="247">
        <f t="shared" si="28"/>
        <v>0</v>
      </c>
      <c r="J190" s="254">
        <f t="shared" si="29"/>
        <v>51093.716040623854</v>
      </c>
      <c r="K190" s="122">
        <f t="shared" si="30"/>
        <v>10360.765336774759</v>
      </c>
      <c r="L190" s="122">
        <f t="shared" si="33"/>
        <v>1662.9519221382577</v>
      </c>
      <c r="M190" s="122"/>
      <c r="N190" s="254">
        <f t="shared" si="31"/>
        <v>0</v>
      </c>
      <c r="O190">
        <v>0</v>
      </c>
      <c r="P190">
        <v>0</v>
      </c>
      <c r="Q190">
        <v>0</v>
      </c>
      <c r="R190">
        <v>0</v>
      </c>
      <c r="S190">
        <v>0</v>
      </c>
      <c r="T190">
        <v>0</v>
      </c>
      <c r="U190">
        <v>0</v>
      </c>
      <c r="V190">
        <v>0</v>
      </c>
      <c r="W190">
        <v>0</v>
      </c>
      <c r="X190" s="300">
        <v>0</v>
      </c>
      <c r="Y190" s="300">
        <v>0</v>
      </c>
      <c r="Z190" s="300">
        <v>0</v>
      </c>
      <c r="AA190" s="300">
        <v>0</v>
      </c>
      <c r="AB190" s="301">
        <v>0</v>
      </c>
      <c r="AC190" s="300">
        <v>0</v>
      </c>
      <c r="AD190" s="300">
        <v>0</v>
      </c>
      <c r="AE190" s="300">
        <v>0</v>
      </c>
      <c r="AF190" s="300">
        <v>0</v>
      </c>
      <c r="AG190" s="300">
        <v>0</v>
      </c>
      <c r="AH190" s="300">
        <v>0</v>
      </c>
      <c r="AI190" s="300">
        <v>0</v>
      </c>
      <c r="AJ190" s="300">
        <v>0</v>
      </c>
      <c r="AK190" s="300">
        <v>0</v>
      </c>
      <c r="AL190" s="300">
        <v>0</v>
      </c>
      <c r="AM190" s="300">
        <v>0</v>
      </c>
      <c r="AN190" s="300">
        <v>0</v>
      </c>
      <c r="AO190" s="300">
        <v>0</v>
      </c>
      <c r="AP190" s="300">
        <v>0</v>
      </c>
      <c r="AQ190" s="300">
        <v>0</v>
      </c>
      <c r="AR190" s="300">
        <v>0</v>
      </c>
      <c r="AS190" s="300">
        <v>0</v>
      </c>
      <c r="AT190" s="300">
        <v>0</v>
      </c>
      <c r="AU190" s="300">
        <v>0</v>
      </c>
      <c r="AV190" s="300">
        <v>0</v>
      </c>
      <c r="AW190" s="300">
        <v>0</v>
      </c>
      <c r="AX190" s="300">
        <v>0</v>
      </c>
      <c r="AY190" s="300">
        <v>0</v>
      </c>
      <c r="AZ190" s="300">
        <v>0</v>
      </c>
      <c r="BA190" s="300">
        <v>0</v>
      </c>
      <c r="BB190" s="300">
        <v>0</v>
      </c>
      <c r="BC190" s="301">
        <v>0</v>
      </c>
      <c r="BD190" s="300">
        <v>0</v>
      </c>
      <c r="BE190" s="300">
        <v>0</v>
      </c>
      <c r="BF190" s="300">
        <v>0</v>
      </c>
      <c r="BG190" s="300">
        <v>0</v>
      </c>
      <c r="BH190" s="300">
        <v>0</v>
      </c>
      <c r="BI190" s="300">
        <v>0</v>
      </c>
      <c r="BJ190" s="300">
        <v>0</v>
      </c>
      <c r="BK190" s="300">
        <v>0</v>
      </c>
      <c r="BL190" s="300">
        <v>0</v>
      </c>
      <c r="BM190" s="300">
        <v>0</v>
      </c>
      <c r="BN190" s="300">
        <v>0</v>
      </c>
      <c r="BO190" s="300">
        <v>0</v>
      </c>
      <c r="BP190" s="300">
        <v>0</v>
      </c>
      <c r="BQ190" s="300">
        <v>0</v>
      </c>
      <c r="BR190" s="300">
        <v>0</v>
      </c>
      <c r="BS190" s="301">
        <v>0</v>
      </c>
      <c r="BT190" s="300">
        <v>0</v>
      </c>
      <c r="BU190" s="300">
        <v>0</v>
      </c>
      <c r="BV190" s="300">
        <v>0</v>
      </c>
      <c r="BW190" s="300">
        <v>0</v>
      </c>
      <c r="BX190" s="300">
        <v>0</v>
      </c>
      <c r="BY190" s="300">
        <v>0</v>
      </c>
      <c r="BZ190" s="300">
        <v>0</v>
      </c>
      <c r="CA190" s="300">
        <v>0</v>
      </c>
      <c r="CB190" s="300">
        <v>0</v>
      </c>
      <c r="CC190" s="300">
        <v>0</v>
      </c>
      <c r="CD190" s="300">
        <v>0</v>
      </c>
      <c r="CE190" s="300">
        <v>0</v>
      </c>
      <c r="CF190" s="300">
        <v>0</v>
      </c>
      <c r="CG190" s="300">
        <v>0</v>
      </c>
      <c r="CH190" s="300">
        <v>0</v>
      </c>
      <c r="CI190" s="300">
        <v>0</v>
      </c>
      <c r="CJ190" s="300">
        <v>0</v>
      </c>
      <c r="CK190" s="300">
        <v>0</v>
      </c>
      <c r="CL190" s="300">
        <v>0</v>
      </c>
      <c r="CM190" s="300">
        <v>0</v>
      </c>
      <c r="CN190" s="300">
        <v>0</v>
      </c>
      <c r="CO190" s="300">
        <v>0</v>
      </c>
      <c r="CP190" s="254">
        <v>34.75</v>
      </c>
      <c r="CQ190" s="254"/>
      <c r="CR190" s="254"/>
      <c r="CS190" s="254"/>
      <c r="CT190" s="254"/>
      <c r="CW190" s="301"/>
      <c r="CX190" s="301"/>
      <c r="CY190" s="301"/>
    </row>
    <row r="191" spans="1:103" x14ac:dyDescent="0.2">
      <c r="A191" s="254">
        <v>35</v>
      </c>
      <c r="B191" s="122">
        <f t="shared" si="23"/>
        <v>3.7962908462159744E-7</v>
      </c>
      <c r="C191" s="122">
        <f t="shared" si="24"/>
        <v>5.7217897472235169E-8</v>
      </c>
      <c r="D191" s="122">
        <f t="shared" si="25"/>
        <v>3.9335329837908153E-3</v>
      </c>
      <c r="E191" s="122">
        <f t="shared" si="26"/>
        <v>0</v>
      </c>
      <c r="F191" s="122">
        <f t="shared" si="32"/>
        <v>0</v>
      </c>
      <c r="G191" s="299">
        <f>HLOOKUP('Input &amp; Summary'!$B$6,'AEP Input Output sheet'!$N$50:$CO$211,ROW(G191)-49,0)</f>
        <v>0</v>
      </c>
      <c r="H191" s="122">
        <f t="shared" si="27"/>
        <v>0</v>
      </c>
      <c r="I191" s="247">
        <f t="shared" si="28"/>
        <v>0</v>
      </c>
      <c r="J191" s="254">
        <f t="shared" si="29"/>
        <v>52204.410534581373</v>
      </c>
      <c r="K191" s="122">
        <f t="shared" si="30"/>
        <v>10453.108027942484</v>
      </c>
      <c r="L191" s="122">
        <f t="shared" si="33"/>
        <v>1662.9519221382577</v>
      </c>
      <c r="M191" s="122"/>
      <c r="N191" s="254">
        <f t="shared" si="31"/>
        <v>0</v>
      </c>
      <c r="O191">
        <v>0</v>
      </c>
      <c r="P191">
        <v>0</v>
      </c>
      <c r="Q191">
        <v>0</v>
      </c>
      <c r="R191">
        <v>0</v>
      </c>
      <c r="S191">
        <v>0</v>
      </c>
      <c r="T191">
        <v>0</v>
      </c>
      <c r="U191">
        <v>0</v>
      </c>
      <c r="V191">
        <v>0</v>
      </c>
      <c r="W191">
        <v>0</v>
      </c>
      <c r="X191" s="300">
        <v>0</v>
      </c>
      <c r="Y191" s="300">
        <v>0</v>
      </c>
      <c r="Z191" s="300">
        <v>0</v>
      </c>
      <c r="AA191" s="300">
        <v>0</v>
      </c>
      <c r="AB191" s="301">
        <v>0</v>
      </c>
      <c r="AC191" s="300">
        <v>0</v>
      </c>
      <c r="AD191" s="300">
        <v>0</v>
      </c>
      <c r="AE191" s="300">
        <v>0</v>
      </c>
      <c r="AF191" s="300">
        <v>0</v>
      </c>
      <c r="AG191" s="300">
        <v>0</v>
      </c>
      <c r="AH191" s="300">
        <v>0</v>
      </c>
      <c r="AI191" s="300">
        <v>0</v>
      </c>
      <c r="AJ191" s="300">
        <v>0</v>
      </c>
      <c r="AK191" s="300">
        <v>0</v>
      </c>
      <c r="AL191" s="300">
        <v>0</v>
      </c>
      <c r="AM191" s="300">
        <v>0</v>
      </c>
      <c r="AN191" s="300">
        <v>0</v>
      </c>
      <c r="AO191" s="300">
        <v>0</v>
      </c>
      <c r="AP191" s="300">
        <v>0</v>
      </c>
      <c r="AQ191" s="300">
        <v>0</v>
      </c>
      <c r="AR191" s="300">
        <v>0</v>
      </c>
      <c r="AS191" s="300">
        <v>0</v>
      </c>
      <c r="AT191" s="300">
        <v>0</v>
      </c>
      <c r="AU191" s="300">
        <v>0</v>
      </c>
      <c r="AV191" s="300">
        <v>0</v>
      </c>
      <c r="AW191" s="300">
        <v>0</v>
      </c>
      <c r="AX191" s="300">
        <v>0</v>
      </c>
      <c r="AY191" s="300">
        <v>0</v>
      </c>
      <c r="AZ191" s="300">
        <v>0</v>
      </c>
      <c r="BA191" s="300">
        <v>0</v>
      </c>
      <c r="BB191" s="300">
        <v>0</v>
      </c>
      <c r="BC191" s="301">
        <v>0</v>
      </c>
      <c r="BD191" s="300">
        <v>0</v>
      </c>
      <c r="BE191" s="300">
        <v>0</v>
      </c>
      <c r="BF191" s="300">
        <v>0</v>
      </c>
      <c r="BG191" s="300">
        <v>0</v>
      </c>
      <c r="BH191" s="300">
        <v>0</v>
      </c>
      <c r="BI191" s="300">
        <v>0</v>
      </c>
      <c r="BJ191" s="300">
        <v>0</v>
      </c>
      <c r="BK191" s="300">
        <v>0</v>
      </c>
      <c r="BL191" s="300">
        <v>0</v>
      </c>
      <c r="BM191" s="300">
        <v>0</v>
      </c>
      <c r="BN191" s="300">
        <v>0</v>
      </c>
      <c r="BO191" s="300">
        <v>0</v>
      </c>
      <c r="BP191" s="300">
        <v>0</v>
      </c>
      <c r="BQ191" s="300">
        <v>0</v>
      </c>
      <c r="BR191" s="300">
        <v>0</v>
      </c>
      <c r="BS191" s="301">
        <v>0</v>
      </c>
      <c r="BT191" s="300">
        <v>0</v>
      </c>
      <c r="BU191" s="300">
        <v>0</v>
      </c>
      <c r="BV191" s="300">
        <v>0</v>
      </c>
      <c r="BW191" s="300">
        <v>0</v>
      </c>
      <c r="BX191" s="300">
        <v>0</v>
      </c>
      <c r="BY191" s="300">
        <v>0</v>
      </c>
      <c r="BZ191" s="300">
        <v>0</v>
      </c>
      <c r="CA191" s="300">
        <v>0</v>
      </c>
      <c r="CB191" s="300">
        <v>0</v>
      </c>
      <c r="CC191" s="300">
        <v>0</v>
      </c>
      <c r="CD191" s="300">
        <v>0</v>
      </c>
      <c r="CE191" s="300">
        <v>0</v>
      </c>
      <c r="CF191" s="300">
        <v>0</v>
      </c>
      <c r="CG191" s="300">
        <v>0</v>
      </c>
      <c r="CH191" s="300">
        <v>0</v>
      </c>
      <c r="CI191" s="300">
        <v>0</v>
      </c>
      <c r="CJ191" s="300">
        <v>0</v>
      </c>
      <c r="CK191" s="300">
        <v>0</v>
      </c>
      <c r="CL191" s="300">
        <v>0</v>
      </c>
      <c r="CM191" s="300">
        <v>0</v>
      </c>
      <c r="CN191" s="300">
        <v>0</v>
      </c>
      <c r="CO191" s="300">
        <v>0</v>
      </c>
      <c r="CP191" s="254">
        <v>35</v>
      </c>
      <c r="CQ191" s="254"/>
      <c r="CR191" s="254"/>
      <c r="CS191" s="254"/>
      <c r="CT191" s="254"/>
      <c r="CW191" s="301"/>
      <c r="CX191" s="301"/>
      <c r="CY191" s="301"/>
    </row>
    <row r="192" spans="1:103" x14ac:dyDescent="0.2">
      <c r="A192" s="254">
        <v>35.25</v>
      </c>
      <c r="B192" s="122">
        <f t="shared" si="23"/>
        <v>3.1011751834127929E-7</v>
      </c>
      <c r="C192" s="122">
        <f t="shared" si="24"/>
        <v>4.4860499723518407E-8</v>
      </c>
      <c r="D192" s="122">
        <f t="shared" si="25"/>
        <v>3.1505635126733334E-3</v>
      </c>
      <c r="E192" s="122">
        <f t="shared" si="26"/>
        <v>0</v>
      </c>
      <c r="F192" s="122">
        <f t="shared" si="32"/>
        <v>0</v>
      </c>
      <c r="G192" s="299">
        <f>HLOOKUP('Input &amp; Summary'!$B$6,'AEP Input Output sheet'!$N$50:$CO$211,ROW(G192)-49,0)</f>
        <v>0</v>
      </c>
      <c r="H192" s="122">
        <f t="shared" si="27"/>
        <v>0</v>
      </c>
      <c r="I192" s="247">
        <f t="shared" si="28"/>
        <v>0</v>
      </c>
      <c r="J192" s="254">
        <f t="shared" si="29"/>
        <v>53331.085970539243</v>
      </c>
      <c r="K192" s="122">
        <f t="shared" si="30"/>
        <v>10545.450719110208</v>
      </c>
      <c r="L192" s="122">
        <f t="shared" si="33"/>
        <v>1662.9519221382577</v>
      </c>
      <c r="M192" s="122"/>
      <c r="N192" s="254">
        <f t="shared" si="31"/>
        <v>0</v>
      </c>
      <c r="O192">
        <v>0</v>
      </c>
      <c r="P192">
        <v>0</v>
      </c>
      <c r="Q192">
        <v>0</v>
      </c>
      <c r="R192">
        <v>0</v>
      </c>
      <c r="S192">
        <v>0</v>
      </c>
      <c r="T192">
        <v>0</v>
      </c>
      <c r="U192">
        <v>0</v>
      </c>
      <c r="V192">
        <v>0</v>
      </c>
      <c r="W192">
        <v>0</v>
      </c>
      <c r="X192" s="300">
        <v>0</v>
      </c>
      <c r="Y192" s="300">
        <v>0</v>
      </c>
      <c r="Z192" s="300">
        <v>0</v>
      </c>
      <c r="AA192" s="300">
        <v>0</v>
      </c>
      <c r="AB192" s="301">
        <v>0</v>
      </c>
      <c r="AC192" s="300">
        <v>0</v>
      </c>
      <c r="AD192" s="300">
        <v>0</v>
      </c>
      <c r="AE192" s="300">
        <v>0</v>
      </c>
      <c r="AF192" s="300">
        <v>0</v>
      </c>
      <c r="AG192" s="300">
        <v>0</v>
      </c>
      <c r="AH192" s="300">
        <v>0</v>
      </c>
      <c r="AI192" s="300">
        <v>0</v>
      </c>
      <c r="AJ192" s="300">
        <v>0</v>
      </c>
      <c r="AK192" s="300">
        <v>0</v>
      </c>
      <c r="AL192" s="300">
        <v>0</v>
      </c>
      <c r="AM192" s="300">
        <v>0</v>
      </c>
      <c r="AN192" s="300">
        <v>0</v>
      </c>
      <c r="AO192" s="300">
        <v>0</v>
      </c>
      <c r="AP192" s="300">
        <v>0</v>
      </c>
      <c r="AQ192" s="300">
        <v>0</v>
      </c>
      <c r="AR192" s="300">
        <v>0</v>
      </c>
      <c r="AS192" s="300">
        <v>0</v>
      </c>
      <c r="AT192" s="300">
        <v>0</v>
      </c>
      <c r="AU192" s="300">
        <v>0</v>
      </c>
      <c r="AV192" s="300">
        <v>0</v>
      </c>
      <c r="AW192" s="300">
        <v>0</v>
      </c>
      <c r="AX192" s="300">
        <v>0</v>
      </c>
      <c r="AY192" s="300">
        <v>0</v>
      </c>
      <c r="AZ192" s="300">
        <v>0</v>
      </c>
      <c r="BA192" s="300">
        <v>0</v>
      </c>
      <c r="BB192" s="300">
        <v>0</v>
      </c>
      <c r="BC192" s="301">
        <v>0</v>
      </c>
      <c r="BD192" s="300">
        <v>0</v>
      </c>
      <c r="BE192" s="300">
        <v>0</v>
      </c>
      <c r="BF192" s="300">
        <v>0</v>
      </c>
      <c r="BG192" s="300">
        <v>0</v>
      </c>
      <c r="BH192" s="300">
        <v>0</v>
      </c>
      <c r="BI192" s="300">
        <v>0</v>
      </c>
      <c r="BJ192" s="300">
        <v>0</v>
      </c>
      <c r="BK192" s="300">
        <v>0</v>
      </c>
      <c r="BL192" s="300">
        <v>0</v>
      </c>
      <c r="BM192" s="300">
        <v>0</v>
      </c>
      <c r="BN192" s="300">
        <v>0</v>
      </c>
      <c r="BO192" s="300">
        <v>0</v>
      </c>
      <c r="BP192" s="300">
        <v>0</v>
      </c>
      <c r="BQ192" s="300">
        <v>0</v>
      </c>
      <c r="BR192" s="300">
        <v>0</v>
      </c>
      <c r="BS192" s="301">
        <v>0</v>
      </c>
      <c r="BT192" s="300">
        <v>0</v>
      </c>
      <c r="BU192" s="300">
        <v>0</v>
      </c>
      <c r="BV192" s="300">
        <v>0</v>
      </c>
      <c r="BW192" s="300">
        <v>0</v>
      </c>
      <c r="BX192" s="300">
        <v>0</v>
      </c>
      <c r="BY192" s="300">
        <v>0</v>
      </c>
      <c r="BZ192" s="300">
        <v>0</v>
      </c>
      <c r="CA192" s="300">
        <v>0</v>
      </c>
      <c r="CB192" s="300">
        <v>0</v>
      </c>
      <c r="CC192" s="300">
        <v>0</v>
      </c>
      <c r="CD192" s="300">
        <v>0</v>
      </c>
      <c r="CE192" s="300">
        <v>0</v>
      </c>
      <c r="CF192" s="300">
        <v>0</v>
      </c>
      <c r="CG192" s="300">
        <v>0</v>
      </c>
      <c r="CH192" s="300">
        <v>0</v>
      </c>
      <c r="CI192" s="300">
        <v>0</v>
      </c>
      <c r="CJ192" s="300">
        <v>0</v>
      </c>
      <c r="CK192" s="300">
        <v>0</v>
      </c>
      <c r="CL192" s="300">
        <v>0</v>
      </c>
      <c r="CM192" s="300">
        <v>0</v>
      </c>
      <c r="CN192" s="300">
        <v>0</v>
      </c>
      <c r="CO192" s="300">
        <v>0</v>
      </c>
      <c r="CP192" s="254">
        <v>35.25</v>
      </c>
      <c r="CQ192" s="254"/>
      <c r="CR192" s="254"/>
      <c r="CS192" s="254"/>
      <c r="CT192" s="254"/>
      <c r="CW192" s="301"/>
      <c r="CX192" s="301"/>
      <c r="CY192" s="301"/>
    </row>
    <row r="193" spans="1:103" x14ac:dyDescent="0.2">
      <c r="A193" s="254">
        <v>35.5</v>
      </c>
      <c r="B193" s="122">
        <f t="shared" si="23"/>
        <v>2.5294385268711634E-7</v>
      </c>
      <c r="C193" s="122">
        <f t="shared" si="24"/>
        <v>3.5100885558870966E-8</v>
      </c>
      <c r="D193" s="122">
        <f t="shared" si="25"/>
        <v>2.5179662260274298E-3</v>
      </c>
      <c r="E193" s="122">
        <f t="shared" si="26"/>
        <v>0</v>
      </c>
      <c r="F193" s="122">
        <f t="shared" si="32"/>
        <v>0</v>
      </c>
      <c r="G193" s="299">
        <f>HLOOKUP('Input &amp; Summary'!$B$6,'AEP Input Output sheet'!$N$50:$CO$211,ROW(G193)-49,0)</f>
        <v>0</v>
      </c>
      <c r="H193" s="122">
        <f t="shared" si="27"/>
        <v>0</v>
      </c>
      <c r="I193" s="247">
        <f t="shared" si="28"/>
        <v>0</v>
      </c>
      <c r="J193" s="254">
        <f t="shared" si="29"/>
        <v>54473.856498083231</v>
      </c>
      <c r="K193" s="122">
        <f t="shared" si="30"/>
        <v>10637.793410277933</v>
      </c>
      <c r="L193" s="122">
        <f t="shared" si="33"/>
        <v>1662.9519221382577</v>
      </c>
      <c r="M193" s="122"/>
      <c r="N193" s="254">
        <f t="shared" si="31"/>
        <v>0</v>
      </c>
      <c r="O193">
        <v>0</v>
      </c>
      <c r="P193">
        <v>0</v>
      </c>
      <c r="Q193">
        <v>0</v>
      </c>
      <c r="R193">
        <v>0</v>
      </c>
      <c r="S193">
        <v>0</v>
      </c>
      <c r="T193">
        <v>0</v>
      </c>
      <c r="U193">
        <v>0</v>
      </c>
      <c r="V193">
        <v>0</v>
      </c>
      <c r="W193">
        <v>0</v>
      </c>
      <c r="X193" s="300">
        <v>0</v>
      </c>
      <c r="Y193" s="300">
        <v>0</v>
      </c>
      <c r="Z193" s="300">
        <v>0</v>
      </c>
      <c r="AA193" s="300">
        <v>0</v>
      </c>
      <c r="AB193" s="301">
        <v>0</v>
      </c>
      <c r="AC193" s="300">
        <v>0</v>
      </c>
      <c r="AD193" s="300">
        <v>0</v>
      </c>
      <c r="AE193" s="300">
        <v>0</v>
      </c>
      <c r="AF193" s="300">
        <v>0</v>
      </c>
      <c r="AG193" s="300">
        <v>0</v>
      </c>
      <c r="AH193" s="300">
        <v>0</v>
      </c>
      <c r="AI193" s="300">
        <v>0</v>
      </c>
      <c r="AJ193" s="300">
        <v>0</v>
      </c>
      <c r="AK193" s="300">
        <v>0</v>
      </c>
      <c r="AL193" s="300">
        <v>0</v>
      </c>
      <c r="AM193" s="300">
        <v>0</v>
      </c>
      <c r="AN193" s="300">
        <v>0</v>
      </c>
      <c r="AO193" s="300">
        <v>0</v>
      </c>
      <c r="AP193" s="300">
        <v>0</v>
      </c>
      <c r="AQ193" s="300">
        <v>0</v>
      </c>
      <c r="AR193" s="300">
        <v>0</v>
      </c>
      <c r="AS193" s="300">
        <v>0</v>
      </c>
      <c r="AT193" s="300">
        <v>0</v>
      </c>
      <c r="AU193" s="300">
        <v>0</v>
      </c>
      <c r="AV193" s="300">
        <v>0</v>
      </c>
      <c r="AW193" s="300">
        <v>0</v>
      </c>
      <c r="AX193" s="300">
        <v>0</v>
      </c>
      <c r="AY193" s="300">
        <v>0</v>
      </c>
      <c r="AZ193" s="300">
        <v>0</v>
      </c>
      <c r="BA193" s="300">
        <v>0</v>
      </c>
      <c r="BB193" s="300">
        <v>0</v>
      </c>
      <c r="BC193" s="301">
        <v>0</v>
      </c>
      <c r="BD193" s="300">
        <v>0</v>
      </c>
      <c r="BE193" s="300">
        <v>0</v>
      </c>
      <c r="BF193" s="300">
        <v>0</v>
      </c>
      <c r="BG193" s="300">
        <v>0</v>
      </c>
      <c r="BH193" s="300">
        <v>0</v>
      </c>
      <c r="BI193" s="300">
        <v>0</v>
      </c>
      <c r="BJ193" s="300">
        <v>0</v>
      </c>
      <c r="BK193" s="300">
        <v>0</v>
      </c>
      <c r="BL193" s="300">
        <v>0</v>
      </c>
      <c r="BM193" s="300">
        <v>0</v>
      </c>
      <c r="BN193" s="300">
        <v>0</v>
      </c>
      <c r="BO193" s="300">
        <v>0</v>
      </c>
      <c r="BP193" s="300">
        <v>0</v>
      </c>
      <c r="BQ193" s="300">
        <v>0</v>
      </c>
      <c r="BR193" s="300">
        <v>0</v>
      </c>
      <c r="BS193" s="301">
        <v>0</v>
      </c>
      <c r="BT193" s="300">
        <v>0</v>
      </c>
      <c r="BU193" s="300">
        <v>0</v>
      </c>
      <c r="BV193" s="300">
        <v>0</v>
      </c>
      <c r="BW193" s="300">
        <v>0</v>
      </c>
      <c r="BX193" s="300">
        <v>0</v>
      </c>
      <c r="BY193" s="300">
        <v>0</v>
      </c>
      <c r="BZ193" s="300">
        <v>0</v>
      </c>
      <c r="CA193" s="300">
        <v>0</v>
      </c>
      <c r="CB193" s="300">
        <v>0</v>
      </c>
      <c r="CC193" s="300">
        <v>0</v>
      </c>
      <c r="CD193" s="300">
        <v>0</v>
      </c>
      <c r="CE193" s="300">
        <v>0</v>
      </c>
      <c r="CF193" s="300">
        <v>0</v>
      </c>
      <c r="CG193" s="300">
        <v>0</v>
      </c>
      <c r="CH193" s="300">
        <v>0</v>
      </c>
      <c r="CI193" s="300">
        <v>0</v>
      </c>
      <c r="CJ193" s="300">
        <v>0</v>
      </c>
      <c r="CK193" s="300">
        <v>0</v>
      </c>
      <c r="CL193" s="300">
        <v>0</v>
      </c>
      <c r="CM193" s="300">
        <v>0</v>
      </c>
      <c r="CN193" s="300">
        <v>0</v>
      </c>
      <c r="CO193" s="300">
        <v>0</v>
      </c>
      <c r="CP193" s="254">
        <v>35.5</v>
      </c>
      <c r="CQ193" s="254"/>
      <c r="CR193" s="254"/>
      <c r="CS193" s="254"/>
      <c r="CT193" s="254"/>
      <c r="CW193" s="301"/>
      <c r="CX193" s="301"/>
      <c r="CY193" s="301"/>
    </row>
    <row r="194" spans="1:103" x14ac:dyDescent="0.2">
      <c r="A194" s="254">
        <v>35.75</v>
      </c>
      <c r="B194" s="122">
        <f t="shared" si="23"/>
        <v>2.0599338396431876E-7</v>
      </c>
      <c r="C194" s="122">
        <f t="shared" si="24"/>
        <v>2.7409021242743633E-8</v>
      </c>
      <c r="D194" s="122">
        <f t="shared" si="25"/>
        <v>2.0080218482709774E-3</v>
      </c>
      <c r="E194" s="122">
        <f t="shared" si="26"/>
        <v>0</v>
      </c>
      <c r="F194" s="122">
        <f t="shared" si="32"/>
        <v>0</v>
      </c>
      <c r="G194" s="299">
        <f>HLOOKUP('Input &amp; Summary'!$B$6,'AEP Input Output sheet'!$N$50:$CO$211,ROW(G194)-49,0)</f>
        <v>0</v>
      </c>
      <c r="H194" s="122">
        <f t="shared" si="27"/>
        <v>0</v>
      </c>
      <c r="I194" s="247">
        <f t="shared" si="28"/>
        <v>0</v>
      </c>
      <c r="J194" s="254">
        <f t="shared" si="29"/>
        <v>55632.836266799037</v>
      </c>
      <c r="K194" s="122">
        <f t="shared" si="30"/>
        <v>10730.136101445656</v>
      </c>
      <c r="L194" s="122">
        <f t="shared" si="33"/>
        <v>1662.9519221382577</v>
      </c>
      <c r="M194" s="122"/>
      <c r="N194" s="254">
        <f t="shared" si="31"/>
        <v>0</v>
      </c>
      <c r="O194">
        <v>0</v>
      </c>
      <c r="P194">
        <v>0</v>
      </c>
      <c r="Q194">
        <v>0</v>
      </c>
      <c r="R194">
        <v>0</v>
      </c>
      <c r="S194">
        <v>0</v>
      </c>
      <c r="T194">
        <v>0</v>
      </c>
      <c r="U194">
        <v>0</v>
      </c>
      <c r="V194">
        <v>0</v>
      </c>
      <c r="W194">
        <v>0</v>
      </c>
      <c r="X194" s="300">
        <v>0</v>
      </c>
      <c r="Y194" s="300">
        <v>0</v>
      </c>
      <c r="Z194" s="300">
        <v>0</v>
      </c>
      <c r="AA194" s="300">
        <v>0</v>
      </c>
      <c r="AB194" s="301">
        <v>0</v>
      </c>
      <c r="AC194" s="300">
        <v>0</v>
      </c>
      <c r="AD194" s="300">
        <v>0</v>
      </c>
      <c r="AE194" s="300">
        <v>0</v>
      </c>
      <c r="AF194" s="300">
        <v>0</v>
      </c>
      <c r="AG194" s="300">
        <v>0</v>
      </c>
      <c r="AH194" s="300">
        <v>0</v>
      </c>
      <c r="AI194" s="300">
        <v>0</v>
      </c>
      <c r="AJ194" s="300">
        <v>0</v>
      </c>
      <c r="AK194" s="300">
        <v>0</v>
      </c>
      <c r="AL194" s="300">
        <v>0</v>
      </c>
      <c r="AM194" s="300">
        <v>0</v>
      </c>
      <c r="AN194" s="300">
        <v>0</v>
      </c>
      <c r="AO194" s="300">
        <v>0</v>
      </c>
      <c r="AP194" s="300">
        <v>0</v>
      </c>
      <c r="AQ194" s="300">
        <v>0</v>
      </c>
      <c r="AR194" s="300">
        <v>0</v>
      </c>
      <c r="AS194" s="300">
        <v>0</v>
      </c>
      <c r="AT194" s="300">
        <v>0</v>
      </c>
      <c r="AU194" s="300">
        <v>0</v>
      </c>
      <c r="AV194" s="300">
        <v>0</v>
      </c>
      <c r="AW194" s="300">
        <v>0</v>
      </c>
      <c r="AX194" s="300">
        <v>0</v>
      </c>
      <c r="AY194" s="300">
        <v>0</v>
      </c>
      <c r="AZ194" s="300">
        <v>0</v>
      </c>
      <c r="BA194" s="300">
        <v>0</v>
      </c>
      <c r="BB194" s="300">
        <v>0</v>
      </c>
      <c r="BC194" s="301">
        <v>0</v>
      </c>
      <c r="BD194" s="300">
        <v>0</v>
      </c>
      <c r="BE194" s="300">
        <v>0</v>
      </c>
      <c r="BF194" s="300">
        <v>0</v>
      </c>
      <c r="BG194" s="300">
        <v>0</v>
      </c>
      <c r="BH194" s="300">
        <v>0</v>
      </c>
      <c r="BI194" s="300">
        <v>0</v>
      </c>
      <c r="BJ194" s="300">
        <v>0</v>
      </c>
      <c r="BK194" s="300">
        <v>0</v>
      </c>
      <c r="BL194" s="300">
        <v>0</v>
      </c>
      <c r="BM194" s="300">
        <v>0</v>
      </c>
      <c r="BN194" s="300">
        <v>0</v>
      </c>
      <c r="BO194" s="300">
        <v>0</v>
      </c>
      <c r="BP194" s="300">
        <v>0</v>
      </c>
      <c r="BQ194" s="300">
        <v>0</v>
      </c>
      <c r="BR194" s="300">
        <v>0</v>
      </c>
      <c r="BS194" s="301">
        <v>0</v>
      </c>
      <c r="BT194" s="300">
        <v>0</v>
      </c>
      <c r="BU194" s="300">
        <v>0</v>
      </c>
      <c r="BV194" s="300">
        <v>0</v>
      </c>
      <c r="BW194" s="300">
        <v>0</v>
      </c>
      <c r="BX194" s="300">
        <v>0</v>
      </c>
      <c r="BY194" s="300">
        <v>0</v>
      </c>
      <c r="BZ194" s="300">
        <v>0</v>
      </c>
      <c r="CA194" s="300">
        <v>0</v>
      </c>
      <c r="CB194" s="300">
        <v>0</v>
      </c>
      <c r="CC194" s="300">
        <v>0</v>
      </c>
      <c r="CD194" s="300">
        <v>0</v>
      </c>
      <c r="CE194" s="300">
        <v>0</v>
      </c>
      <c r="CF194" s="300">
        <v>0</v>
      </c>
      <c r="CG194" s="300">
        <v>0</v>
      </c>
      <c r="CH194" s="300">
        <v>0</v>
      </c>
      <c r="CI194" s="300">
        <v>0</v>
      </c>
      <c r="CJ194" s="300">
        <v>0</v>
      </c>
      <c r="CK194" s="300">
        <v>0</v>
      </c>
      <c r="CL194" s="300">
        <v>0</v>
      </c>
      <c r="CM194" s="300">
        <v>0</v>
      </c>
      <c r="CN194" s="300">
        <v>0</v>
      </c>
      <c r="CO194" s="300">
        <v>0</v>
      </c>
      <c r="CP194" s="254">
        <v>35.75</v>
      </c>
      <c r="CQ194" s="254"/>
      <c r="CR194" s="254"/>
      <c r="CS194" s="254"/>
      <c r="CT194" s="254"/>
      <c r="CW194" s="301"/>
      <c r="CX194" s="301"/>
      <c r="CY194" s="301"/>
    </row>
    <row r="195" spans="1:103" x14ac:dyDescent="0.2">
      <c r="A195" s="254">
        <v>36</v>
      </c>
      <c r="B195" s="122">
        <f t="shared" si="23"/>
        <v>1.6749969815330627E-7</v>
      </c>
      <c r="C195" s="122">
        <f t="shared" si="24"/>
        <v>2.1359456583240844E-8</v>
      </c>
      <c r="D195" s="122">
        <f t="shared" si="25"/>
        <v>1.5978811360002074E-3</v>
      </c>
      <c r="E195" s="122">
        <f t="shared" si="26"/>
        <v>0</v>
      </c>
      <c r="F195" s="122">
        <f t="shared" si="32"/>
        <v>0</v>
      </c>
      <c r="G195" s="299">
        <f>HLOOKUP('Input &amp; Summary'!$B$6,'AEP Input Output sheet'!$N$50:$CO$211,ROW(G195)-49,0)</f>
        <v>0</v>
      </c>
      <c r="H195" s="122">
        <f t="shared" si="27"/>
        <v>0</v>
      </c>
      <c r="I195" s="247">
        <f t="shared" si="28"/>
        <v>0</v>
      </c>
      <c r="J195" s="254">
        <f t="shared" si="29"/>
        <v>56808.13942627237</v>
      </c>
      <c r="K195" s="122">
        <f t="shared" si="30"/>
        <v>10822.478792613381</v>
      </c>
      <c r="L195" s="122">
        <f t="shared" si="33"/>
        <v>1662.9519221382577</v>
      </c>
      <c r="M195" s="122"/>
      <c r="N195" s="254">
        <f t="shared" si="31"/>
        <v>0</v>
      </c>
      <c r="O195">
        <v>0</v>
      </c>
      <c r="P195">
        <v>0</v>
      </c>
      <c r="Q195">
        <v>0</v>
      </c>
      <c r="R195">
        <v>0</v>
      </c>
      <c r="S195">
        <v>0</v>
      </c>
      <c r="T195">
        <v>0</v>
      </c>
      <c r="U195">
        <v>0</v>
      </c>
      <c r="V195">
        <v>0</v>
      </c>
      <c r="W195">
        <v>0</v>
      </c>
      <c r="X195" s="300">
        <v>0</v>
      </c>
      <c r="Y195" s="300">
        <v>0</v>
      </c>
      <c r="Z195" s="300">
        <v>0</v>
      </c>
      <c r="AA195" s="300">
        <v>0</v>
      </c>
      <c r="AB195" s="301">
        <v>0</v>
      </c>
      <c r="AC195" s="300">
        <v>0</v>
      </c>
      <c r="AD195" s="300">
        <v>0</v>
      </c>
      <c r="AE195" s="300">
        <v>0</v>
      </c>
      <c r="AF195" s="300">
        <v>0</v>
      </c>
      <c r="AG195" s="300">
        <v>0</v>
      </c>
      <c r="AH195" s="300">
        <v>0</v>
      </c>
      <c r="AI195" s="300">
        <v>0</v>
      </c>
      <c r="AJ195" s="300">
        <v>0</v>
      </c>
      <c r="AK195" s="300">
        <v>0</v>
      </c>
      <c r="AL195" s="300">
        <v>0</v>
      </c>
      <c r="AM195" s="300">
        <v>0</v>
      </c>
      <c r="AN195" s="300">
        <v>0</v>
      </c>
      <c r="AO195" s="300">
        <v>0</v>
      </c>
      <c r="AP195" s="300">
        <v>0</v>
      </c>
      <c r="AQ195" s="300">
        <v>0</v>
      </c>
      <c r="AR195" s="300">
        <v>0</v>
      </c>
      <c r="AS195" s="300">
        <v>0</v>
      </c>
      <c r="AT195" s="300">
        <v>0</v>
      </c>
      <c r="AU195" s="300">
        <v>0</v>
      </c>
      <c r="AV195" s="300">
        <v>0</v>
      </c>
      <c r="AW195" s="300">
        <v>0</v>
      </c>
      <c r="AX195" s="300">
        <v>0</v>
      </c>
      <c r="AY195" s="300">
        <v>0</v>
      </c>
      <c r="AZ195" s="300">
        <v>0</v>
      </c>
      <c r="BA195" s="300">
        <v>0</v>
      </c>
      <c r="BB195" s="300">
        <v>0</v>
      </c>
      <c r="BC195" s="301">
        <v>0</v>
      </c>
      <c r="BD195" s="300">
        <v>0</v>
      </c>
      <c r="BE195" s="300">
        <v>0</v>
      </c>
      <c r="BF195" s="300">
        <v>0</v>
      </c>
      <c r="BG195" s="300">
        <v>0</v>
      </c>
      <c r="BH195" s="300">
        <v>0</v>
      </c>
      <c r="BI195" s="300">
        <v>0</v>
      </c>
      <c r="BJ195" s="300">
        <v>0</v>
      </c>
      <c r="BK195" s="300">
        <v>0</v>
      </c>
      <c r="BL195" s="300">
        <v>0</v>
      </c>
      <c r="BM195" s="300">
        <v>0</v>
      </c>
      <c r="BN195" s="300">
        <v>0</v>
      </c>
      <c r="BO195" s="300">
        <v>0</v>
      </c>
      <c r="BP195" s="300">
        <v>0</v>
      </c>
      <c r="BQ195" s="300">
        <v>0</v>
      </c>
      <c r="BR195" s="300">
        <v>0</v>
      </c>
      <c r="BS195" s="301">
        <v>0</v>
      </c>
      <c r="BT195" s="300">
        <v>0</v>
      </c>
      <c r="BU195" s="300">
        <v>0</v>
      </c>
      <c r="BV195" s="300">
        <v>0</v>
      </c>
      <c r="BW195" s="300">
        <v>0</v>
      </c>
      <c r="BX195" s="300">
        <v>0</v>
      </c>
      <c r="BY195" s="300">
        <v>0</v>
      </c>
      <c r="BZ195" s="300">
        <v>0</v>
      </c>
      <c r="CA195" s="300">
        <v>0</v>
      </c>
      <c r="CB195" s="300">
        <v>0</v>
      </c>
      <c r="CC195" s="300">
        <v>0</v>
      </c>
      <c r="CD195" s="300">
        <v>0</v>
      </c>
      <c r="CE195" s="300">
        <v>0</v>
      </c>
      <c r="CF195" s="300">
        <v>0</v>
      </c>
      <c r="CG195" s="300">
        <v>0</v>
      </c>
      <c r="CH195" s="300">
        <v>0</v>
      </c>
      <c r="CI195" s="300">
        <v>0</v>
      </c>
      <c r="CJ195" s="300">
        <v>0</v>
      </c>
      <c r="CK195" s="300">
        <v>0</v>
      </c>
      <c r="CL195" s="300">
        <v>0</v>
      </c>
      <c r="CM195" s="300">
        <v>0</v>
      </c>
      <c r="CN195" s="300">
        <v>0</v>
      </c>
      <c r="CO195" s="300">
        <v>0</v>
      </c>
      <c r="CP195" s="254">
        <v>36</v>
      </c>
      <c r="CQ195" s="254"/>
      <c r="CR195" s="254"/>
      <c r="CS195" s="254"/>
      <c r="CT195" s="254"/>
      <c r="CW195" s="301"/>
      <c r="CX195" s="301"/>
      <c r="CY195" s="301"/>
    </row>
    <row r="196" spans="1:103" x14ac:dyDescent="0.2">
      <c r="A196" s="254">
        <v>36.25</v>
      </c>
      <c r="B196" s="122">
        <f t="shared" si="23"/>
        <v>1.3598991215107535E-7</v>
      </c>
      <c r="C196" s="122">
        <f t="shared" si="24"/>
        <v>1.6611460438569735E-8</v>
      </c>
      <c r="D196" s="122">
        <f t="shared" si="25"/>
        <v>1.2687574836626357E-3</v>
      </c>
      <c r="E196" s="122">
        <f t="shared" si="26"/>
        <v>0</v>
      </c>
      <c r="F196" s="122">
        <f t="shared" si="32"/>
        <v>0</v>
      </c>
      <c r="G196" s="299">
        <f>HLOOKUP('Input &amp; Summary'!$B$6,'AEP Input Output sheet'!$N$50:$CO$211,ROW(G196)-49,0)</f>
        <v>0</v>
      </c>
      <c r="H196" s="122">
        <f t="shared" si="27"/>
        <v>0</v>
      </c>
      <c r="I196" s="247">
        <f t="shared" si="28"/>
        <v>0</v>
      </c>
      <c r="J196" s="254">
        <f t="shared" si="29"/>
        <v>57999.88012608896</v>
      </c>
      <c r="K196" s="122">
        <f t="shared" si="30"/>
        <v>10914.821483781105</v>
      </c>
      <c r="L196" s="122">
        <f t="shared" si="33"/>
        <v>1662.9519221382577</v>
      </c>
      <c r="M196" s="122"/>
      <c r="N196" s="254">
        <f t="shared" si="31"/>
        <v>0</v>
      </c>
      <c r="O196">
        <v>0</v>
      </c>
      <c r="P196">
        <v>0</v>
      </c>
      <c r="Q196">
        <v>0</v>
      </c>
      <c r="R196">
        <v>0</v>
      </c>
      <c r="S196">
        <v>0</v>
      </c>
      <c r="T196">
        <v>0</v>
      </c>
      <c r="U196">
        <v>0</v>
      </c>
      <c r="V196">
        <v>0</v>
      </c>
      <c r="W196">
        <v>0</v>
      </c>
      <c r="X196" s="300">
        <v>0</v>
      </c>
      <c r="Y196" s="300">
        <v>0</v>
      </c>
      <c r="Z196" s="300">
        <v>0</v>
      </c>
      <c r="AA196" s="300">
        <v>0</v>
      </c>
      <c r="AB196" s="301">
        <v>0</v>
      </c>
      <c r="AC196" s="300">
        <v>0</v>
      </c>
      <c r="AD196" s="300">
        <v>0</v>
      </c>
      <c r="AE196" s="300">
        <v>0</v>
      </c>
      <c r="AF196" s="300">
        <v>0</v>
      </c>
      <c r="AG196" s="300">
        <v>0</v>
      </c>
      <c r="AH196" s="300">
        <v>0</v>
      </c>
      <c r="AI196" s="300">
        <v>0</v>
      </c>
      <c r="AJ196" s="300">
        <v>0</v>
      </c>
      <c r="AK196" s="300">
        <v>0</v>
      </c>
      <c r="AL196" s="300">
        <v>0</v>
      </c>
      <c r="AM196" s="300">
        <v>0</v>
      </c>
      <c r="AN196" s="300">
        <v>0</v>
      </c>
      <c r="AO196" s="300">
        <v>0</v>
      </c>
      <c r="AP196" s="300">
        <v>0</v>
      </c>
      <c r="AQ196" s="300">
        <v>0</v>
      </c>
      <c r="AR196" s="300">
        <v>0</v>
      </c>
      <c r="AS196" s="300">
        <v>0</v>
      </c>
      <c r="AT196" s="300">
        <v>0</v>
      </c>
      <c r="AU196" s="300">
        <v>0</v>
      </c>
      <c r="AV196" s="300">
        <v>0</v>
      </c>
      <c r="AW196" s="300">
        <v>0</v>
      </c>
      <c r="AX196" s="300">
        <v>0</v>
      </c>
      <c r="AY196" s="300">
        <v>0</v>
      </c>
      <c r="AZ196" s="300">
        <v>0</v>
      </c>
      <c r="BA196" s="300">
        <v>0</v>
      </c>
      <c r="BB196" s="300">
        <v>0</v>
      </c>
      <c r="BC196" s="301">
        <v>0</v>
      </c>
      <c r="BD196" s="300">
        <v>0</v>
      </c>
      <c r="BE196" s="300">
        <v>0</v>
      </c>
      <c r="BF196" s="300">
        <v>0</v>
      </c>
      <c r="BG196" s="300">
        <v>0</v>
      </c>
      <c r="BH196" s="300">
        <v>0</v>
      </c>
      <c r="BI196" s="300">
        <v>0</v>
      </c>
      <c r="BJ196" s="300">
        <v>0</v>
      </c>
      <c r="BK196" s="300">
        <v>0</v>
      </c>
      <c r="BL196" s="300">
        <v>0</v>
      </c>
      <c r="BM196" s="300">
        <v>0</v>
      </c>
      <c r="BN196" s="300">
        <v>0</v>
      </c>
      <c r="BO196" s="300">
        <v>0</v>
      </c>
      <c r="BP196" s="300">
        <v>0</v>
      </c>
      <c r="BQ196" s="300">
        <v>0</v>
      </c>
      <c r="BR196" s="300">
        <v>0</v>
      </c>
      <c r="BS196" s="301">
        <v>0</v>
      </c>
      <c r="BT196" s="300">
        <v>0</v>
      </c>
      <c r="BU196" s="300">
        <v>0</v>
      </c>
      <c r="BV196" s="300">
        <v>0</v>
      </c>
      <c r="BW196" s="300">
        <v>0</v>
      </c>
      <c r="BX196" s="300">
        <v>0</v>
      </c>
      <c r="BY196" s="300">
        <v>0</v>
      </c>
      <c r="BZ196" s="300">
        <v>0</v>
      </c>
      <c r="CA196" s="300">
        <v>0</v>
      </c>
      <c r="CB196" s="300">
        <v>0</v>
      </c>
      <c r="CC196" s="300">
        <v>0</v>
      </c>
      <c r="CD196" s="300">
        <v>0</v>
      </c>
      <c r="CE196" s="300">
        <v>0</v>
      </c>
      <c r="CF196" s="300">
        <v>0</v>
      </c>
      <c r="CG196" s="300">
        <v>0</v>
      </c>
      <c r="CH196" s="300">
        <v>0</v>
      </c>
      <c r="CI196" s="300">
        <v>0</v>
      </c>
      <c r="CJ196" s="300">
        <v>0</v>
      </c>
      <c r="CK196" s="300">
        <v>0</v>
      </c>
      <c r="CL196" s="300">
        <v>0</v>
      </c>
      <c r="CM196" s="300">
        <v>0</v>
      </c>
      <c r="CN196" s="300">
        <v>0</v>
      </c>
      <c r="CO196" s="300">
        <v>0</v>
      </c>
      <c r="CP196" s="254">
        <v>36.25</v>
      </c>
      <c r="CQ196" s="254"/>
      <c r="CR196" s="254"/>
      <c r="CS196" s="254"/>
      <c r="CT196" s="254"/>
      <c r="CW196" s="301"/>
      <c r="CX196" s="301"/>
      <c r="CY196" s="301"/>
    </row>
    <row r="197" spans="1:103" x14ac:dyDescent="0.2">
      <c r="A197" s="254">
        <v>36.5</v>
      </c>
      <c r="B197" s="122">
        <f t="shared" si="23"/>
        <v>1.1023805786827597E-7</v>
      </c>
      <c r="C197" s="122">
        <f t="shared" si="24"/>
        <v>1.2892766048539943E-8</v>
      </c>
      <c r="D197" s="122">
        <f t="shared" si="25"/>
        <v>1.0052439393030414E-3</v>
      </c>
      <c r="E197" s="122">
        <f t="shared" si="26"/>
        <v>0</v>
      </c>
      <c r="F197" s="122">
        <f t="shared" si="32"/>
        <v>0</v>
      </c>
      <c r="G197" s="299">
        <f>HLOOKUP('Input &amp; Summary'!$B$6,'AEP Input Output sheet'!$N$50:$CO$211,ROW(G197)-49,0)</f>
        <v>0</v>
      </c>
      <c r="H197" s="122">
        <f t="shared" si="27"/>
        <v>0</v>
      </c>
      <c r="I197" s="247">
        <f t="shared" si="28"/>
        <v>0</v>
      </c>
      <c r="J197" s="254">
        <f t="shared" si="29"/>
        <v>59208.172515834514</v>
      </c>
      <c r="K197" s="122">
        <f t="shared" si="30"/>
        <v>11007.16417494883</v>
      </c>
      <c r="L197" s="122">
        <f t="shared" si="33"/>
        <v>1662.9519221382577</v>
      </c>
      <c r="M197" s="122"/>
      <c r="N197" s="254">
        <f t="shared" si="31"/>
        <v>0</v>
      </c>
      <c r="O197">
        <v>0</v>
      </c>
      <c r="P197">
        <v>0</v>
      </c>
      <c r="Q197">
        <v>0</v>
      </c>
      <c r="R197">
        <v>0</v>
      </c>
      <c r="S197">
        <v>0</v>
      </c>
      <c r="T197">
        <v>0</v>
      </c>
      <c r="U197">
        <v>0</v>
      </c>
      <c r="V197">
        <v>0</v>
      </c>
      <c r="W197">
        <v>0</v>
      </c>
      <c r="X197" s="300">
        <v>0</v>
      </c>
      <c r="Y197" s="300">
        <v>0</v>
      </c>
      <c r="Z197" s="300">
        <v>0</v>
      </c>
      <c r="AA197" s="300">
        <v>0</v>
      </c>
      <c r="AB197" s="301">
        <v>0</v>
      </c>
      <c r="AC197" s="300">
        <v>0</v>
      </c>
      <c r="AD197" s="300">
        <v>0</v>
      </c>
      <c r="AE197" s="300">
        <v>0</v>
      </c>
      <c r="AF197" s="300">
        <v>0</v>
      </c>
      <c r="AG197" s="300">
        <v>0</v>
      </c>
      <c r="AH197" s="300">
        <v>0</v>
      </c>
      <c r="AI197" s="300">
        <v>0</v>
      </c>
      <c r="AJ197" s="300">
        <v>0</v>
      </c>
      <c r="AK197" s="300">
        <v>0</v>
      </c>
      <c r="AL197" s="300">
        <v>0</v>
      </c>
      <c r="AM197" s="300">
        <v>0</v>
      </c>
      <c r="AN197" s="300">
        <v>0</v>
      </c>
      <c r="AO197" s="300">
        <v>0</v>
      </c>
      <c r="AP197" s="300">
        <v>0</v>
      </c>
      <c r="AQ197" s="300">
        <v>0</v>
      </c>
      <c r="AR197" s="300">
        <v>0</v>
      </c>
      <c r="AS197" s="300">
        <v>0</v>
      </c>
      <c r="AT197" s="300">
        <v>0</v>
      </c>
      <c r="AU197" s="300">
        <v>0</v>
      </c>
      <c r="AV197" s="300">
        <v>0</v>
      </c>
      <c r="AW197" s="300">
        <v>0</v>
      </c>
      <c r="AX197" s="300">
        <v>0</v>
      </c>
      <c r="AY197" s="300">
        <v>0</v>
      </c>
      <c r="AZ197" s="300">
        <v>0</v>
      </c>
      <c r="BA197" s="300">
        <v>0</v>
      </c>
      <c r="BB197" s="300">
        <v>0</v>
      </c>
      <c r="BC197" s="301">
        <v>0</v>
      </c>
      <c r="BD197" s="300">
        <v>0</v>
      </c>
      <c r="BE197" s="300">
        <v>0</v>
      </c>
      <c r="BF197" s="300">
        <v>0</v>
      </c>
      <c r="BG197" s="300">
        <v>0</v>
      </c>
      <c r="BH197" s="300">
        <v>0</v>
      </c>
      <c r="BI197" s="300">
        <v>0</v>
      </c>
      <c r="BJ197" s="300">
        <v>0</v>
      </c>
      <c r="BK197" s="300">
        <v>0</v>
      </c>
      <c r="BL197" s="300">
        <v>0</v>
      </c>
      <c r="BM197" s="300">
        <v>0</v>
      </c>
      <c r="BN197" s="300">
        <v>0</v>
      </c>
      <c r="BO197" s="300">
        <v>0</v>
      </c>
      <c r="BP197" s="300">
        <v>0</v>
      </c>
      <c r="BQ197" s="300">
        <v>0</v>
      </c>
      <c r="BR197" s="300">
        <v>0</v>
      </c>
      <c r="BS197" s="301">
        <v>0</v>
      </c>
      <c r="BT197" s="300">
        <v>0</v>
      </c>
      <c r="BU197" s="300">
        <v>0</v>
      </c>
      <c r="BV197" s="300">
        <v>0</v>
      </c>
      <c r="BW197" s="300">
        <v>0</v>
      </c>
      <c r="BX197" s="300">
        <v>0</v>
      </c>
      <c r="BY197" s="300">
        <v>0</v>
      </c>
      <c r="BZ197" s="300">
        <v>0</v>
      </c>
      <c r="CA197" s="300">
        <v>0</v>
      </c>
      <c r="CB197" s="300">
        <v>0</v>
      </c>
      <c r="CC197" s="300">
        <v>0</v>
      </c>
      <c r="CD197" s="300">
        <v>0</v>
      </c>
      <c r="CE197" s="300">
        <v>0</v>
      </c>
      <c r="CF197" s="300">
        <v>0</v>
      </c>
      <c r="CG197" s="300">
        <v>0</v>
      </c>
      <c r="CH197" s="300">
        <v>0</v>
      </c>
      <c r="CI197" s="300">
        <v>0</v>
      </c>
      <c r="CJ197" s="300">
        <v>0</v>
      </c>
      <c r="CK197" s="300">
        <v>0</v>
      </c>
      <c r="CL197" s="300">
        <v>0</v>
      </c>
      <c r="CM197" s="300">
        <v>0</v>
      </c>
      <c r="CN197" s="300">
        <v>0</v>
      </c>
      <c r="CO197" s="300">
        <v>0</v>
      </c>
      <c r="CP197" s="254">
        <v>36.5</v>
      </c>
      <c r="CQ197" s="254"/>
      <c r="CR197" s="254"/>
      <c r="CS197" s="254"/>
      <c r="CT197" s="254"/>
      <c r="CW197" s="301"/>
      <c r="CX197" s="301"/>
      <c r="CY197" s="301"/>
    </row>
    <row r="198" spans="1:103" x14ac:dyDescent="0.2">
      <c r="A198" s="254">
        <v>36.75</v>
      </c>
      <c r="B198" s="122">
        <f t="shared" si="23"/>
        <v>8.9225479647789024E-8</v>
      </c>
      <c r="C198" s="122">
        <f t="shared" si="24"/>
        <v>9.9863038974561782E-9</v>
      </c>
      <c r="D198" s="122">
        <f t="shared" si="25"/>
        <v>7.9473726300604913E-4</v>
      </c>
      <c r="E198" s="122">
        <f t="shared" si="26"/>
        <v>0</v>
      </c>
      <c r="F198" s="122">
        <f t="shared" si="32"/>
        <v>0</v>
      </c>
      <c r="G198" s="299">
        <f>HLOOKUP('Input &amp; Summary'!$B$6,'AEP Input Output sheet'!$N$50:$CO$211,ROW(G198)-49,0)</f>
        <v>0</v>
      </c>
      <c r="H198" s="122">
        <f t="shared" si="27"/>
        <v>0</v>
      </c>
      <c r="I198" s="247">
        <f t="shared" si="28"/>
        <v>0</v>
      </c>
      <c r="J198" s="254">
        <f t="shared" si="29"/>
        <v>60433.13074509475</v>
      </c>
      <c r="K198" s="122">
        <f t="shared" si="30"/>
        <v>11099.506866116555</v>
      </c>
      <c r="L198" s="122">
        <f t="shared" si="33"/>
        <v>1662.9519221382577</v>
      </c>
      <c r="M198" s="122"/>
      <c r="N198" s="254">
        <f t="shared" si="31"/>
        <v>0</v>
      </c>
      <c r="O198">
        <v>0</v>
      </c>
      <c r="P198">
        <v>0</v>
      </c>
      <c r="Q198">
        <v>0</v>
      </c>
      <c r="R198">
        <v>0</v>
      </c>
      <c r="S198">
        <v>0</v>
      </c>
      <c r="T198">
        <v>0</v>
      </c>
      <c r="U198">
        <v>0</v>
      </c>
      <c r="V198">
        <v>0</v>
      </c>
      <c r="W198">
        <v>0</v>
      </c>
      <c r="X198" s="300">
        <v>0</v>
      </c>
      <c r="Y198" s="300">
        <v>0</v>
      </c>
      <c r="Z198" s="300">
        <v>0</v>
      </c>
      <c r="AA198" s="300">
        <v>0</v>
      </c>
      <c r="AB198" s="301">
        <v>0</v>
      </c>
      <c r="AC198" s="300">
        <v>0</v>
      </c>
      <c r="AD198" s="300">
        <v>0</v>
      </c>
      <c r="AE198" s="300">
        <v>0</v>
      </c>
      <c r="AF198" s="300">
        <v>0</v>
      </c>
      <c r="AG198" s="300">
        <v>0</v>
      </c>
      <c r="AH198" s="300">
        <v>0</v>
      </c>
      <c r="AI198" s="300">
        <v>0</v>
      </c>
      <c r="AJ198" s="300">
        <v>0</v>
      </c>
      <c r="AK198" s="300">
        <v>0</v>
      </c>
      <c r="AL198" s="300">
        <v>0</v>
      </c>
      <c r="AM198" s="300">
        <v>0</v>
      </c>
      <c r="AN198" s="300">
        <v>0</v>
      </c>
      <c r="AO198" s="300">
        <v>0</v>
      </c>
      <c r="AP198" s="300">
        <v>0</v>
      </c>
      <c r="AQ198" s="300">
        <v>0</v>
      </c>
      <c r="AR198" s="300">
        <v>0</v>
      </c>
      <c r="AS198" s="300">
        <v>0</v>
      </c>
      <c r="AT198" s="300">
        <v>0</v>
      </c>
      <c r="AU198" s="300">
        <v>0</v>
      </c>
      <c r="AV198" s="300">
        <v>0</v>
      </c>
      <c r="AW198" s="300">
        <v>0</v>
      </c>
      <c r="AX198" s="300">
        <v>0</v>
      </c>
      <c r="AY198" s="300">
        <v>0</v>
      </c>
      <c r="AZ198" s="300">
        <v>0</v>
      </c>
      <c r="BA198" s="300">
        <v>0</v>
      </c>
      <c r="BB198" s="300">
        <v>0</v>
      </c>
      <c r="BC198" s="301">
        <v>0</v>
      </c>
      <c r="BD198" s="300">
        <v>0</v>
      </c>
      <c r="BE198" s="300">
        <v>0</v>
      </c>
      <c r="BF198" s="300">
        <v>0</v>
      </c>
      <c r="BG198" s="300">
        <v>0</v>
      </c>
      <c r="BH198" s="300">
        <v>0</v>
      </c>
      <c r="BI198" s="300">
        <v>0</v>
      </c>
      <c r="BJ198" s="300">
        <v>0</v>
      </c>
      <c r="BK198" s="300">
        <v>0</v>
      </c>
      <c r="BL198" s="300">
        <v>0</v>
      </c>
      <c r="BM198" s="300">
        <v>0</v>
      </c>
      <c r="BN198" s="300">
        <v>0</v>
      </c>
      <c r="BO198" s="300">
        <v>0</v>
      </c>
      <c r="BP198" s="300">
        <v>0</v>
      </c>
      <c r="BQ198" s="300">
        <v>0</v>
      </c>
      <c r="BR198" s="300">
        <v>0</v>
      </c>
      <c r="BS198" s="301">
        <v>0</v>
      </c>
      <c r="BT198" s="300">
        <v>0</v>
      </c>
      <c r="BU198" s="300">
        <v>0</v>
      </c>
      <c r="BV198" s="300">
        <v>0</v>
      </c>
      <c r="BW198" s="300">
        <v>0</v>
      </c>
      <c r="BX198" s="300">
        <v>0</v>
      </c>
      <c r="BY198" s="300">
        <v>0</v>
      </c>
      <c r="BZ198" s="300">
        <v>0</v>
      </c>
      <c r="CA198" s="300">
        <v>0</v>
      </c>
      <c r="CB198" s="300">
        <v>0</v>
      </c>
      <c r="CC198" s="300">
        <v>0</v>
      </c>
      <c r="CD198" s="300">
        <v>0</v>
      </c>
      <c r="CE198" s="300">
        <v>0</v>
      </c>
      <c r="CF198" s="300">
        <v>0</v>
      </c>
      <c r="CG198" s="300">
        <v>0</v>
      </c>
      <c r="CH198" s="300">
        <v>0</v>
      </c>
      <c r="CI198" s="300">
        <v>0</v>
      </c>
      <c r="CJ198" s="300">
        <v>0</v>
      </c>
      <c r="CK198" s="300">
        <v>0</v>
      </c>
      <c r="CL198" s="300">
        <v>0</v>
      </c>
      <c r="CM198" s="300">
        <v>0</v>
      </c>
      <c r="CN198" s="300">
        <v>0</v>
      </c>
      <c r="CO198" s="300">
        <v>0</v>
      </c>
      <c r="CP198" s="254">
        <v>36.75</v>
      </c>
      <c r="CQ198" s="254"/>
      <c r="CR198" s="254"/>
      <c r="CS198" s="254"/>
      <c r="CT198" s="254"/>
      <c r="CW198" s="301"/>
      <c r="CX198" s="301"/>
      <c r="CY198" s="301"/>
    </row>
    <row r="199" spans="1:103" x14ac:dyDescent="0.2">
      <c r="A199" s="254">
        <v>37</v>
      </c>
      <c r="B199" s="122">
        <f t="shared" si="23"/>
        <v>7.2107258331233949E-8</v>
      </c>
      <c r="C199" s="122">
        <f t="shared" si="24"/>
        <v>7.7194003100154579E-9</v>
      </c>
      <c r="D199" s="122">
        <f t="shared" si="25"/>
        <v>6.2695374827543757E-4</v>
      </c>
      <c r="E199" s="122">
        <f t="shared" si="26"/>
        <v>0</v>
      </c>
      <c r="F199" s="122">
        <f t="shared" si="32"/>
        <v>0</v>
      </c>
      <c r="G199" s="299">
        <f>HLOOKUP('Input &amp; Summary'!$B$6,'AEP Input Output sheet'!$N$50:$CO$211,ROW(G199)-49,0)</f>
        <v>0</v>
      </c>
      <c r="H199" s="122">
        <f t="shared" si="27"/>
        <v>0</v>
      </c>
      <c r="I199" s="247">
        <f t="shared" si="28"/>
        <v>0</v>
      </c>
      <c r="J199" s="254">
        <f t="shared" si="29"/>
        <v>61674.868963455403</v>
      </c>
      <c r="K199" s="122">
        <f t="shared" si="30"/>
        <v>11191.849557284278</v>
      </c>
      <c r="L199" s="122">
        <f t="shared" si="33"/>
        <v>1662.9519221382577</v>
      </c>
      <c r="M199" s="122"/>
      <c r="N199" s="254">
        <f t="shared" si="31"/>
        <v>0</v>
      </c>
      <c r="O199">
        <v>0</v>
      </c>
      <c r="P199">
        <v>0</v>
      </c>
      <c r="Q199">
        <v>0</v>
      </c>
      <c r="R199">
        <v>0</v>
      </c>
      <c r="S199">
        <v>0</v>
      </c>
      <c r="T199">
        <v>0</v>
      </c>
      <c r="U199">
        <v>0</v>
      </c>
      <c r="V199">
        <v>0</v>
      </c>
      <c r="W199">
        <v>0</v>
      </c>
      <c r="X199" s="300">
        <v>0</v>
      </c>
      <c r="Y199" s="300">
        <v>0</v>
      </c>
      <c r="Z199" s="300">
        <v>0</v>
      </c>
      <c r="AA199" s="300">
        <v>0</v>
      </c>
      <c r="AB199" s="301">
        <v>0</v>
      </c>
      <c r="AC199" s="300">
        <v>0</v>
      </c>
      <c r="AD199" s="300">
        <v>0</v>
      </c>
      <c r="AE199" s="300">
        <v>0</v>
      </c>
      <c r="AF199" s="300">
        <v>0</v>
      </c>
      <c r="AG199" s="300">
        <v>0</v>
      </c>
      <c r="AH199" s="300">
        <v>0</v>
      </c>
      <c r="AI199" s="300">
        <v>0</v>
      </c>
      <c r="AJ199" s="300">
        <v>0</v>
      </c>
      <c r="AK199" s="300">
        <v>0</v>
      </c>
      <c r="AL199" s="300">
        <v>0</v>
      </c>
      <c r="AM199" s="300">
        <v>0</v>
      </c>
      <c r="AN199" s="300">
        <v>0</v>
      </c>
      <c r="AO199" s="300">
        <v>0</v>
      </c>
      <c r="AP199" s="300">
        <v>0</v>
      </c>
      <c r="AQ199" s="300">
        <v>0</v>
      </c>
      <c r="AR199" s="300">
        <v>0</v>
      </c>
      <c r="AS199" s="300">
        <v>0</v>
      </c>
      <c r="AT199" s="300">
        <v>0</v>
      </c>
      <c r="AU199" s="300">
        <v>0</v>
      </c>
      <c r="AV199" s="300">
        <v>0</v>
      </c>
      <c r="AW199" s="300">
        <v>0</v>
      </c>
      <c r="AX199" s="300">
        <v>0</v>
      </c>
      <c r="AY199" s="300">
        <v>0</v>
      </c>
      <c r="AZ199" s="300">
        <v>0</v>
      </c>
      <c r="BA199" s="300">
        <v>0</v>
      </c>
      <c r="BB199" s="300">
        <v>0</v>
      </c>
      <c r="BC199" s="301">
        <v>0</v>
      </c>
      <c r="BD199" s="300">
        <v>0</v>
      </c>
      <c r="BE199" s="300">
        <v>0</v>
      </c>
      <c r="BF199" s="300">
        <v>0</v>
      </c>
      <c r="BG199" s="300">
        <v>0</v>
      </c>
      <c r="BH199" s="300">
        <v>0</v>
      </c>
      <c r="BI199" s="300">
        <v>0</v>
      </c>
      <c r="BJ199" s="300">
        <v>0</v>
      </c>
      <c r="BK199" s="300">
        <v>0</v>
      </c>
      <c r="BL199" s="300">
        <v>0</v>
      </c>
      <c r="BM199" s="300">
        <v>0</v>
      </c>
      <c r="BN199" s="300">
        <v>0</v>
      </c>
      <c r="BO199" s="300">
        <v>0</v>
      </c>
      <c r="BP199" s="300">
        <v>0</v>
      </c>
      <c r="BQ199" s="300">
        <v>0</v>
      </c>
      <c r="BR199" s="300">
        <v>0</v>
      </c>
      <c r="BS199" s="301">
        <v>0</v>
      </c>
      <c r="BT199" s="300">
        <v>0</v>
      </c>
      <c r="BU199" s="300">
        <v>0</v>
      </c>
      <c r="BV199" s="300">
        <v>0</v>
      </c>
      <c r="BW199" s="300">
        <v>0</v>
      </c>
      <c r="BX199" s="300">
        <v>0</v>
      </c>
      <c r="BY199" s="300">
        <v>0</v>
      </c>
      <c r="BZ199" s="300">
        <v>0</v>
      </c>
      <c r="CA199" s="300">
        <v>0</v>
      </c>
      <c r="CB199" s="300">
        <v>0</v>
      </c>
      <c r="CC199" s="300">
        <v>0</v>
      </c>
      <c r="CD199" s="300">
        <v>0</v>
      </c>
      <c r="CE199" s="300">
        <v>0</v>
      </c>
      <c r="CF199" s="300">
        <v>0</v>
      </c>
      <c r="CG199" s="300">
        <v>0</v>
      </c>
      <c r="CH199" s="300">
        <v>0</v>
      </c>
      <c r="CI199" s="300">
        <v>0</v>
      </c>
      <c r="CJ199" s="300">
        <v>0</v>
      </c>
      <c r="CK199" s="300">
        <v>0</v>
      </c>
      <c r="CL199" s="300">
        <v>0</v>
      </c>
      <c r="CM199" s="300">
        <v>0</v>
      </c>
      <c r="CN199" s="300">
        <v>0</v>
      </c>
      <c r="CO199" s="300">
        <v>0</v>
      </c>
      <c r="CP199" s="254">
        <v>37</v>
      </c>
      <c r="CQ199" s="254"/>
      <c r="CR199" s="254"/>
      <c r="CS199" s="254"/>
      <c r="CT199" s="254"/>
      <c r="CW199" s="301"/>
      <c r="CX199" s="301"/>
      <c r="CY199" s="301"/>
    </row>
    <row r="200" spans="1:103" x14ac:dyDescent="0.2">
      <c r="A200" s="254">
        <v>37.25</v>
      </c>
      <c r="B200" s="122">
        <f t="shared" si="23"/>
        <v>5.8183802389814644E-8</v>
      </c>
      <c r="C200" s="122">
        <f t="shared" si="24"/>
        <v>5.9550055793949007E-9</v>
      </c>
      <c r="D200" s="122">
        <f t="shared" si="25"/>
        <v>4.9352342583630843E-4</v>
      </c>
      <c r="E200" s="122">
        <f t="shared" si="26"/>
        <v>0</v>
      </c>
      <c r="F200" s="122">
        <f t="shared" si="32"/>
        <v>0</v>
      </c>
      <c r="G200" s="299">
        <f>HLOOKUP('Input &amp; Summary'!$B$6,'AEP Input Output sheet'!$N$50:$CO$211,ROW(G200)-49,0)</f>
        <v>0</v>
      </c>
      <c r="H200" s="122">
        <f t="shared" si="27"/>
        <v>0</v>
      </c>
      <c r="I200" s="247">
        <f t="shared" si="28"/>
        <v>0</v>
      </c>
      <c r="J200" s="254">
        <f t="shared" si="29"/>
        <v>62933.501320502139</v>
      </c>
      <c r="K200" s="122">
        <f t="shared" si="30"/>
        <v>11284.192248452004</v>
      </c>
      <c r="L200" s="122">
        <f t="shared" si="33"/>
        <v>1662.9519221382577</v>
      </c>
      <c r="M200" s="122"/>
      <c r="N200" s="254">
        <f t="shared" si="31"/>
        <v>0</v>
      </c>
      <c r="O200">
        <v>0</v>
      </c>
      <c r="P200">
        <v>0</v>
      </c>
      <c r="Q200">
        <v>0</v>
      </c>
      <c r="R200">
        <v>0</v>
      </c>
      <c r="S200">
        <v>0</v>
      </c>
      <c r="T200">
        <v>0</v>
      </c>
      <c r="U200">
        <v>0</v>
      </c>
      <c r="V200">
        <v>0</v>
      </c>
      <c r="W200">
        <v>0</v>
      </c>
      <c r="X200" s="300">
        <v>0</v>
      </c>
      <c r="Y200" s="300">
        <v>0</v>
      </c>
      <c r="Z200" s="300">
        <v>0</v>
      </c>
      <c r="AA200" s="300">
        <v>0</v>
      </c>
      <c r="AB200" s="301">
        <v>0</v>
      </c>
      <c r="AC200" s="300">
        <v>0</v>
      </c>
      <c r="AD200" s="300">
        <v>0</v>
      </c>
      <c r="AE200" s="300">
        <v>0</v>
      </c>
      <c r="AF200" s="300">
        <v>0</v>
      </c>
      <c r="AG200" s="300">
        <v>0</v>
      </c>
      <c r="AH200" s="300">
        <v>0</v>
      </c>
      <c r="AI200" s="300">
        <v>0</v>
      </c>
      <c r="AJ200" s="300">
        <v>0</v>
      </c>
      <c r="AK200" s="300">
        <v>0</v>
      </c>
      <c r="AL200" s="300">
        <v>0</v>
      </c>
      <c r="AM200" s="300">
        <v>0</v>
      </c>
      <c r="AN200" s="300">
        <v>0</v>
      </c>
      <c r="AO200" s="300">
        <v>0</v>
      </c>
      <c r="AP200" s="300">
        <v>0</v>
      </c>
      <c r="AQ200" s="300">
        <v>0</v>
      </c>
      <c r="AR200" s="300">
        <v>0</v>
      </c>
      <c r="AS200" s="300">
        <v>0</v>
      </c>
      <c r="AT200" s="300">
        <v>0</v>
      </c>
      <c r="AU200" s="300">
        <v>0</v>
      </c>
      <c r="AV200" s="300">
        <v>0</v>
      </c>
      <c r="AW200" s="300">
        <v>0</v>
      </c>
      <c r="AX200" s="300">
        <v>0</v>
      </c>
      <c r="AY200" s="300">
        <v>0</v>
      </c>
      <c r="AZ200" s="300">
        <v>0</v>
      </c>
      <c r="BA200" s="300">
        <v>0</v>
      </c>
      <c r="BB200" s="300">
        <v>0</v>
      </c>
      <c r="BC200" s="301">
        <v>0</v>
      </c>
      <c r="BD200" s="300">
        <v>0</v>
      </c>
      <c r="BE200" s="300">
        <v>0</v>
      </c>
      <c r="BF200" s="300">
        <v>0</v>
      </c>
      <c r="BG200" s="300">
        <v>0</v>
      </c>
      <c r="BH200" s="300">
        <v>0</v>
      </c>
      <c r="BI200" s="300">
        <v>0</v>
      </c>
      <c r="BJ200" s="300">
        <v>0</v>
      </c>
      <c r="BK200" s="300">
        <v>0</v>
      </c>
      <c r="BL200" s="300">
        <v>0</v>
      </c>
      <c r="BM200" s="300">
        <v>0</v>
      </c>
      <c r="BN200" s="300">
        <v>0</v>
      </c>
      <c r="BO200" s="300">
        <v>0</v>
      </c>
      <c r="BP200" s="300">
        <v>0</v>
      </c>
      <c r="BQ200" s="300">
        <v>0</v>
      </c>
      <c r="BR200" s="300">
        <v>0</v>
      </c>
      <c r="BS200" s="301">
        <v>0</v>
      </c>
      <c r="BT200" s="300">
        <v>0</v>
      </c>
      <c r="BU200" s="300">
        <v>0</v>
      </c>
      <c r="BV200" s="300">
        <v>0</v>
      </c>
      <c r="BW200" s="300">
        <v>0</v>
      </c>
      <c r="BX200" s="300">
        <v>0</v>
      </c>
      <c r="BY200" s="300">
        <v>0</v>
      </c>
      <c r="BZ200" s="300">
        <v>0</v>
      </c>
      <c r="CA200" s="300">
        <v>0</v>
      </c>
      <c r="CB200" s="300">
        <v>0</v>
      </c>
      <c r="CC200" s="300">
        <v>0</v>
      </c>
      <c r="CD200" s="300">
        <v>0</v>
      </c>
      <c r="CE200" s="300">
        <v>0</v>
      </c>
      <c r="CF200" s="300">
        <v>0</v>
      </c>
      <c r="CG200" s="300">
        <v>0</v>
      </c>
      <c r="CH200" s="300">
        <v>0</v>
      </c>
      <c r="CI200" s="300">
        <v>0</v>
      </c>
      <c r="CJ200" s="300">
        <v>0</v>
      </c>
      <c r="CK200" s="300">
        <v>0</v>
      </c>
      <c r="CL200" s="300">
        <v>0</v>
      </c>
      <c r="CM200" s="300">
        <v>0</v>
      </c>
      <c r="CN200" s="300">
        <v>0</v>
      </c>
      <c r="CO200" s="300">
        <v>0</v>
      </c>
      <c r="CP200" s="254">
        <v>37.25</v>
      </c>
      <c r="CQ200" s="254"/>
      <c r="CR200" s="254"/>
      <c r="CS200" s="254"/>
      <c r="CT200" s="254"/>
      <c r="CW200" s="301"/>
      <c r="CX200" s="301"/>
      <c r="CY200" s="301"/>
    </row>
    <row r="201" spans="1:103" x14ac:dyDescent="0.2">
      <c r="A201" s="254">
        <v>37.5</v>
      </c>
      <c r="B201" s="122">
        <f t="shared" si="23"/>
        <v>4.6876859217561744E-8</v>
      </c>
      <c r="C201" s="122">
        <f t="shared" si="24"/>
        <v>4.5845880791252217E-9</v>
      </c>
      <c r="D201" s="122">
        <f t="shared" si="25"/>
        <v>3.8765098512245043E-4</v>
      </c>
      <c r="E201" s="122">
        <f t="shared" si="26"/>
        <v>0</v>
      </c>
      <c r="F201" s="122">
        <f t="shared" si="32"/>
        <v>0</v>
      </c>
      <c r="G201" s="299">
        <f>HLOOKUP('Input &amp; Summary'!$B$6,'AEP Input Output sheet'!$N$50:$CO$211,ROW(G201)-49,0)</f>
        <v>0</v>
      </c>
      <c r="H201" s="122">
        <f t="shared" si="27"/>
        <v>0</v>
      </c>
      <c r="I201" s="247">
        <f t="shared" si="28"/>
        <v>0</v>
      </c>
      <c r="J201" s="254">
        <f t="shared" si="29"/>
        <v>64209.141965820738</v>
      </c>
      <c r="K201" s="122">
        <f t="shared" si="30"/>
        <v>11376.534939619727</v>
      </c>
      <c r="L201" s="122">
        <f t="shared" si="33"/>
        <v>1662.9519221382577</v>
      </c>
      <c r="M201" s="122"/>
      <c r="N201" s="254">
        <f t="shared" si="31"/>
        <v>0</v>
      </c>
      <c r="O201">
        <v>0</v>
      </c>
      <c r="P201">
        <v>0</v>
      </c>
      <c r="Q201">
        <v>0</v>
      </c>
      <c r="R201">
        <v>0</v>
      </c>
      <c r="S201">
        <v>0</v>
      </c>
      <c r="T201">
        <v>0</v>
      </c>
      <c r="U201">
        <v>0</v>
      </c>
      <c r="V201">
        <v>0</v>
      </c>
      <c r="W201">
        <v>0</v>
      </c>
      <c r="X201" s="300">
        <v>0</v>
      </c>
      <c r="Y201" s="300">
        <v>0</v>
      </c>
      <c r="Z201" s="300">
        <v>0</v>
      </c>
      <c r="AA201" s="300">
        <v>0</v>
      </c>
      <c r="AB201" s="301">
        <v>0</v>
      </c>
      <c r="AC201" s="300">
        <v>0</v>
      </c>
      <c r="AD201" s="300">
        <v>0</v>
      </c>
      <c r="AE201" s="300">
        <v>0</v>
      </c>
      <c r="AF201" s="300">
        <v>0</v>
      </c>
      <c r="AG201" s="300">
        <v>0</v>
      </c>
      <c r="AH201" s="300">
        <v>0</v>
      </c>
      <c r="AI201" s="300">
        <v>0</v>
      </c>
      <c r="AJ201" s="300">
        <v>0</v>
      </c>
      <c r="AK201" s="300">
        <v>0</v>
      </c>
      <c r="AL201" s="300">
        <v>0</v>
      </c>
      <c r="AM201" s="300">
        <v>0</v>
      </c>
      <c r="AN201" s="300">
        <v>0</v>
      </c>
      <c r="AO201" s="300">
        <v>0</v>
      </c>
      <c r="AP201" s="300">
        <v>0</v>
      </c>
      <c r="AQ201" s="300">
        <v>0</v>
      </c>
      <c r="AR201" s="300">
        <v>0</v>
      </c>
      <c r="AS201" s="300">
        <v>0</v>
      </c>
      <c r="AT201" s="300">
        <v>0</v>
      </c>
      <c r="AU201" s="300">
        <v>0</v>
      </c>
      <c r="AV201" s="300">
        <v>0</v>
      </c>
      <c r="AW201" s="300">
        <v>0</v>
      </c>
      <c r="AX201" s="300">
        <v>0</v>
      </c>
      <c r="AY201" s="300">
        <v>0</v>
      </c>
      <c r="AZ201" s="300">
        <v>0</v>
      </c>
      <c r="BA201" s="300">
        <v>0</v>
      </c>
      <c r="BB201" s="300">
        <v>0</v>
      </c>
      <c r="BC201" s="301">
        <v>0</v>
      </c>
      <c r="BD201" s="300">
        <v>0</v>
      </c>
      <c r="BE201" s="300">
        <v>0</v>
      </c>
      <c r="BF201" s="300">
        <v>0</v>
      </c>
      <c r="BG201" s="300">
        <v>0</v>
      </c>
      <c r="BH201" s="300">
        <v>0</v>
      </c>
      <c r="BI201" s="300">
        <v>0</v>
      </c>
      <c r="BJ201" s="300">
        <v>0</v>
      </c>
      <c r="BK201" s="300">
        <v>0</v>
      </c>
      <c r="BL201" s="300">
        <v>0</v>
      </c>
      <c r="BM201" s="300">
        <v>0</v>
      </c>
      <c r="BN201" s="300">
        <v>0</v>
      </c>
      <c r="BO201" s="300">
        <v>0</v>
      </c>
      <c r="BP201" s="300">
        <v>0</v>
      </c>
      <c r="BQ201" s="300">
        <v>0</v>
      </c>
      <c r="BR201" s="300">
        <v>0</v>
      </c>
      <c r="BS201" s="301">
        <v>0</v>
      </c>
      <c r="BT201" s="300">
        <v>0</v>
      </c>
      <c r="BU201" s="300">
        <v>0</v>
      </c>
      <c r="BV201" s="300">
        <v>0</v>
      </c>
      <c r="BW201" s="300">
        <v>0</v>
      </c>
      <c r="BX201" s="300">
        <v>0</v>
      </c>
      <c r="BY201" s="300">
        <v>0</v>
      </c>
      <c r="BZ201" s="300">
        <v>0</v>
      </c>
      <c r="CA201" s="300">
        <v>0</v>
      </c>
      <c r="CB201" s="300">
        <v>0</v>
      </c>
      <c r="CC201" s="300">
        <v>0</v>
      </c>
      <c r="CD201" s="300">
        <v>0</v>
      </c>
      <c r="CE201" s="300">
        <v>0</v>
      </c>
      <c r="CF201" s="300">
        <v>0</v>
      </c>
      <c r="CG201" s="300">
        <v>0</v>
      </c>
      <c r="CH201" s="300">
        <v>0</v>
      </c>
      <c r="CI201" s="300">
        <v>0</v>
      </c>
      <c r="CJ201" s="300">
        <v>0</v>
      </c>
      <c r="CK201" s="300">
        <v>0</v>
      </c>
      <c r="CL201" s="300">
        <v>0</v>
      </c>
      <c r="CM201" s="300">
        <v>0</v>
      </c>
      <c r="CN201" s="300">
        <v>0</v>
      </c>
      <c r="CO201" s="300">
        <v>0</v>
      </c>
      <c r="CP201" s="254">
        <v>37.5</v>
      </c>
      <c r="CQ201" s="254"/>
      <c r="CR201" s="254"/>
      <c r="CS201" s="254"/>
      <c r="CT201" s="254"/>
      <c r="CW201" s="301"/>
      <c r="CX201" s="301"/>
      <c r="CY201" s="301"/>
    </row>
    <row r="202" spans="1:103" x14ac:dyDescent="0.2">
      <c r="A202" s="254">
        <v>37.75</v>
      </c>
      <c r="B202" s="122">
        <f t="shared" si="23"/>
        <v>3.7709299267145102E-8</v>
      </c>
      <c r="C202" s="122">
        <f t="shared" si="24"/>
        <v>3.5223922629404021E-9</v>
      </c>
      <c r="D202" s="122">
        <f t="shared" si="25"/>
        <v>3.0383328862873223E-4</v>
      </c>
      <c r="E202" s="122">
        <f t="shared" si="26"/>
        <v>0</v>
      </c>
      <c r="F202" s="122">
        <f t="shared" si="32"/>
        <v>0</v>
      </c>
      <c r="G202" s="299">
        <f>HLOOKUP('Input &amp; Summary'!$B$6,'AEP Input Output sheet'!$N$50:$CO$211,ROW(G202)-49,0)</f>
        <v>0</v>
      </c>
      <c r="H202" s="122">
        <f t="shared" si="27"/>
        <v>0</v>
      </c>
      <c r="I202" s="247">
        <f t="shared" si="28"/>
        <v>0</v>
      </c>
      <c r="J202" s="254">
        <f t="shared" si="29"/>
        <v>65501.905048996872</v>
      </c>
      <c r="K202" s="122">
        <f t="shared" si="30"/>
        <v>11468.877630787452</v>
      </c>
      <c r="L202" s="122">
        <f t="shared" si="33"/>
        <v>1662.9519221382577</v>
      </c>
      <c r="M202" s="122"/>
      <c r="N202" s="254">
        <f t="shared" si="31"/>
        <v>0</v>
      </c>
      <c r="O202">
        <v>0</v>
      </c>
      <c r="P202">
        <v>0</v>
      </c>
      <c r="Q202">
        <v>0</v>
      </c>
      <c r="R202">
        <v>0</v>
      </c>
      <c r="S202">
        <v>0</v>
      </c>
      <c r="T202">
        <v>0</v>
      </c>
      <c r="U202">
        <v>0</v>
      </c>
      <c r="V202">
        <v>0</v>
      </c>
      <c r="W202">
        <v>0</v>
      </c>
      <c r="X202" s="300">
        <v>0</v>
      </c>
      <c r="Y202" s="300">
        <v>0</v>
      </c>
      <c r="Z202" s="300">
        <v>0</v>
      </c>
      <c r="AA202" s="300">
        <v>0</v>
      </c>
      <c r="AB202" s="301">
        <v>0</v>
      </c>
      <c r="AC202" s="300">
        <v>0</v>
      </c>
      <c r="AD202" s="300">
        <v>0</v>
      </c>
      <c r="AE202" s="300">
        <v>0</v>
      </c>
      <c r="AF202" s="300">
        <v>0</v>
      </c>
      <c r="AG202" s="300">
        <v>0</v>
      </c>
      <c r="AH202" s="300">
        <v>0</v>
      </c>
      <c r="AI202" s="300">
        <v>0</v>
      </c>
      <c r="AJ202" s="300">
        <v>0</v>
      </c>
      <c r="AK202" s="300">
        <v>0</v>
      </c>
      <c r="AL202" s="300">
        <v>0</v>
      </c>
      <c r="AM202" s="300">
        <v>0</v>
      </c>
      <c r="AN202" s="300">
        <v>0</v>
      </c>
      <c r="AO202" s="300">
        <v>0</v>
      </c>
      <c r="AP202" s="300">
        <v>0</v>
      </c>
      <c r="AQ202" s="300">
        <v>0</v>
      </c>
      <c r="AR202" s="300">
        <v>0</v>
      </c>
      <c r="AS202" s="300">
        <v>0</v>
      </c>
      <c r="AT202" s="300">
        <v>0</v>
      </c>
      <c r="AU202" s="300">
        <v>0</v>
      </c>
      <c r="AV202" s="300">
        <v>0</v>
      </c>
      <c r="AW202" s="300">
        <v>0</v>
      </c>
      <c r="AX202" s="300">
        <v>0</v>
      </c>
      <c r="AY202" s="300">
        <v>0</v>
      </c>
      <c r="AZ202" s="300">
        <v>0</v>
      </c>
      <c r="BA202" s="300">
        <v>0</v>
      </c>
      <c r="BB202" s="300">
        <v>0</v>
      </c>
      <c r="BC202" s="301">
        <v>0</v>
      </c>
      <c r="BD202" s="300">
        <v>0</v>
      </c>
      <c r="BE202" s="300">
        <v>0</v>
      </c>
      <c r="BF202" s="300">
        <v>0</v>
      </c>
      <c r="BG202" s="300">
        <v>0</v>
      </c>
      <c r="BH202" s="300">
        <v>0</v>
      </c>
      <c r="BI202" s="300">
        <v>0</v>
      </c>
      <c r="BJ202" s="300">
        <v>0</v>
      </c>
      <c r="BK202" s="300">
        <v>0</v>
      </c>
      <c r="BL202" s="300">
        <v>0</v>
      </c>
      <c r="BM202" s="300">
        <v>0</v>
      </c>
      <c r="BN202" s="300">
        <v>0</v>
      </c>
      <c r="BO202" s="300">
        <v>0</v>
      </c>
      <c r="BP202" s="300">
        <v>0</v>
      </c>
      <c r="BQ202" s="300">
        <v>0</v>
      </c>
      <c r="BR202" s="300">
        <v>0</v>
      </c>
      <c r="BS202" s="301">
        <v>0</v>
      </c>
      <c r="BT202" s="300">
        <v>0</v>
      </c>
      <c r="BU202" s="300">
        <v>0</v>
      </c>
      <c r="BV202" s="300">
        <v>0</v>
      </c>
      <c r="BW202" s="300">
        <v>0</v>
      </c>
      <c r="BX202" s="300">
        <v>0</v>
      </c>
      <c r="BY202" s="300">
        <v>0</v>
      </c>
      <c r="BZ202" s="300">
        <v>0</v>
      </c>
      <c r="CA202" s="300">
        <v>0</v>
      </c>
      <c r="CB202" s="300">
        <v>0</v>
      </c>
      <c r="CC202" s="300">
        <v>0</v>
      </c>
      <c r="CD202" s="300">
        <v>0</v>
      </c>
      <c r="CE202" s="300">
        <v>0</v>
      </c>
      <c r="CF202" s="300">
        <v>0</v>
      </c>
      <c r="CG202" s="300">
        <v>0</v>
      </c>
      <c r="CH202" s="300">
        <v>0</v>
      </c>
      <c r="CI202" s="300">
        <v>0</v>
      </c>
      <c r="CJ202" s="300">
        <v>0</v>
      </c>
      <c r="CK202" s="300">
        <v>0</v>
      </c>
      <c r="CL202" s="300">
        <v>0</v>
      </c>
      <c r="CM202" s="300">
        <v>0</v>
      </c>
      <c r="CN202" s="300">
        <v>0</v>
      </c>
      <c r="CO202" s="300">
        <v>0</v>
      </c>
      <c r="CP202" s="254">
        <v>37.75</v>
      </c>
      <c r="CQ202" s="254"/>
      <c r="CR202" s="254"/>
      <c r="CS202" s="254"/>
      <c r="CT202" s="254"/>
      <c r="CW202" s="301"/>
      <c r="CX202" s="301"/>
      <c r="CY202" s="301"/>
    </row>
    <row r="203" spans="1:103" x14ac:dyDescent="0.2">
      <c r="A203" s="254">
        <v>38</v>
      </c>
      <c r="B203" s="122">
        <f t="shared" si="23"/>
        <v>3.0288113435896151E-8</v>
      </c>
      <c r="C203" s="122">
        <f t="shared" si="24"/>
        <v>2.7008102602141945E-9</v>
      </c>
      <c r="D203" s="122">
        <f t="shared" si="25"/>
        <v>2.3762472792914288E-4</v>
      </c>
      <c r="E203" s="122">
        <f t="shared" si="26"/>
        <v>0</v>
      </c>
      <c r="F203" s="122">
        <f t="shared" si="32"/>
        <v>0</v>
      </c>
      <c r="G203" s="299">
        <f>HLOOKUP('Input &amp; Summary'!$B$6,'AEP Input Output sheet'!$N$50:$CO$211,ROW(G203)-49,0)</f>
        <v>0</v>
      </c>
      <c r="H203" s="122">
        <f t="shared" si="27"/>
        <v>0</v>
      </c>
      <c r="I203" s="247">
        <f t="shared" si="28"/>
        <v>0</v>
      </c>
      <c r="J203" s="254">
        <f t="shared" si="29"/>
        <v>66811.904719616316</v>
      </c>
      <c r="K203" s="122">
        <f t="shared" si="30"/>
        <v>11561.220321955176</v>
      </c>
      <c r="L203" s="122">
        <f t="shared" si="33"/>
        <v>1662.9519221382577</v>
      </c>
      <c r="M203" s="122"/>
      <c r="N203" s="254">
        <f t="shared" si="31"/>
        <v>0</v>
      </c>
      <c r="O203">
        <v>0</v>
      </c>
      <c r="P203">
        <v>0</v>
      </c>
      <c r="Q203">
        <v>0</v>
      </c>
      <c r="R203">
        <v>0</v>
      </c>
      <c r="S203">
        <v>0</v>
      </c>
      <c r="T203">
        <v>0</v>
      </c>
      <c r="U203">
        <v>0</v>
      </c>
      <c r="V203">
        <v>0</v>
      </c>
      <c r="W203">
        <v>0</v>
      </c>
      <c r="X203" s="300">
        <v>0</v>
      </c>
      <c r="Y203" s="300">
        <v>0</v>
      </c>
      <c r="Z203" s="300">
        <v>0</v>
      </c>
      <c r="AA203" s="300">
        <v>0</v>
      </c>
      <c r="AB203" s="301">
        <v>0</v>
      </c>
      <c r="AC203" s="300">
        <v>0</v>
      </c>
      <c r="AD203" s="300">
        <v>0</v>
      </c>
      <c r="AE203" s="300">
        <v>0</v>
      </c>
      <c r="AF203" s="300">
        <v>0</v>
      </c>
      <c r="AG203" s="300">
        <v>0</v>
      </c>
      <c r="AH203" s="300">
        <v>0</v>
      </c>
      <c r="AI203" s="300">
        <v>0</v>
      </c>
      <c r="AJ203" s="300">
        <v>0</v>
      </c>
      <c r="AK203" s="300">
        <v>0</v>
      </c>
      <c r="AL203" s="300">
        <v>0</v>
      </c>
      <c r="AM203" s="300">
        <v>0</v>
      </c>
      <c r="AN203" s="300">
        <v>0</v>
      </c>
      <c r="AO203" s="300">
        <v>0</v>
      </c>
      <c r="AP203" s="300">
        <v>0</v>
      </c>
      <c r="AQ203" s="300">
        <v>0</v>
      </c>
      <c r="AR203" s="300">
        <v>0</v>
      </c>
      <c r="AS203" s="300">
        <v>0</v>
      </c>
      <c r="AT203" s="300">
        <v>0</v>
      </c>
      <c r="AU203" s="300">
        <v>0</v>
      </c>
      <c r="AV203" s="300">
        <v>0</v>
      </c>
      <c r="AW203" s="300">
        <v>0</v>
      </c>
      <c r="AX203" s="300">
        <v>0</v>
      </c>
      <c r="AY203" s="300">
        <v>0</v>
      </c>
      <c r="AZ203" s="300">
        <v>0</v>
      </c>
      <c r="BA203" s="300">
        <v>0</v>
      </c>
      <c r="BB203" s="300">
        <v>0</v>
      </c>
      <c r="BC203" s="301">
        <v>0</v>
      </c>
      <c r="BD203" s="300">
        <v>0</v>
      </c>
      <c r="BE203" s="300">
        <v>0</v>
      </c>
      <c r="BF203" s="300">
        <v>0</v>
      </c>
      <c r="BG203" s="300">
        <v>0</v>
      </c>
      <c r="BH203" s="300">
        <v>0</v>
      </c>
      <c r="BI203" s="300">
        <v>0</v>
      </c>
      <c r="BJ203" s="300">
        <v>0</v>
      </c>
      <c r="BK203" s="300">
        <v>0</v>
      </c>
      <c r="BL203" s="300">
        <v>0</v>
      </c>
      <c r="BM203" s="300">
        <v>0</v>
      </c>
      <c r="BN203" s="300">
        <v>0</v>
      </c>
      <c r="BO203" s="300">
        <v>0</v>
      </c>
      <c r="BP203" s="300">
        <v>0</v>
      </c>
      <c r="BQ203" s="300">
        <v>0</v>
      </c>
      <c r="BR203" s="300">
        <v>0</v>
      </c>
      <c r="BS203" s="301">
        <v>0</v>
      </c>
      <c r="BT203" s="300">
        <v>0</v>
      </c>
      <c r="BU203" s="300">
        <v>0</v>
      </c>
      <c r="BV203" s="300">
        <v>0</v>
      </c>
      <c r="BW203" s="300">
        <v>0</v>
      </c>
      <c r="BX203" s="300">
        <v>0</v>
      </c>
      <c r="BY203" s="300">
        <v>0</v>
      </c>
      <c r="BZ203" s="300">
        <v>0</v>
      </c>
      <c r="CA203" s="300">
        <v>0</v>
      </c>
      <c r="CB203" s="300">
        <v>0</v>
      </c>
      <c r="CC203" s="300">
        <v>0</v>
      </c>
      <c r="CD203" s="300">
        <v>0</v>
      </c>
      <c r="CE203" s="300">
        <v>0</v>
      </c>
      <c r="CF203" s="300">
        <v>0</v>
      </c>
      <c r="CG203" s="300">
        <v>0</v>
      </c>
      <c r="CH203" s="300">
        <v>0</v>
      </c>
      <c r="CI203" s="300">
        <v>0</v>
      </c>
      <c r="CJ203" s="300">
        <v>0</v>
      </c>
      <c r="CK203" s="300">
        <v>0</v>
      </c>
      <c r="CL203" s="300">
        <v>0</v>
      </c>
      <c r="CM203" s="300">
        <v>0</v>
      </c>
      <c r="CN203" s="300">
        <v>0</v>
      </c>
      <c r="CO203" s="300">
        <v>0</v>
      </c>
      <c r="CP203" s="254">
        <v>38</v>
      </c>
      <c r="CQ203" s="254"/>
      <c r="CR203" s="254"/>
      <c r="CS203" s="254"/>
      <c r="CT203" s="254"/>
      <c r="CW203" s="301"/>
      <c r="CX203" s="301"/>
      <c r="CY203" s="301"/>
    </row>
    <row r="204" spans="1:103" x14ac:dyDescent="0.2">
      <c r="A204" s="254">
        <v>38.25</v>
      </c>
      <c r="B204" s="122">
        <f t="shared" si="23"/>
        <v>2.429014115596328E-8</v>
      </c>
      <c r="C204" s="122">
        <f t="shared" si="24"/>
        <v>2.0666602986497303E-9</v>
      </c>
      <c r="D204" s="122">
        <f t="shared" si="25"/>
        <v>1.8544288836356616E-4</v>
      </c>
      <c r="E204" s="122">
        <f t="shared" si="26"/>
        <v>0</v>
      </c>
      <c r="F204" s="122">
        <f t="shared" si="32"/>
        <v>0</v>
      </c>
      <c r="G204" s="299">
        <f>HLOOKUP('Input &amp; Summary'!$B$6,'AEP Input Output sheet'!$N$50:$CO$211,ROW(G204)-49,0)</f>
        <v>0</v>
      </c>
      <c r="H204" s="122">
        <f t="shared" si="27"/>
        <v>0</v>
      </c>
      <c r="I204" s="247">
        <f t="shared" si="28"/>
        <v>0</v>
      </c>
      <c r="J204" s="254">
        <f t="shared" si="29"/>
        <v>68139.255127264696</v>
      </c>
      <c r="K204" s="122">
        <f t="shared" si="30"/>
        <v>11653.563013122901</v>
      </c>
      <c r="L204" s="122">
        <f t="shared" si="33"/>
        <v>1662.9519221382577</v>
      </c>
      <c r="M204" s="122"/>
      <c r="N204" s="254">
        <f t="shared" si="31"/>
        <v>0</v>
      </c>
      <c r="O204">
        <v>0</v>
      </c>
      <c r="P204">
        <v>0</v>
      </c>
      <c r="Q204">
        <v>0</v>
      </c>
      <c r="R204">
        <v>0</v>
      </c>
      <c r="S204">
        <v>0</v>
      </c>
      <c r="T204">
        <v>0</v>
      </c>
      <c r="U204">
        <v>0</v>
      </c>
      <c r="V204">
        <v>0</v>
      </c>
      <c r="W204">
        <v>0</v>
      </c>
      <c r="X204" s="300">
        <v>0</v>
      </c>
      <c r="Y204" s="300">
        <v>0</v>
      </c>
      <c r="Z204" s="300">
        <v>0</v>
      </c>
      <c r="AA204" s="300">
        <v>0</v>
      </c>
      <c r="AB204" s="301">
        <v>0</v>
      </c>
      <c r="AC204" s="300">
        <v>0</v>
      </c>
      <c r="AD204" s="300">
        <v>0</v>
      </c>
      <c r="AE204" s="300">
        <v>0</v>
      </c>
      <c r="AF204" s="300">
        <v>0</v>
      </c>
      <c r="AG204" s="300">
        <v>0</v>
      </c>
      <c r="AH204" s="300">
        <v>0</v>
      </c>
      <c r="AI204" s="300">
        <v>0</v>
      </c>
      <c r="AJ204" s="300">
        <v>0</v>
      </c>
      <c r="AK204" s="300">
        <v>0</v>
      </c>
      <c r="AL204" s="300">
        <v>0</v>
      </c>
      <c r="AM204" s="300">
        <v>0</v>
      </c>
      <c r="AN204" s="300">
        <v>0</v>
      </c>
      <c r="AO204" s="300">
        <v>0</v>
      </c>
      <c r="AP204" s="300">
        <v>0</v>
      </c>
      <c r="AQ204" s="300">
        <v>0</v>
      </c>
      <c r="AR204" s="300">
        <v>0</v>
      </c>
      <c r="AS204" s="300">
        <v>0</v>
      </c>
      <c r="AT204" s="300">
        <v>0</v>
      </c>
      <c r="AU204" s="300">
        <v>0</v>
      </c>
      <c r="AV204" s="300">
        <v>0</v>
      </c>
      <c r="AW204" s="300">
        <v>0</v>
      </c>
      <c r="AX204" s="300">
        <v>0</v>
      </c>
      <c r="AY204" s="300">
        <v>0</v>
      </c>
      <c r="AZ204" s="300">
        <v>0</v>
      </c>
      <c r="BA204" s="300">
        <v>0</v>
      </c>
      <c r="BB204" s="300">
        <v>0</v>
      </c>
      <c r="BC204" s="301">
        <v>0</v>
      </c>
      <c r="BD204" s="300">
        <v>0</v>
      </c>
      <c r="BE204" s="300">
        <v>0</v>
      </c>
      <c r="BF204" s="300">
        <v>0</v>
      </c>
      <c r="BG204" s="300">
        <v>0</v>
      </c>
      <c r="BH204" s="300">
        <v>0</v>
      </c>
      <c r="BI204" s="300">
        <v>0</v>
      </c>
      <c r="BJ204" s="300">
        <v>0</v>
      </c>
      <c r="BK204" s="300">
        <v>0</v>
      </c>
      <c r="BL204" s="300">
        <v>0</v>
      </c>
      <c r="BM204" s="300">
        <v>0</v>
      </c>
      <c r="BN204" s="300">
        <v>0</v>
      </c>
      <c r="BO204" s="300">
        <v>0</v>
      </c>
      <c r="BP204" s="300">
        <v>0</v>
      </c>
      <c r="BQ204" s="300">
        <v>0</v>
      </c>
      <c r="BR204" s="300">
        <v>0</v>
      </c>
      <c r="BS204" s="301">
        <v>0</v>
      </c>
      <c r="BT204" s="300">
        <v>0</v>
      </c>
      <c r="BU204" s="300">
        <v>0</v>
      </c>
      <c r="BV204" s="300">
        <v>0</v>
      </c>
      <c r="BW204" s="300">
        <v>0</v>
      </c>
      <c r="BX204" s="300">
        <v>0</v>
      </c>
      <c r="BY204" s="300">
        <v>0</v>
      </c>
      <c r="BZ204" s="300">
        <v>0</v>
      </c>
      <c r="CA204" s="300">
        <v>0</v>
      </c>
      <c r="CB204" s="300">
        <v>0</v>
      </c>
      <c r="CC204" s="300">
        <v>0</v>
      </c>
      <c r="CD204" s="300">
        <v>0</v>
      </c>
      <c r="CE204" s="300">
        <v>0</v>
      </c>
      <c r="CF204" s="300">
        <v>0</v>
      </c>
      <c r="CG204" s="300">
        <v>0</v>
      </c>
      <c r="CH204" s="300">
        <v>0</v>
      </c>
      <c r="CI204" s="300">
        <v>0</v>
      </c>
      <c r="CJ204" s="300">
        <v>0</v>
      </c>
      <c r="CK204" s="300">
        <v>0</v>
      </c>
      <c r="CL204" s="300">
        <v>0</v>
      </c>
      <c r="CM204" s="300">
        <v>0</v>
      </c>
      <c r="CN204" s="300">
        <v>0</v>
      </c>
      <c r="CO204" s="300">
        <v>0</v>
      </c>
      <c r="CP204" s="254">
        <v>38.25</v>
      </c>
      <c r="CQ204" s="254"/>
      <c r="CR204" s="254"/>
      <c r="CS204" s="254"/>
      <c r="CT204" s="254"/>
      <c r="CW204" s="301"/>
      <c r="CX204" s="301"/>
      <c r="CY204" s="301"/>
    </row>
    <row r="205" spans="1:103" x14ac:dyDescent="0.2">
      <c r="A205" s="254">
        <v>38.5</v>
      </c>
      <c r="B205" s="122">
        <f t="shared" si="23"/>
        <v>1.9450114105035803E-8</v>
      </c>
      <c r="C205" s="122">
        <f t="shared" si="24"/>
        <v>1.5782016340385946E-9</v>
      </c>
      <c r="D205" s="122">
        <f t="shared" si="25"/>
        <v>1.4440806384053722E-4</v>
      </c>
      <c r="E205" s="122">
        <f t="shared" si="26"/>
        <v>0</v>
      </c>
      <c r="F205" s="122">
        <f t="shared" si="32"/>
        <v>0</v>
      </c>
      <c r="G205" s="299">
        <f>HLOOKUP('Input &amp; Summary'!$B$6,'AEP Input Output sheet'!$N$50:$CO$211,ROW(G205)-49,0)</f>
        <v>0</v>
      </c>
      <c r="H205" s="122">
        <f t="shared" si="27"/>
        <v>0</v>
      </c>
      <c r="I205" s="247">
        <f t="shared" si="28"/>
        <v>0</v>
      </c>
      <c r="J205" s="254">
        <f t="shared" si="29"/>
        <v>69484.070421527795</v>
      </c>
      <c r="K205" s="122">
        <f t="shared" si="30"/>
        <v>11745.905704290626</v>
      </c>
      <c r="L205" s="122">
        <f t="shared" si="33"/>
        <v>1662.9519221382577</v>
      </c>
      <c r="M205" s="122"/>
      <c r="N205" s="254">
        <f t="shared" si="31"/>
        <v>0</v>
      </c>
      <c r="O205">
        <v>0</v>
      </c>
      <c r="P205">
        <v>0</v>
      </c>
      <c r="Q205">
        <v>0</v>
      </c>
      <c r="R205">
        <v>0</v>
      </c>
      <c r="S205">
        <v>0</v>
      </c>
      <c r="T205">
        <v>0</v>
      </c>
      <c r="U205">
        <v>0</v>
      </c>
      <c r="V205">
        <v>0</v>
      </c>
      <c r="W205">
        <v>0</v>
      </c>
      <c r="X205" s="300">
        <v>0</v>
      </c>
      <c r="Y205" s="300">
        <v>0</v>
      </c>
      <c r="Z205" s="300">
        <v>0</v>
      </c>
      <c r="AA205" s="300">
        <v>0</v>
      </c>
      <c r="AB205" s="301">
        <v>0</v>
      </c>
      <c r="AC205" s="300">
        <v>0</v>
      </c>
      <c r="AD205" s="300">
        <v>0</v>
      </c>
      <c r="AE205" s="300">
        <v>0</v>
      </c>
      <c r="AF205" s="300">
        <v>0</v>
      </c>
      <c r="AG205" s="300">
        <v>0</v>
      </c>
      <c r="AH205" s="300">
        <v>0</v>
      </c>
      <c r="AI205" s="300">
        <v>0</v>
      </c>
      <c r="AJ205" s="300">
        <v>0</v>
      </c>
      <c r="AK205" s="300">
        <v>0</v>
      </c>
      <c r="AL205" s="300">
        <v>0</v>
      </c>
      <c r="AM205" s="300">
        <v>0</v>
      </c>
      <c r="AN205" s="300">
        <v>0</v>
      </c>
      <c r="AO205" s="300">
        <v>0</v>
      </c>
      <c r="AP205" s="300">
        <v>0</v>
      </c>
      <c r="AQ205" s="300">
        <v>0</v>
      </c>
      <c r="AR205" s="300">
        <v>0</v>
      </c>
      <c r="AS205" s="300">
        <v>0</v>
      </c>
      <c r="AT205" s="300">
        <v>0</v>
      </c>
      <c r="AU205" s="300">
        <v>0</v>
      </c>
      <c r="AV205" s="300">
        <v>0</v>
      </c>
      <c r="AW205" s="300">
        <v>0</v>
      </c>
      <c r="AX205" s="300">
        <v>0</v>
      </c>
      <c r="AY205" s="300">
        <v>0</v>
      </c>
      <c r="AZ205" s="300">
        <v>0</v>
      </c>
      <c r="BA205" s="300">
        <v>0</v>
      </c>
      <c r="BB205" s="300">
        <v>0</v>
      </c>
      <c r="BC205" s="301">
        <v>0</v>
      </c>
      <c r="BD205" s="300">
        <v>0</v>
      </c>
      <c r="BE205" s="300">
        <v>0</v>
      </c>
      <c r="BF205" s="300">
        <v>0</v>
      </c>
      <c r="BG205" s="300">
        <v>0</v>
      </c>
      <c r="BH205" s="300">
        <v>0</v>
      </c>
      <c r="BI205" s="300">
        <v>0</v>
      </c>
      <c r="BJ205" s="300">
        <v>0</v>
      </c>
      <c r="BK205" s="300">
        <v>0</v>
      </c>
      <c r="BL205" s="300">
        <v>0</v>
      </c>
      <c r="BM205" s="300">
        <v>0</v>
      </c>
      <c r="BN205" s="300">
        <v>0</v>
      </c>
      <c r="BO205" s="300">
        <v>0</v>
      </c>
      <c r="BP205" s="300">
        <v>0</v>
      </c>
      <c r="BQ205" s="300">
        <v>0</v>
      </c>
      <c r="BR205" s="300">
        <v>0</v>
      </c>
      <c r="BS205" s="301">
        <v>0</v>
      </c>
      <c r="BT205" s="300">
        <v>0</v>
      </c>
      <c r="BU205" s="300">
        <v>0</v>
      </c>
      <c r="BV205" s="300">
        <v>0</v>
      </c>
      <c r="BW205" s="300">
        <v>0</v>
      </c>
      <c r="BX205" s="300">
        <v>0</v>
      </c>
      <c r="BY205" s="300">
        <v>0</v>
      </c>
      <c r="BZ205" s="300">
        <v>0</v>
      </c>
      <c r="CA205" s="300">
        <v>0</v>
      </c>
      <c r="CB205" s="300">
        <v>0</v>
      </c>
      <c r="CC205" s="300">
        <v>0</v>
      </c>
      <c r="CD205" s="300">
        <v>0</v>
      </c>
      <c r="CE205" s="300">
        <v>0</v>
      </c>
      <c r="CF205" s="300">
        <v>0</v>
      </c>
      <c r="CG205" s="300">
        <v>0</v>
      </c>
      <c r="CH205" s="300">
        <v>0</v>
      </c>
      <c r="CI205" s="300">
        <v>0</v>
      </c>
      <c r="CJ205" s="300">
        <v>0</v>
      </c>
      <c r="CK205" s="300">
        <v>0</v>
      </c>
      <c r="CL205" s="300">
        <v>0</v>
      </c>
      <c r="CM205" s="300">
        <v>0</v>
      </c>
      <c r="CN205" s="300">
        <v>0</v>
      </c>
      <c r="CO205" s="300">
        <v>0</v>
      </c>
      <c r="CP205" s="254">
        <v>38.5</v>
      </c>
      <c r="CQ205" s="254"/>
      <c r="CR205" s="254"/>
      <c r="CS205" s="254"/>
      <c r="CT205" s="254"/>
      <c r="CW205" s="301"/>
      <c r="CX205" s="301"/>
      <c r="CY205" s="301"/>
    </row>
    <row r="206" spans="1:103" x14ac:dyDescent="0.2">
      <c r="A206" s="254">
        <v>38.75</v>
      </c>
      <c r="B206" s="122">
        <f t="shared" si="23"/>
        <v>1.5550659351835604E-8</v>
      </c>
      <c r="C206" s="122">
        <f t="shared" si="24"/>
        <v>1.2027460910478695E-9</v>
      </c>
      <c r="D206" s="122">
        <f t="shared" si="25"/>
        <v>1.1221110590290466E-4</v>
      </c>
      <c r="E206" s="122">
        <f t="shared" si="26"/>
        <v>0</v>
      </c>
      <c r="F206" s="122">
        <f t="shared" si="32"/>
        <v>0</v>
      </c>
      <c r="G206" s="299">
        <f>HLOOKUP('Input &amp; Summary'!$B$6,'AEP Input Output sheet'!$N$50:$CO$211,ROW(G206)-49,0)</f>
        <v>0</v>
      </c>
      <c r="H206" s="122">
        <f t="shared" si="27"/>
        <v>0</v>
      </c>
      <c r="I206" s="247">
        <f t="shared" si="28"/>
        <v>0</v>
      </c>
      <c r="J206" s="254">
        <f t="shared" si="29"/>
        <v>70846.464751991327</v>
      </c>
      <c r="K206" s="122">
        <f t="shared" si="30"/>
        <v>11838.248395458349</v>
      </c>
      <c r="L206" s="122">
        <f t="shared" si="33"/>
        <v>1662.9519221382577</v>
      </c>
      <c r="M206" s="122"/>
      <c r="N206" s="254">
        <f t="shared" si="31"/>
        <v>0</v>
      </c>
      <c r="O206">
        <v>0</v>
      </c>
      <c r="P206">
        <v>0</v>
      </c>
      <c r="Q206">
        <v>0</v>
      </c>
      <c r="R206">
        <v>0</v>
      </c>
      <c r="S206">
        <v>0</v>
      </c>
      <c r="T206">
        <v>0</v>
      </c>
      <c r="U206">
        <v>0</v>
      </c>
      <c r="V206">
        <v>0</v>
      </c>
      <c r="W206">
        <v>0</v>
      </c>
      <c r="X206" s="300">
        <v>0</v>
      </c>
      <c r="Y206" s="300">
        <v>0</v>
      </c>
      <c r="Z206" s="300">
        <v>0</v>
      </c>
      <c r="AA206" s="300">
        <v>0</v>
      </c>
      <c r="AB206" s="301">
        <v>0</v>
      </c>
      <c r="AC206" s="300">
        <v>0</v>
      </c>
      <c r="AD206" s="300">
        <v>0</v>
      </c>
      <c r="AE206" s="300">
        <v>0</v>
      </c>
      <c r="AF206" s="300">
        <v>0</v>
      </c>
      <c r="AG206" s="300">
        <v>0</v>
      </c>
      <c r="AH206" s="300">
        <v>0</v>
      </c>
      <c r="AI206" s="300">
        <v>0</v>
      </c>
      <c r="AJ206" s="300">
        <v>0</v>
      </c>
      <c r="AK206" s="300">
        <v>0</v>
      </c>
      <c r="AL206" s="300">
        <v>0</v>
      </c>
      <c r="AM206" s="300">
        <v>0</v>
      </c>
      <c r="AN206" s="300">
        <v>0</v>
      </c>
      <c r="AO206" s="300">
        <v>0</v>
      </c>
      <c r="AP206" s="300">
        <v>0</v>
      </c>
      <c r="AQ206" s="300">
        <v>0</v>
      </c>
      <c r="AR206" s="300">
        <v>0</v>
      </c>
      <c r="AS206" s="300">
        <v>0</v>
      </c>
      <c r="AT206" s="300">
        <v>0</v>
      </c>
      <c r="AU206" s="300">
        <v>0</v>
      </c>
      <c r="AV206" s="300">
        <v>0</v>
      </c>
      <c r="AW206" s="300">
        <v>0</v>
      </c>
      <c r="AX206" s="300">
        <v>0</v>
      </c>
      <c r="AY206" s="300">
        <v>0</v>
      </c>
      <c r="AZ206" s="300">
        <v>0</v>
      </c>
      <c r="BA206" s="300">
        <v>0</v>
      </c>
      <c r="BB206" s="300">
        <v>0</v>
      </c>
      <c r="BC206" s="301">
        <v>0</v>
      </c>
      <c r="BD206" s="300">
        <v>0</v>
      </c>
      <c r="BE206" s="300">
        <v>0</v>
      </c>
      <c r="BF206" s="300">
        <v>0</v>
      </c>
      <c r="BG206" s="300">
        <v>0</v>
      </c>
      <c r="BH206" s="300">
        <v>0</v>
      </c>
      <c r="BI206" s="300">
        <v>0</v>
      </c>
      <c r="BJ206" s="300">
        <v>0</v>
      </c>
      <c r="BK206" s="300">
        <v>0</v>
      </c>
      <c r="BL206" s="300">
        <v>0</v>
      </c>
      <c r="BM206" s="300">
        <v>0</v>
      </c>
      <c r="BN206" s="300">
        <v>0</v>
      </c>
      <c r="BO206" s="300">
        <v>0</v>
      </c>
      <c r="BP206" s="300">
        <v>0</v>
      </c>
      <c r="BQ206" s="300">
        <v>0</v>
      </c>
      <c r="BR206" s="300">
        <v>0</v>
      </c>
      <c r="BS206" s="301">
        <v>0</v>
      </c>
      <c r="BT206" s="300">
        <v>0</v>
      </c>
      <c r="BU206" s="300">
        <v>0</v>
      </c>
      <c r="BV206" s="300">
        <v>0</v>
      </c>
      <c r="BW206" s="300">
        <v>0</v>
      </c>
      <c r="BX206" s="300">
        <v>0</v>
      </c>
      <c r="BY206" s="300">
        <v>0</v>
      </c>
      <c r="BZ206" s="300">
        <v>0</v>
      </c>
      <c r="CA206" s="300">
        <v>0</v>
      </c>
      <c r="CB206" s="300">
        <v>0</v>
      </c>
      <c r="CC206" s="300">
        <v>0</v>
      </c>
      <c r="CD206" s="300">
        <v>0</v>
      </c>
      <c r="CE206" s="300">
        <v>0</v>
      </c>
      <c r="CF206" s="300">
        <v>0</v>
      </c>
      <c r="CG206" s="300">
        <v>0</v>
      </c>
      <c r="CH206" s="300">
        <v>0</v>
      </c>
      <c r="CI206" s="300">
        <v>0</v>
      </c>
      <c r="CJ206" s="300">
        <v>0</v>
      </c>
      <c r="CK206" s="300">
        <v>0</v>
      </c>
      <c r="CL206" s="300">
        <v>0</v>
      </c>
      <c r="CM206" s="300">
        <v>0</v>
      </c>
      <c r="CN206" s="300">
        <v>0</v>
      </c>
      <c r="CO206" s="300">
        <v>0</v>
      </c>
      <c r="CP206" s="254">
        <v>38.75</v>
      </c>
      <c r="CQ206" s="254"/>
      <c r="CR206" s="254"/>
      <c r="CS206" s="254"/>
      <c r="CT206" s="254"/>
      <c r="CW206" s="301"/>
      <c r="CX206" s="301"/>
      <c r="CY206" s="301"/>
    </row>
    <row r="207" spans="1:103" x14ac:dyDescent="0.2">
      <c r="A207" s="254">
        <v>39</v>
      </c>
      <c r="B207" s="122">
        <f t="shared" si="23"/>
        <v>1.2413957023494911E-8</v>
      </c>
      <c r="C207" s="122">
        <f t="shared" si="24"/>
        <v>9.1475163396195711E-10</v>
      </c>
      <c r="D207" s="122">
        <f t="shared" si="25"/>
        <v>8.7004914176542757E-5</v>
      </c>
      <c r="E207" s="122">
        <f t="shared" si="26"/>
        <v>0</v>
      </c>
      <c r="F207" s="122">
        <f t="shared" si="32"/>
        <v>0</v>
      </c>
      <c r="G207" s="299">
        <f>HLOOKUP('Input &amp; Summary'!$B$6,'AEP Input Output sheet'!$N$50:$CO$211,ROW(G207)-49,0)</f>
        <v>0</v>
      </c>
      <c r="H207" s="122">
        <f t="shared" si="27"/>
        <v>0</v>
      </c>
      <c r="I207" s="247">
        <f t="shared" si="28"/>
        <v>0</v>
      </c>
      <c r="J207" s="254">
        <f t="shared" si="29"/>
        <v>72226.552268240994</v>
      </c>
      <c r="K207" s="122">
        <f t="shared" si="30"/>
        <v>11930.591086626075</v>
      </c>
      <c r="L207" s="122">
        <f t="shared" si="33"/>
        <v>1662.9519221382577</v>
      </c>
      <c r="M207" s="122"/>
      <c r="N207" s="254">
        <f t="shared" si="31"/>
        <v>0</v>
      </c>
      <c r="O207">
        <v>0</v>
      </c>
      <c r="P207">
        <v>0</v>
      </c>
      <c r="Q207">
        <v>0</v>
      </c>
      <c r="R207">
        <v>0</v>
      </c>
      <c r="S207">
        <v>0</v>
      </c>
      <c r="T207">
        <v>0</v>
      </c>
      <c r="U207">
        <v>0</v>
      </c>
      <c r="V207">
        <v>0</v>
      </c>
      <c r="W207">
        <v>0</v>
      </c>
      <c r="X207" s="300">
        <v>0</v>
      </c>
      <c r="Y207" s="300">
        <v>0</v>
      </c>
      <c r="Z207" s="300">
        <v>0</v>
      </c>
      <c r="AA207" s="300">
        <v>0</v>
      </c>
      <c r="AB207" s="301">
        <v>0</v>
      </c>
      <c r="AC207" s="300">
        <v>0</v>
      </c>
      <c r="AD207" s="300">
        <v>0</v>
      </c>
      <c r="AE207" s="300">
        <v>0</v>
      </c>
      <c r="AF207" s="300">
        <v>0</v>
      </c>
      <c r="AG207" s="300">
        <v>0</v>
      </c>
      <c r="AH207" s="300">
        <v>0</v>
      </c>
      <c r="AI207" s="300">
        <v>0</v>
      </c>
      <c r="AJ207" s="300">
        <v>0</v>
      </c>
      <c r="AK207" s="300">
        <v>0</v>
      </c>
      <c r="AL207" s="300">
        <v>0</v>
      </c>
      <c r="AM207" s="300">
        <v>0</v>
      </c>
      <c r="AN207" s="300">
        <v>0</v>
      </c>
      <c r="AO207" s="300">
        <v>0</v>
      </c>
      <c r="AP207" s="300">
        <v>0</v>
      </c>
      <c r="AQ207" s="300">
        <v>0</v>
      </c>
      <c r="AR207" s="300">
        <v>0</v>
      </c>
      <c r="AS207" s="300">
        <v>0</v>
      </c>
      <c r="AT207" s="300">
        <v>0</v>
      </c>
      <c r="AU207" s="300">
        <v>0</v>
      </c>
      <c r="AV207" s="300">
        <v>0</v>
      </c>
      <c r="AW207" s="300">
        <v>0</v>
      </c>
      <c r="AX207" s="300">
        <v>0</v>
      </c>
      <c r="AY207" s="300">
        <v>0</v>
      </c>
      <c r="AZ207" s="300">
        <v>0</v>
      </c>
      <c r="BA207" s="300">
        <v>0</v>
      </c>
      <c r="BB207" s="300">
        <v>0</v>
      </c>
      <c r="BC207" s="301">
        <v>0</v>
      </c>
      <c r="BD207" s="300">
        <v>0</v>
      </c>
      <c r="BE207" s="300">
        <v>0</v>
      </c>
      <c r="BF207" s="300">
        <v>0</v>
      </c>
      <c r="BG207" s="300">
        <v>0</v>
      </c>
      <c r="BH207" s="300">
        <v>0</v>
      </c>
      <c r="BI207" s="300">
        <v>0</v>
      </c>
      <c r="BJ207" s="300">
        <v>0</v>
      </c>
      <c r="BK207" s="300">
        <v>0</v>
      </c>
      <c r="BL207" s="300">
        <v>0</v>
      </c>
      <c r="BM207" s="300">
        <v>0</v>
      </c>
      <c r="BN207" s="300">
        <v>0</v>
      </c>
      <c r="BO207" s="300">
        <v>0</v>
      </c>
      <c r="BP207" s="300">
        <v>0</v>
      </c>
      <c r="BQ207" s="300">
        <v>0</v>
      </c>
      <c r="BR207" s="300">
        <v>0</v>
      </c>
      <c r="BS207" s="301">
        <v>0</v>
      </c>
      <c r="BT207" s="300">
        <v>0</v>
      </c>
      <c r="BU207" s="300">
        <v>0</v>
      </c>
      <c r="BV207" s="300">
        <v>0</v>
      </c>
      <c r="BW207" s="300">
        <v>0</v>
      </c>
      <c r="BX207" s="300">
        <v>0</v>
      </c>
      <c r="BY207" s="300">
        <v>0</v>
      </c>
      <c r="BZ207" s="300">
        <v>0</v>
      </c>
      <c r="CA207" s="300">
        <v>0</v>
      </c>
      <c r="CB207" s="300">
        <v>0</v>
      </c>
      <c r="CC207" s="300">
        <v>0</v>
      </c>
      <c r="CD207" s="300">
        <v>0</v>
      </c>
      <c r="CE207" s="300">
        <v>0</v>
      </c>
      <c r="CF207" s="300">
        <v>0</v>
      </c>
      <c r="CG207" s="300">
        <v>0</v>
      </c>
      <c r="CH207" s="300">
        <v>0</v>
      </c>
      <c r="CI207" s="300">
        <v>0</v>
      </c>
      <c r="CJ207" s="300">
        <v>0</v>
      </c>
      <c r="CK207" s="300">
        <v>0</v>
      </c>
      <c r="CL207" s="300">
        <v>0</v>
      </c>
      <c r="CM207" s="300">
        <v>0</v>
      </c>
      <c r="CN207" s="300">
        <v>0</v>
      </c>
      <c r="CO207" s="300">
        <v>0</v>
      </c>
      <c r="CP207" s="254">
        <v>39</v>
      </c>
      <c r="CQ207" s="254"/>
      <c r="CR207" s="254"/>
      <c r="CS207" s="254"/>
      <c r="CT207" s="254"/>
      <c r="CW207" s="301"/>
      <c r="CX207" s="301"/>
      <c r="CY207" s="301"/>
    </row>
    <row r="208" spans="1:103" x14ac:dyDescent="0.2">
      <c r="A208" s="254">
        <v>39.25</v>
      </c>
      <c r="B208" s="122">
        <f t="shared" si="23"/>
        <v>9.8947920918015269E-9</v>
      </c>
      <c r="C208" s="122">
        <f t="shared" si="24"/>
        <v>6.9430438398049045E-10</v>
      </c>
      <c r="D208" s="122">
        <f t="shared" si="25"/>
        <v>6.7315590325544471E-5</v>
      </c>
      <c r="E208" s="122">
        <f t="shared" si="26"/>
        <v>0</v>
      </c>
      <c r="F208" s="122">
        <f t="shared" si="32"/>
        <v>0</v>
      </c>
      <c r="G208" s="299">
        <f>HLOOKUP('Input &amp; Summary'!$B$6,'AEP Input Output sheet'!$N$50:$CO$211,ROW(G208)-49,0)</f>
        <v>0</v>
      </c>
      <c r="H208" s="122">
        <f t="shared" si="27"/>
        <v>0</v>
      </c>
      <c r="I208" s="247">
        <f t="shared" si="28"/>
        <v>0</v>
      </c>
      <c r="J208" s="254">
        <f t="shared" si="29"/>
        <v>73624.447119862481</v>
      </c>
      <c r="K208" s="122">
        <f t="shared" si="30"/>
        <v>12022.933777793798</v>
      </c>
      <c r="L208" s="122">
        <f t="shared" si="33"/>
        <v>1662.9519221382577</v>
      </c>
      <c r="M208" s="122"/>
      <c r="N208" s="254">
        <f t="shared" si="31"/>
        <v>0</v>
      </c>
      <c r="O208">
        <v>0</v>
      </c>
      <c r="P208">
        <v>0</v>
      </c>
      <c r="Q208">
        <v>0</v>
      </c>
      <c r="R208">
        <v>0</v>
      </c>
      <c r="S208">
        <v>0</v>
      </c>
      <c r="T208">
        <v>0</v>
      </c>
      <c r="U208">
        <v>0</v>
      </c>
      <c r="V208">
        <v>0</v>
      </c>
      <c r="W208">
        <v>0</v>
      </c>
      <c r="X208" s="300">
        <v>0</v>
      </c>
      <c r="Y208" s="300">
        <v>0</v>
      </c>
      <c r="Z208" s="300">
        <v>0</v>
      </c>
      <c r="AA208" s="300">
        <v>0</v>
      </c>
      <c r="AB208" s="301">
        <v>0</v>
      </c>
      <c r="AC208" s="300">
        <v>0</v>
      </c>
      <c r="AD208" s="300">
        <v>0</v>
      </c>
      <c r="AE208" s="300">
        <v>0</v>
      </c>
      <c r="AF208" s="300">
        <v>0</v>
      </c>
      <c r="AG208" s="300">
        <v>0</v>
      </c>
      <c r="AH208" s="300">
        <v>0</v>
      </c>
      <c r="AI208" s="300">
        <v>0</v>
      </c>
      <c r="AJ208" s="300">
        <v>0</v>
      </c>
      <c r="AK208" s="300">
        <v>0</v>
      </c>
      <c r="AL208" s="300">
        <v>0</v>
      </c>
      <c r="AM208" s="300">
        <v>0</v>
      </c>
      <c r="AN208" s="300">
        <v>0</v>
      </c>
      <c r="AO208" s="300">
        <v>0</v>
      </c>
      <c r="AP208" s="300">
        <v>0</v>
      </c>
      <c r="AQ208" s="300">
        <v>0</v>
      </c>
      <c r="AR208" s="300">
        <v>0</v>
      </c>
      <c r="AS208" s="300">
        <v>0</v>
      </c>
      <c r="AT208" s="300">
        <v>0</v>
      </c>
      <c r="AU208" s="300">
        <v>0</v>
      </c>
      <c r="AV208" s="300">
        <v>0</v>
      </c>
      <c r="AW208" s="300">
        <v>0</v>
      </c>
      <c r="AX208" s="300">
        <v>0</v>
      </c>
      <c r="AY208" s="300">
        <v>0</v>
      </c>
      <c r="AZ208" s="300">
        <v>0</v>
      </c>
      <c r="BA208" s="300">
        <v>0</v>
      </c>
      <c r="BB208" s="300">
        <v>0</v>
      </c>
      <c r="BC208" s="301">
        <v>0</v>
      </c>
      <c r="BD208" s="300">
        <v>0</v>
      </c>
      <c r="BE208" s="300">
        <v>0</v>
      </c>
      <c r="BF208" s="300">
        <v>0</v>
      </c>
      <c r="BG208" s="300">
        <v>0</v>
      </c>
      <c r="BH208" s="300">
        <v>0</v>
      </c>
      <c r="BI208" s="300">
        <v>0</v>
      </c>
      <c r="BJ208" s="300">
        <v>0</v>
      </c>
      <c r="BK208" s="300">
        <v>0</v>
      </c>
      <c r="BL208" s="300">
        <v>0</v>
      </c>
      <c r="BM208" s="300">
        <v>0</v>
      </c>
      <c r="BN208" s="300">
        <v>0</v>
      </c>
      <c r="BO208" s="300">
        <v>0</v>
      </c>
      <c r="BP208" s="300">
        <v>0</v>
      </c>
      <c r="BQ208" s="300">
        <v>0</v>
      </c>
      <c r="BR208" s="300">
        <v>0</v>
      </c>
      <c r="BS208" s="301">
        <v>0</v>
      </c>
      <c r="BT208" s="300">
        <v>0</v>
      </c>
      <c r="BU208" s="300">
        <v>0</v>
      </c>
      <c r="BV208" s="300">
        <v>0</v>
      </c>
      <c r="BW208" s="300">
        <v>0</v>
      </c>
      <c r="BX208" s="300">
        <v>0</v>
      </c>
      <c r="BY208" s="300">
        <v>0</v>
      </c>
      <c r="BZ208" s="300">
        <v>0</v>
      </c>
      <c r="CA208" s="300">
        <v>0</v>
      </c>
      <c r="CB208" s="300">
        <v>0</v>
      </c>
      <c r="CC208" s="300">
        <v>0</v>
      </c>
      <c r="CD208" s="300">
        <v>0</v>
      </c>
      <c r="CE208" s="300">
        <v>0</v>
      </c>
      <c r="CF208" s="300">
        <v>0</v>
      </c>
      <c r="CG208" s="300">
        <v>0</v>
      </c>
      <c r="CH208" s="300">
        <v>0</v>
      </c>
      <c r="CI208" s="300">
        <v>0</v>
      </c>
      <c r="CJ208" s="300">
        <v>0</v>
      </c>
      <c r="CK208" s="300">
        <v>0</v>
      </c>
      <c r="CL208" s="300">
        <v>0</v>
      </c>
      <c r="CM208" s="300">
        <v>0</v>
      </c>
      <c r="CN208" s="300">
        <v>0</v>
      </c>
      <c r="CO208" s="300">
        <v>0</v>
      </c>
      <c r="CP208" s="254">
        <v>39.25</v>
      </c>
      <c r="CQ208" s="254"/>
      <c r="CR208" s="254"/>
      <c r="CS208" s="254"/>
      <c r="CT208" s="254"/>
      <c r="CW208" s="301"/>
      <c r="CX208" s="301"/>
      <c r="CY208" s="301"/>
    </row>
    <row r="209" spans="1:103" x14ac:dyDescent="0.2">
      <c r="A209" s="254">
        <v>39.5</v>
      </c>
      <c r="B209" s="122">
        <f t="shared" si="23"/>
        <v>7.8747784078154786E-9</v>
      </c>
      <c r="C209" s="122">
        <f t="shared" si="24"/>
        <v>5.259128623603143E-10</v>
      </c>
      <c r="D209" s="122">
        <f t="shared" si="25"/>
        <v>5.1969895962665736E-5</v>
      </c>
      <c r="E209" s="122">
        <f t="shared" si="26"/>
        <v>0</v>
      </c>
      <c r="F209" s="122">
        <f t="shared" si="32"/>
        <v>0</v>
      </c>
      <c r="G209" s="299">
        <f>HLOOKUP('Input &amp; Summary'!$B$6,'AEP Input Output sheet'!$N$50:$CO$211,ROW(G209)-49,0)</f>
        <v>0</v>
      </c>
      <c r="H209" s="122">
        <f t="shared" si="27"/>
        <v>0</v>
      </c>
      <c r="I209" s="247">
        <f t="shared" si="28"/>
        <v>0</v>
      </c>
      <c r="J209" s="254">
        <f t="shared" si="29"/>
        <v>75040.263456441549</v>
      </c>
      <c r="K209" s="122">
        <f t="shared" si="30"/>
        <v>12115.276468961523</v>
      </c>
      <c r="L209" s="122">
        <f t="shared" si="33"/>
        <v>1662.9519221382577</v>
      </c>
      <c r="M209" s="122"/>
      <c r="N209" s="254">
        <f t="shared" si="31"/>
        <v>0</v>
      </c>
      <c r="O209">
        <v>0</v>
      </c>
      <c r="P209">
        <v>0</v>
      </c>
      <c r="Q209">
        <v>0</v>
      </c>
      <c r="R209">
        <v>0</v>
      </c>
      <c r="S209">
        <v>0</v>
      </c>
      <c r="T209">
        <v>0</v>
      </c>
      <c r="U209">
        <v>0</v>
      </c>
      <c r="V209">
        <v>0</v>
      </c>
      <c r="W209">
        <v>0</v>
      </c>
      <c r="X209" s="300">
        <v>0</v>
      </c>
      <c r="Y209" s="300">
        <v>0</v>
      </c>
      <c r="Z209" s="300">
        <v>0</v>
      </c>
      <c r="AA209" s="300">
        <v>0</v>
      </c>
      <c r="AB209" s="301">
        <v>0</v>
      </c>
      <c r="AC209" s="300">
        <v>0</v>
      </c>
      <c r="AD209" s="300">
        <v>0</v>
      </c>
      <c r="AE209" s="300">
        <v>0</v>
      </c>
      <c r="AF209" s="300">
        <v>0</v>
      </c>
      <c r="AG209" s="300">
        <v>0</v>
      </c>
      <c r="AH209" s="300">
        <v>0</v>
      </c>
      <c r="AI209" s="300">
        <v>0</v>
      </c>
      <c r="AJ209" s="300">
        <v>0</v>
      </c>
      <c r="AK209" s="300">
        <v>0</v>
      </c>
      <c r="AL209" s="300">
        <v>0</v>
      </c>
      <c r="AM209" s="300">
        <v>0</v>
      </c>
      <c r="AN209" s="300">
        <v>0</v>
      </c>
      <c r="AO209" s="300">
        <v>0</v>
      </c>
      <c r="AP209" s="300">
        <v>0</v>
      </c>
      <c r="AQ209" s="300">
        <v>0</v>
      </c>
      <c r="AR209" s="300">
        <v>0</v>
      </c>
      <c r="AS209" s="300">
        <v>0</v>
      </c>
      <c r="AT209" s="300">
        <v>0</v>
      </c>
      <c r="AU209" s="300">
        <v>0</v>
      </c>
      <c r="AV209" s="300">
        <v>0</v>
      </c>
      <c r="AW209" s="300">
        <v>0</v>
      </c>
      <c r="AX209" s="300">
        <v>0</v>
      </c>
      <c r="AY209" s="300">
        <v>0</v>
      </c>
      <c r="AZ209" s="300">
        <v>0</v>
      </c>
      <c r="BA209" s="300">
        <v>0</v>
      </c>
      <c r="BB209" s="300">
        <v>0</v>
      </c>
      <c r="BC209" s="301">
        <v>0</v>
      </c>
      <c r="BD209" s="300">
        <v>0</v>
      </c>
      <c r="BE209" s="300">
        <v>0</v>
      </c>
      <c r="BF209" s="300">
        <v>0</v>
      </c>
      <c r="BG209" s="300">
        <v>0</v>
      </c>
      <c r="BH209" s="300">
        <v>0</v>
      </c>
      <c r="BI209" s="300">
        <v>0</v>
      </c>
      <c r="BJ209" s="300">
        <v>0</v>
      </c>
      <c r="BK209" s="300">
        <v>0</v>
      </c>
      <c r="BL209" s="300">
        <v>0</v>
      </c>
      <c r="BM209" s="300">
        <v>0</v>
      </c>
      <c r="BN209" s="300">
        <v>0</v>
      </c>
      <c r="BO209" s="300">
        <v>0</v>
      </c>
      <c r="BP209" s="300">
        <v>0</v>
      </c>
      <c r="BQ209" s="300">
        <v>0</v>
      </c>
      <c r="BR209" s="300">
        <v>0</v>
      </c>
      <c r="BS209" s="301">
        <v>0</v>
      </c>
      <c r="BT209" s="300">
        <v>0</v>
      </c>
      <c r="BU209" s="300">
        <v>0</v>
      </c>
      <c r="BV209" s="300">
        <v>0</v>
      </c>
      <c r="BW209" s="300">
        <v>0</v>
      </c>
      <c r="BX209" s="300">
        <v>0</v>
      </c>
      <c r="BY209" s="300">
        <v>0</v>
      </c>
      <c r="BZ209" s="300">
        <v>0</v>
      </c>
      <c r="CA209" s="300">
        <v>0</v>
      </c>
      <c r="CB209" s="300">
        <v>0</v>
      </c>
      <c r="CC209" s="300">
        <v>0</v>
      </c>
      <c r="CD209" s="300">
        <v>0</v>
      </c>
      <c r="CE209" s="300">
        <v>0</v>
      </c>
      <c r="CF209" s="300">
        <v>0</v>
      </c>
      <c r="CG209" s="300">
        <v>0</v>
      </c>
      <c r="CH209" s="300">
        <v>0</v>
      </c>
      <c r="CI209" s="300">
        <v>0</v>
      </c>
      <c r="CJ209" s="300">
        <v>0</v>
      </c>
      <c r="CK209" s="300">
        <v>0</v>
      </c>
      <c r="CL209" s="300">
        <v>0</v>
      </c>
      <c r="CM209" s="300">
        <v>0</v>
      </c>
      <c r="CN209" s="300">
        <v>0</v>
      </c>
      <c r="CO209" s="300">
        <v>0</v>
      </c>
      <c r="CP209" s="254">
        <v>39.5</v>
      </c>
      <c r="CQ209" s="254"/>
      <c r="CR209" s="254"/>
      <c r="CS209" s="254"/>
      <c r="CT209" s="254"/>
      <c r="CW209" s="301"/>
      <c r="CX209" s="301"/>
      <c r="CY209" s="301"/>
    </row>
    <row r="210" spans="1:103" x14ac:dyDescent="0.2">
      <c r="A210" s="254">
        <v>39.75</v>
      </c>
      <c r="B210" s="122">
        <f t="shared" si="23"/>
        <v>6.2575663821241253E-9</v>
      </c>
      <c r="C210" s="122">
        <f t="shared" si="24"/>
        <v>3.9755255169649855E-10</v>
      </c>
      <c r="D210" s="122">
        <f t="shared" si="25"/>
        <v>4.0036187294762958E-5</v>
      </c>
      <c r="E210" s="122">
        <f t="shared" si="26"/>
        <v>0</v>
      </c>
      <c r="F210" s="122">
        <f t="shared" si="32"/>
        <v>0</v>
      </c>
      <c r="G210" s="299">
        <f>HLOOKUP('Input &amp; Summary'!$B$6,'AEP Input Output sheet'!$N$50:$CO$211,ROW(G210)-49,0)</f>
        <v>0</v>
      </c>
      <c r="H210" s="122">
        <f t="shared" si="27"/>
        <v>0</v>
      </c>
      <c r="I210" s="247">
        <f t="shared" si="28"/>
        <v>0</v>
      </c>
      <c r="J210" s="254">
        <f t="shared" si="29"/>
        <v>76474.115427563971</v>
      </c>
      <c r="K210" s="122">
        <f t="shared" si="30"/>
        <v>12207.619160129247</v>
      </c>
      <c r="L210" s="122">
        <f t="shared" si="33"/>
        <v>1662.9519221382577</v>
      </c>
      <c r="M210" s="122"/>
      <c r="N210" s="254">
        <f t="shared" si="31"/>
        <v>0</v>
      </c>
      <c r="O210">
        <v>0</v>
      </c>
      <c r="P210">
        <v>0</v>
      </c>
      <c r="Q210">
        <v>0</v>
      </c>
      <c r="R210">
        <v>0</v>
      </c>
      <c r="S210">
        <v>0</v>
      </c>
      <c r="T210">
        <v>0</v>
      </c>
      <c r="U210">
        <v>0</v>
      </c>
      <c r="V210">
        <v>0</v>
      </c>
      <c r="W210">
        <v>0</v>
      </c>
      <c r="X210" s="300">
        <v>0</v>
      </c>
      <c r="Y210" s="300">
        <v>0</v>
      </c>
      <c r="Z210" s="300">
        <v>0</v>
      </c>
      <c r="AA210" s="300">
        <v>0</v>
      </c>
      <c r="AB210" s="301">
        <v>0</v>
      </c>
      <c r="AC210" s="300">
        <v>0</v>
      </c>
      <c r="AD210" s="300">
        <v>0</v>
      </c>
      <c r="AE210" s="300">
        <v>0</v>
      </c>
      <c r="AF210" s="300">
        <v>0</v>
      </c>
      <c r="AG210" s="300">
        <v>0</v>
      </c>
      <c r="AH210" s="300">
        <v>0</v>
      </c>
      <c r="AI210" s="300">
        <v>0</v>
      </c>
      <c r="AJ210" s="300">
        <v>0</v>
      </c>
      <c r="AK210" s="300">
        <v>0</v>
      </c>
      <c r="AL210" s="300">
        <v>0</v>
      </c>
      <c r="AM210" s="300">
        <v>0</v>
      </c>
      <c r="AN210" s="300">
        <v>0</v>
      </c>
      <c r="AO210" s="300">
        <v>0</v>
      </c>
      <c r="AP210" s="300">
        <v>0</v>
      </c>
      <c r="AQ210" s="300">
        <v>0</v>
      </c>
      <c r="AR210" s="300">
        <v>0</v>
      </c>
      <c r="AS210" s="300">
        <v>0</v>
      </c>
      <c r="AT210" s="300">
        <v>0</v>
      </c>
      <c r="AU210" s="300">
        <v>0</v>
      </c>
      <c r="AV210" s="300">
        <v>0</v>
      </c>
      <c r="AW210" s="300">
        <v>0</v>
      </c>
      <c r="AX210" s="300">
        <v>0</v>
      </c>
      <c r="AY210" s="300">
        <v>0</v>
      </c>
      <c r="AZ210" s="300">
        <v>0</v>
      </c>
      <c r="BA210" s="300">
        <v>0</v>
      </c>
      <c r="BB210" s="300">
        <v>0</v>
      </c>
      <c r="BC210" s="301">
        <v>0</v>
      </c>
      <c r="BD210" s="300">
        <v>0</v>
      </c>
      <c r="BE210" s="300">
        <v>0</v>
      </c>
      <c r="BF210" s="300">
        <v>0</v>
      </c>
      <c r="BG210" s="300">
        <v>0</v>
      </c>
      <c r="BH210" s="300">
        <v>0</v>
      </c>
      <c r="BI210" s="300">
        <v>0</v>
      </c>
      <c r="BJ210" s="300">
        <v>0</v>
      </c>
      <c r="BK210" s="300">
        <v>0</v>
      </c>
      <c r="BL210" s="300">
        <v>0</v>
      </c>
      <c r="BM210" s="300">
        <v>0</v>
      </c>
      <c r="BN210" s="300">
        <v>0</v>
      </c>
      <c r="BO210" s="300">
        <v>0</v>
      </c>
      <c r="BP210" s="300">
        <v>0</v>
      </c>
      <c r="BQ210" s="300">
        <v>0</v>
      </c>
      <c r="BR210" s="300">
        <v>0</v>
      </c>
      <c r="BS210" s="301">
        <v>0</v>
      </c>
      <c r="BT210" s="300">
        <v>0</v>
      </c>
      <c r="BU210" s="300">
        <v>0</v>
      </c>
      <c r="BV210" s="300">
        <v>0</v>
      </c>
      <c r="BW210" s="300">
        <v>0</v>
      </c>
      <c r="BX210" s="300">
        <v>0</v>
      </c>
      <c r="BY210" s="300">
        <v>0</v>
      </c>
      <c r="BZ210" s="300">
        <v>0</v>
      </c>
      <c r="CA210" s="300">
        <v>0</v>
      </c>
      <c r="CB210" s="300">
        <v>0</v>
      </c>
      <c r="CC210" s="300">
        <v>0</v>
      </c>
      <c r="CD210" s="300">
        <v>0</v>
      </c>
      <c r="CE210" s="300">
        <v>0</v>
      </c>
      <c r="CF210" s="300">
        <v>0</v>
      </c>
      <c r="CG210" s="300">
        <v>0</v>
      </c>
      <c r="CH210" s="300">
        <v>0</v>
      </c>
      <c r="CI210" s="300">
        <v>0</v>
      </c>
      <c r="CJ210" s="300">
        <v>0</v>
      </c>
      <c r="CK210" s="300">
        <v>0</v>
      </c>
      <c r="CL210" s="300">
        <v>0</v>
      </c>
      <c r="CM210" s="300">
        <v>0</v>
      </c>
      <c r="CN210" s="300">
        <v>0</v>
      </c>
      <c r="CO210" s="300">
        <v>0</v>
      </c>
      <c r="CP210" s="254">
        <v>39.75</v>
      </c>
      <c r="CQ210" s="254"/>
      <c r="CR210" s="254"/>
      <c r="CS210" s="254"/>
      <c r="CT210" s="254"/>
      <c r="CW210" s="301"/>
      <c r="CX210" s="301"/>
      <c r="CY210" s="301"/>
    </row>
    <row r="211" spans="1:103" x14ac:dyDescent="0.2">
      <c r="A211" s="254">
        <v>40</v>
      </c>
      <c r="B211" s="122">
        <f t="shared" si="23"/>
        <v>4.9648743541081939E-9</v>
      </c>
      <c r="C211" s="122">
        <f t="shared" si="24"/>
        <v>2.9991063090556731E-10</v>
      </c>
      <c r="D211" s="122">
        <f>((0.5*$B$15*0.25*PI()*$B$4^2*A211^3)*C211/(1000))*16/27</f>
        <v>3.0776455596140673E-5</v>
      </c>
      <c r="E211" s="122">
        <f t="shared" si="26"/>
        <v>0</v>
      </c>
      <c r="F211" s="122">
        <f t="shared" si="32"/>
        <v>0</v>
      </c>
      <c r="G211" s="299">
        <f>HLOOKUP('Input &amp; Summary'!$B$6,'AEP Input Output sheet'!$N$50:$CO$211,ROW(G211)-49,0)</f>
        <v>0</v>
      </c>
      <c r="H211" s="122">
        <f t="shared" si="27"/>
        <v>0</v>
      </c>
      <c r="I211" s="247">
        <f>IF(ISERROR(((H211/$B$17)-($B$19+$B$20*(H211/$B$17)+$B$21*(H211/$B$17)^2))/(H211/$B$17)),0,((H211/$B$17)-($B$19+$B$20*(H211/$B$17)+$B$21*(H211/$B$17)^2))/(H211/$B$17))</f>
        <v>0</v>
      </c>
      <c r="J211" s="254">
        <f t="shared" si="29"/>
        <v>77926.117182815331</v>
      </c>
      <c r="K211" s="122">
        <f t="shared" si="30"/>
        <v>12299.961851296972</v>
      </c>
      <c r="L211" s="122">
        <f t="shared" si="33"/>
        <v>1662.9519221382577</v>
      </c>
      <c r="M211" s="122"/>
      <c r="N211" s="254">
        <f t="shared" si="31"/>
        <v>0</v>
      </c>
      <c r="O211">
        <v>0</v>
      </c>
      <c r="P211">
        <v>0</v>
      </c>
      <c r="Q211">
        <v>0</v>
      </c>
      <c r="R211">
        <v>0</v>
      </c>
      <c r="S211">
        <v>0</v>
      </c>
      <c r="T211">
        <v>0</v>
      </c>
      <c r="U211">
        <v>0</v>
      </c>
      <c r="V211">
        <v>0</v>
      </c>
      <c r="W211">
        <v>0</v>
      </c>
      <c r="X211" s="300">
        <v>0</v>
      </c>
      <c r="Y211" s="300">
        <v>0</v>
      </c>
      <c r="Z211" s="300">
        <v>0</v>
      </c>
      <c r="AA211" s="300">
        <v>0</v>
      </c>
      <c r="AB211" s="301">
        <v>0</v>
      </c>
      <c r="AC211" s="300">
        <v>0</v>
      </c>
      <c r="AD211" s="300">
        <v>0</v>
      </c>
      <c r="AE211" s="300">
        <v>0</v>
      </c>
      <c r="AF211" s="300">
        <v>0</v>
      </c>
      <c r="AG211" s="300">
        <v>0</v>
      </c>
      <c r="AH211" s="300">
        <v>0</v>
      </c>
      <c r="AI211" s="300">
        <v>0</v>
      </c>
      <c r="AJ211" s="300">
        <v>0</v>
      </c>
      <c r="AK211" s="300">
        <v>0</v>
      </c>
      <c r="AL211" s="300">
        <v>0</v>
      </c>
      <c r="AM211" s="300">
        <v>0</v>
      </c>
      <c r="AN211" s="300">
        <v>0</v>
      </c>
      <c r="AO211" s="300">
        <v>0</v>
      </c>
      <c r="AP211" s="300">
        <v>0</v>
      </c>
      <c r="AQ211" s="300">
        <v>0</v>
      </c>
      <c r="AR211" s="300">
        <v>0</v>
      </c>
      <c r="AS211" s="300">
        <v>0</v>
      </c>
      <c r="AT211" s="300">
        <v>0</v>
      </c>
      <c r="AU211" s="300">
        <v>0</v>
      </c>
      <c r="AV211" s="300">
        <v>0</v>
      </c>
      <c r="AW211" s="300">
        <v>0</v>
      </c>
      <c r="AX211" s="300">
        <v>0</v>
      </c>
      <c r="AY211" s="300">
        <v>0</v>
      </c>
      <c r="AZ211" s="300">
        <v>0</v>
      </c>
      <c r="BA211" s="300">
        <v>0</v>
      </c>
      <c r="BB211" s="300">
        <v>0</v>
      </c>
      <c r="BC211" s="301">
        <v>0</v>
      </c>
      <c r="BD211" s="300">
        <v>0</v>
      </c>
      <c r="BE211" s="300">
        <v>0</v>
      </c>
      <c r="BF211" s="300">
        <v>0</v>
      </c>
      <c r="BG211" s="300">
        <v>0</v>
      </c>
      <c r="BH211" s="300">
        <v>0</v>
      </c>
      <c r="BI211" s="300">
        <v>0</v>
      </c>
      <c r="BJ211" s="300">
        <v>0</v>
      </c>
      <c r="BK211" s="300">
        <v>0</v>
      </c>
      <c r="BL211" s="300">
        <v>0</v>
      </c>
      <c r="BM211" s="300">
        <v>0</v>
      </c>
      <c r="BN211" s="300">
        <v>0</v>
      </c>
      <c r="BO211" s="300">
        <v>0</v>
      </c>
      <c r="BP211" s="300">
        <v>0</v>
      </c>
      <c r="BQ211" s="300">
        <v>0</v>
      </c>
      <c r="BR211" s="300">
        <v>0</v>
      </c>
      <c r="BS211" s="301">
        <v>0</v>
      </c>
      <c r="BT211" s="300">
        <v>0</v>
      </c>
      <c r="BU211" s="300">
        <v>0</v>
      </c>
      <c r="BV211" s="300">
        <v>0</v>
      </c>
      <c r="BW211" s="300">
        <v>0</v>
      </c>
      <c r="BX211" s="300">
        <v>0</v>
      </c>
      <c r="BY211" s="300">
        <v>0</v>
      </c>
      <c r="BZ211" s="300">
        <v>0</v>
      </c>
      <c r="CA211" s="300">
        <v>0</v>
      </c>
      <c r="CB211" s="300">
        <v>0</v>
      </c>
      <c r="CC211" s="300">
        <v>0</v>
      </c>
      <c r="CD211" s="300">
        <v>0</v>
      </c>
      <c r="CE211" s="300">
        <v>0</v>
      </c>
      <c r="CF211" s="300">
        <v>0</v>
      </c>
      <c r="CG211" s="300">
        <v>0</v>
      </c>
      <c r="CH211" s="300">
        <v>0</v>
      </c>
      <c r="CI211" s="300">
        <v>0</v>
      </c>
      <c r="CJ211" s="300">
        <v>0</v>
      </c>
      <c r="CK211" s="300">
        <v>0</v>
      </c>
      <c r="CL211" s="300">
        <v>0</v>
      </c>
      <c r="CM211" s="300">
        <v>0</v>
      </c>
      <c r="CN211" s="300">
        <v>0</v>
      </c>
      <c r="CO211" s="300">
        <v>0</v>
      </c>
      <c r="CP211" s="254">
        <v>40</v>
      </c>
      <c r="CQ211" s="254"/>
      <c r="CR211" s="254"/>
      <c r="CS211" s="254"/>
      <c r="CT211" s="254"/>
      <c r="CW211" s="301"/>
      <c r="CX211" s="301"/>
      <c r="CY211" s="301"/>
    </row>
    <row r="213" spans="1:103" x14ac:dyDescent="0.2">
      <c r="L213" s="550" t="s">
        <v>600</v>
      </c>
      <c r="M213" s="550"/>
      <c r="N213" s="300">
        <f>'Input &amp; Summary'!B11</f>
        <v>1500</v>
      </c>
      <c r="O213" s="300">
        <v>1500</v>
      </c>
      <c r="P213" s="300">
        <v>3500</v>
      </c>
      <c r="Q213" s="300">
        <v>5000</v>
      </c>
      <c r="R213" s="300">
        <v>1500</v>
      </c>
      <c r="S213" s="300">
        <v>3500</v>
      </c>
      <c r="T213" s="300">
        <v>5000</v>
      </c>
      <c r="U213" s="300">
        <v>1500</v>
      </c>
      <c r="V213" s="300">
        <v>3500</v>
      </c>
      <c r="W213" s="300">
        <v>5000</v>
      </c>
      <c r="X213" s="303">
        <v>1500</v>
      </c>
      <c r="Y213" s="303">
        <v>1500</v>
      </c>
      <c r="Z213" s="257">
        <v>900</v>
      </c>
      <c r="AA213" s="257">
        <v>900</v>
      </c>
      <c r="AB213" s="304">
        <v>5000</v>
      </c>
      <c r="AC213" s="303">
        <v>1300</v>
      </c>
      <c r="AD213" s="257">
        <v>2500</v>
      </c>
      <c r="AE213" s="257">
        <v>2500</v>
      </c>
      <c r="AF213" s="257">
        <v>2500</v>
      </c>
      <c r="AG213" s="257">
        <v>2500</v>
      </c>
      <c r="AH213" s="257">
        <v>2000</v>
      </c>
      <c r="AI213" s="303">
        <v>550</v>
      </c>
      <c r="AJ213" s="303">
        <v>750</v>
      </c>
      <c r="AK213" s="303">
        <v>1500</v>
      </c>
      <c r="AL213" s="303">
        <v>1500</v>
      </c>
      <c r="AM213" s="257">
        <v>2500</v>
      </c>
      <c r="AN213" s="257">
        <v>2500</v>
      </c>
      <c r="AO213" s="257">
        <v>2500</v>
      </c>
      <c r="AP213" s="303">
        <v>800</v>
      </c>
      <c r="AQ213" s="257">
        <v>850</v>
      </c>
      <c r="AR213" s="257">
        <v>2000</v>
      </c>
      <c r="AS213" s="257">
        <v>2000</v>
      </c>
      <c r="AT213" s="257">
        <v>2000</v>
      </c>
      <c r="AU213" s="257">
        <v>1500</v>
      </c>
      <c r="AV213" s="257">
        <v>1500</v>
      </c>
      <c r="AW213" s="257">
        <v>1500</v>
      </c>
      <c r="AX213" s="257">
        <v>2500</v>
      </c>
      <c r="AY213" s="257">
        <v>1000</v>
      </c>
      <c r="AZ213" s="257">
        <v>1000</v>
      </c>
      <c r="BA213" s="303">
        <v>2400</v>
      </c>
      <c r="BB213" s="303">
        <v>2400</v>
      </c>
      <c r="BC213" s="304">
        <v>5000</v>
      </c>
      <c r="BD213" s="303">
        <v>750</v>
      </c>
      <c r="BE213" s="303">
        <v>750</v>
      </c>
      <c r="BF213" s="303">
        <v>900</v>
      </c>
      <c r="BG213" s="303">
        <v>1500</v>
      </c>
      <c r="BH213" s="303">
        <v>1650</v>
      </c>
      <c r="BI213" s="303">
        <v>600</v>
      </c>
      <c r="BJ213" s="303">
        <v>1300</v>
      </c>
      <c r="BK213" s="257">
        <v>2300</v>
      </c>
      <c r="BL213" s="257">
        <v>2500</v>
      </c>
      <c r="BM213" s="303">
        <v>2500</v>
      </c>
      <c r="BN213" s="303">
        <v>2500</v>
      </c>
      <c r="BO213" s="303">
        <v>2500</v>
      </c>
      <c r="BP213" s="257">
        <v>2050</v>
      </c>
      <c r="BQ213" s="257">
        <v>2050</v>
      </c>
      <c r="BR213" s="257">
        <v>3300</v>
      </c>
      <c r="BS213" s="304">
        <v>5000</v>
      </c>
      <c r="BT213" s="257">
        <v>2300</v>
      </c>
      <c r="BU213" s="257">
        <v>3600</v>
      </c>
      <c r="BV213" s="303">
        <v>950</v>
      </c>
      <c r="BW213" s="257">
        <v>1250</v>
      </c>
      <c r="BX213" s="257">
        <v>2100</v>
      </c>
      <c r="BY213" s="257">
        <v>600</v>
      </c>
      <c r="BZ213" s="257">
        <v>1500</v>
      </c>
      <c r="CA213" s="303">
        <v>600</v>
      </c>
      <c r="CB213" s="303">
        <v>600</v>
      </c>
      <c r="CC213" s="303">
        <v>600</v>
      </c>
      <c r="CD213" s="257">
        <v>600</v>
      </c>
      <c r="CE213" s="303">
        <v>660</v>
      </c>
      <c r="CF213" s="257">
        <v>1650</v>
      </c>
      <c r="CG213" s="257">
        <v>1800</v>
      </c>
      <c r="CH213" s="257">
        <v>2000</v>
      </c>
      <c r="CI213" s="257">
        <v>1800</v>
      </c>
      <c r="CJ213" s="257">
        <v>2000</v>
      </c>
      <c r="CK213" s="257">
        <v>3000</v>
      </c>
      <c r="CL213" s="257">
        <v>1800</v>
      </c>
      <c r="CM213" s="257">
        <v>3000</v>
      </c>
      <c r="CN213" s="303">
        <v>850</v>
      </c>
      <c r="CO213" s="303">
        <v>1650</v>
      </c>
    </row>
    <row r="214" spans="1:103" x14ac:dyDescent="0.2">
      <c r="L214" s="550" t="s">
        <v>601</v>
      </c>
      <c r="M214" s="550"/>
      <c r="N214" s="300">
        <f>'Input &amp; Summary'!B12</f>
        <v>75</v>
      </c>
      <c r="O214" s="300">
        <v>74</v>
      </c>
      <c r="P214" s="300">
        <v>112</v>
      </c>
      <c r="Q214" s="300">
        <v>135</v>
      </c>
      <c r="R214" s="300">
        <v>80</v>
      </c>
      <c r="S214" s="300">
        <v>123</v>
      </c>
      <c r="T214" s="300">
        <v>146</v>
      </c>
      <c r="U214" s="300">
        <v>84</v>
      </c>
      <c r="V214" s="300">
        <v>129</v>
      </c>
      <c r="W214" s="300">
        <v>154</v>
      </c>
      <c r="X214" s="303">
        <v>70</v>
      </c>
      <c r="Y214" s="303">
        <v>77</v>
      </c>
      <c r="Z214" s="257">
        <v>52</v>
      </c>
      <c r="AA214" s="257">
        <v>54</v>
      </c>
      <c r="AB214" s="304">
        <v>122</v>
      </c>
      <c r="AC214" s="303">
        <v>62</v>
      </c>
      <c r="AD214" s="257">
        <v>100</v>
      </c>
      <c r="AE214" s="257">
        <v>96</v>
      </c>
      <c r="AF214" s="257">
        <v>93</v>
      </c>
      <c r="AG214" s="257">
        <v>89</v>
      </c>
      <c r="AH214" s="257">
        <v>80</v>
      </c>
      <c r="AI214" s="303">
        <v>40</v>
      </c>
      <c r="AJ214" s="303">
        <v>50</v>
      </c>
      <c r="AK214" s="303">
        <v>70</v>
      </c>
      <c r="AL214" s="303">
        <v>77</v>
      </c>
      <c r="AM214" s="257">
        <v>80</v>
      </c>
      <c r="AN214" s="257">
        <v>90</v>
      </c>
      <c r="AO214" s="257">
        <v>100</v>
      </c>
      <c r="AP214" s="303">
        <v>52</v>
      </c>
      <c r="AQ214" s="257">
        <v>52</v>
      </c>
      <c r="AR214" s="257">
        <v>80</v>
      </c>
      <c r="AS214" s="257">
        <v>87</v>
      </c>
      <c r="AT214" s="257">
        <v>90</v>
      </c>
      <c r="AU214" s="257">
        <v>70</v>
      </c>
      <c r="AV214" s="257">
        <v>77</v>
      </c>
      <c r="AW214" s="257">
        <v>82.5</v>
      </c>
      <c r="AX214" s="257">
        <v>100</v>
      </c>
      <c r="AY214" s="257">
        <v>57</v>
      </c>
      <c r="AZ214" s="257">
        <v>61.4</v>
      </c>
      <c r="BA214" s="303">
        <v>92</v>
      </c>
      <c r="BB214" s="303">
        <v>95</v>
      </c>
      <c r="BC214" s="304">
        <v>116</v>
      </c>
      <c r="BD214" s="303">
        <v>44</v>
      </c>
      <c r="BE214" s="303">
        <v>48</v>
      </c>
      <c r="BF214" s="303">
        <v>52</v>
      </c>
      <c r="BG214" s="303">
        <v>72</v>
      </c>
      <c r="BH214" s="303">
        <v>82</v>
      </c>
      <c r="BI214" s="303">
        <v>43</v>
      </c>
      <c r="BJ214" s="303">
        <v>60</v>
      </c>
      <c r="BK214" s="257">
        <v>90</v>
      </c>
      <c r="BL214" s="257">
        <v>80</v>
      </c>
      <c r="BM214" s="303">
        <v>90</v>
      </c>
      <c r="BN214" s="303">
        <v>90</v>
      </c>
      <c r="BO214" s="303">
        <v>100</v>
      </c>
      <c r="BP214" s="257">
        <v>82</v>
      </c>
      <c r="BQ214" s="257">
        <v>92</v>
      </c>
      <c r="BR214" s="257">
        <v>104</v>
      </c>
      <c r="BS214" s="304">
        <v>126</v>
      </c>
      <c r="BT214" s="257">
        <v>93</v>
      </c>
      <c r="BU214" s="257">
        <v>107</v>
      </c>
      <c r="BV214" s="303">
        <v>64</v>
      </c>
      <c r="BW214" s="257">
        <v>64</v>
      </c>
      <c r="BX214" s="257">
        <v>88</v>
      </c>
      <c r="BY214" s="257">
        <v>52</v>
      </c>
      <c r="BZ214" s="257">
        <v>82</v>
      </c>
      <c r="CA214" s="303">
        <v>46</v>
      </c>
      <c r="CB214" s="303">
        <v>48</v>
      </c>
      <c r="CC214" s="303">
        <v>42</v>
      </c>
      <c r="CD214" s="257">
        <v>44</v>
      </c>
      <c r="CE214" s="303">
        <v>47</v>
      </c>
      <c r="CF214" s="257">
        <v>82</v>
      </c>
      <c r="CG214" s="257">
        <v>80</v>
      </c>
      <c r="CH214" s="257">
        <v>80</v>
      </c>
      <c r="CI214" s="257">
        <v>90</v>
      </c>
      <c r="CJ214" s="257">
        <v>90</v>
      </c>
      <c r="CK214" s="257">
        <v>90</v>
      </c>
      <c r="CL214" s="257">
        <v>100</v>
      </c>
      <c r="CM214" s="257">
        <v>112</v>
      </c>
      <c r="CN214" s="303">
        <v>52</v>
      </c>
      <c r="CO214" s="303">
        <v>66</v>
      </c>
    </row>
    <row r="215" spans="1:103" ht="15" x14ac:dyDescent="0.25">
      <c r="L215" s="550" t="s">
        <v>602</v>
      </c>
      <c r="M215" s="550"/>
      <c r="O215" s="455" t="s">
        <v>619</v>
      </c>
      <c r="P215" s="455" t="s">
        <v>619</v>
      </c>
      <c r="Q215" s="455" t="s">
        <v>619</v>
      </c>
      <c r="R215" s="455" t="s">
        <v>605</v>
      </c>
      <c r="S215" s="455" t="s">
        <v>605</v>
      </c>
      <c r="T215" s="455" t="s">
        <v>605</v>
      </c>
      <c r="U215" s="455" t="s">
        <v>606</v>
      </c>
      <c r="V215" s="455" t="s">
        <v>606</v>
      </c>
      <c r="W215" s="455" t="s">
        <v>606</v>
      </c>
      <c r="X215" t="s">
        <v>603</v>
      </c>
      <c r="Y215" t="s">
        <v>604</v>
      </c>
      <c r="Z215" t="s">
        <v>605</v>
      </c>
      <c r="AA215" t="s">
        <v>606</v>
      </c>
      <c r="AB215" t="s">
        <v>607</v>
      </c>
      <c r="AC215" t="s">
        <v>607</v>
      </c>
      <c r="AD215" t="s">
        <v>608</v>
      </c>
      <c r="AE215" t="s">
        <v>609</v>
      </c>
      <c r="AF215" t="s">
        <v>610</v>
      </c>
      <c r="AG215" t="s">
        <v>611</v>
      </c>
      <c r="AH215" t="s">
        <v>612</v>
      </c>
      <c r="AI215" t="s">
        <v>607</v>
      </c>
      <c r="AJ215" t="s">
        <v>607</v>
      </c>
      <c r="AK215" t="s">
        <v>613</v>
      </c>
      <c r="AL215" t="s">
        <v>613</v>
      </c>
      <c r="AM215" t="s">
        <v>614</v>
      </c>
      <c r="AN215" t="s">
        <v>615</v>
      </c>
      <c r="AO215" t="s">
        <v>616</v>
      </c>
      <c r="AP215" t="s">
        <v>607</v>
      </c>
      <c r="AQ215" t="s">
        <v>614</v>
      </c>
      <c r="AR215" t="s">
        <v>614</v>
      </c>
      <c r="AS215" t="s">
        <v>615</v>
      </c>
      <c r="AT215" t="s">
        <v>616</v>
      </c>
      <c r="AU215" t="s">
        <v>607</v>
      </c>
      <c r="AV215" t="s">
        <v>615</v>
      </c>
      <c r="AW215" t="s">
        <v>617</v>
      </c>
      <c r="AX215" t="s">
        <v>618</v>
      </c>
      <c r="AY215" t="s">
        <v>619</v>
      </c>
      <c r="AZ215" t="s">
        <v>613</v>
      </c>
      <c r="BA215" t="s">
        <v>615</v>
      </c>
      <c r="BB215" t="s">
        <v>615</v>
      </c>
      <c r="BC215" t="s">
        <v>607</v>
      </c>
      <c r="BD215" t="s">
        <v>613</v>
      </c>
      <c r="BE215" t="s">
        <v>613</v>
      </c>
      <c r="BF215" t="s">
        <v>619</v>
      </c>
      <c r="BG215" t="s">
        <v>613</v>
      </c>
      <c r="BH215" t="s">
        <v>606</v>
      </c>
      <c r="BI215" t="s">
        <v>613</v>
      </c>
      <c r="BJ215" t="s">
        <v>614</v>
      </c>
      <c r="BK215" t="s">
        <v>605</v>
      </c>
      <c r="BL215" t="s">
        <v>619</v>
      </c>
      <c r="BM215" t="s">
        <v>614</v>
      </c>
      <c r="BN215" t="s">
        <v>615</v>
      </c>
      <c r="BO215" t="s">
        <v>616</v>
      </c>
      <c r="BP215" t="s">
        <v>614</v>
      </c>
      <c r="BQ215" t="s">
        <v>615</v>
      </c>
      <c r="BR215" t="s">
        <v>615</v>
      </c>
      <c r="BS215" t="s">
        <v>607</v>
      </c>
      <c r="BT215" t="s">
        <v>613</v>
      </c>
      <c r="BU215" t="s">
        <v>613</v>
      </c>
      <c r="BV215" t="s">
        <v>607</v>
      </c>
      <c r="BW215" t="s">
        <v>605</v>
      </c>
      <c r="BX215" t="s">
        <v>615</v>
      </c>
      <c r="BY215" t="s">
        <v>615</v>
      </c>
      <c r="BZ215" t="s">
        <v>616</v>
      </c>
      <c r="CA215" t="s">
        <v>607</v>
      </c>
      <c r="CB215" t="s">
        <v>607</v>
      </c>
      <c r="CC215" s="305" t="s">
        <v>607</v>
      </c>
      <c r="CD215" s="305" t="s">
        <v>607</v>
      </c>
      <c r="CE215" s="305" t="s">
        <v>613</v>
      </c>
      <c r="CF215" s="257" t="s">
        <v>615</v>
      </c>
      <c r="CG215" s="257" t="s">
        <v>619</v>
      </c>
      <c r="CH215" s="257" t="s">
        <v>614</v>
      </c>
      <c r="CI215" s="257" t="s">
        <v>615</v>
      </c>
      <c r="CJ215" s="257" t="s">
        <v>616</v>
      </c>
      <c r="CK215" s="257" t="s">
        <v>620</v>
      </c>
      <c r="CL215" s="257" t="s">
        <v>621</v>
      </c>
      <c r="CM215" s="257" t="s">
        <v>621</v>
      </c>
      <c r="CN215" s="257" t="s">
        <v>612</v>
      </c>
      <c r="CO215" s="305" t="s">
        <v>607</v>
      </c>
    </row>
    <row r="216" spans="1:103" x14ac:dyDescent="0.2">
      <c r="N216" s="254"/>
    </row>
  </sheetData>
  <mergeCells count="3">
    <mergeCell ref="L213:M213"/>
    <mergeCell ref="L214:M214"/>
    <mergeCell ref="L215:M215"/>
  </mergeCells>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3"/>
  </sheetPr>
  <dimension ref="A1:M274"/>
  <sheetViews>
    <sheetView workbookViewId="0">
      <selection activeCell="C10" sqref="C10"/>
    </sheetView>
  </sheetViews>
  <sheetFormatPr defaultRowHeight="12.75" x14ac:dyDescent="0.2"/>
  <cols>
    <col min="1" max="1" width="48.85546875" customWidth="1"/>
    <col min="2" max="2" width="7" customWidth="1"/>
    <col min="3" max="3" width="7.5703125" bestFit="1" customWidth="1"/>
    <col min="4" max="4" width="19" customWidth="1"/>
    <col min="5" max="5" width="12.85546875" customWidth="1"/>
    <col min="8" max="8" width="35.85546875" customWidth="1"/>
    <col min="11" max="11" width="15.85546875" customWidth="1"/>
    <col min="12" max="12" width="14.28515625" customWidth="1"/>
  </cols>
  <sheetData>
    <row r="1" spans="1:13" x14ac:dyDescent="0.2">
      <c r="A1" s="16" t="str">
        <f>'Input &amp; Summary'!A1</f>
        <v>Based on Combined Land Based-Offshore Turbine Cost Model. v2.01.04</v>
      </c>
      <c r="B1" s="16"/>
      <c r="C1" s="16"/>
    </row>
    <row r="2" spans="1:13" x14ac:dyDescent="0.2">
      <c r="A2" s="17"/>
      <c r="B2" s="17"/>
      <c r="C2" s="17"/>
    </row>
    <row r="5" spans="1:13" x14ac:dyDescent="0.2">
      <c r="A5" s="16" t="s">
        <v>622</v>
      </c>
      <c r="B5" s="16"/>
      <c r="C5" s="16"/>
      <c r="D5" s="16"/>
      <c r="E5" s="16"/>
      <c r="F5" s="16"/>
    </row>
    <row r="7" spans="1:13" x14ac:dyDescent="0.2">
      <c r="A7" s="27" t="s">
        <v>62</v>
      </c>
      <c r="B7" s="27" t="s">
        <v>623</v>
      </c>
      <c r="C7" s="27" t="s">
        <v>624</v>
      </c>
      <c r="D7" s="27" t="s">
        <v>625</v>
      </c>
      <c r="E7" s="27" t="s">
        <v>626</v>
      </c>
      <c r="F7" s="27" t="s">
        <v>627</v>
      </c>
      <c r="H7" s="27" t="s">
        <v>62</v>
      </c>
      <c r="I7" s="27" t="s">
        <v>623</v>
      </c>
      <c r="J7" s="27" t="s">
        <v>624</v>
      </c>
      <c r="K7" s="27" t="s">
        <v>625</v>
      </c>
      <c r="L7" s="27" t="s">
        <v>626</v>
      </c>
      <c r="M7" s="27" t="s">
        <v>627</v>
      </c>
    </row>
    <row r="8" spans="1:13" ht="13.5" thickBot="1" x14ac:dyDescent="0.25">
      <c r="L8" s="254"/>
    </row>
    <row r="9" spans="1:13" ht="13.5" thickTop="1" x14ac:dyDescent="0.2">
      <c r="A9" s="306" t="s">
        <v>628</v>
      </c>
      <c r="B9" s="307"/>
      <c r="C9" s="308">
        <v>2002</v>
      </c>
      <c r="D9" s="309">
        <f>HLOOKUP(C9,'PPI Look Up Table'!$B$7:$G$9,3)</f>
        <v>1.0289999999999999</v>
      </c>
      <c r="E9" s="309"/>
      <c r="F9" s="310"/>
    </row>
    <row r="10" spans="1:13" x14ac:dyDescent="0.2">
      <c r="A10" s="311"/>
      <c r="B10" s="312"/>
      <c r="C10" s="313">
        <f>'Input &amp; Summary'!$F$7</f>
        <v>2009</v>
      </c>
      <c r="D10" s="82">
        <f>HLOOKUP(C10,'PPI Look Up Table'!$B$7:$L$9,3)</f>
        <v>1.1289999999999998</v>
      </c>
      <c r="E10" s="82"/>
      <c r="F10" s="314"/>
    </row>
    <row r="11" spans="1:13" x14ac:dyDescent="0.2">
      <c r="A11" s="315"/>
      <c r="B11" s="276"/>
      <c r="C11" s="276"/>
      <c r="D11" s="82"/>
      <c r="E11" s="82"/>
      <c r="F11" s="314"/>
    </row>
    <row r="12" spans="1:13" ht="13.5" thickBot="1" x14ac:dyDescent="0.25">
      <c r="A12" s="316" t="s">
        <v>629</v>
      </c>
      <c r="B12" s="317"/>
      <c r="C12" s="317"/>
      <c r="D12" s="318">
        <f>D10/D9</f>
        <v>1.097181729834791</v>
      </c>
      <c r="E12" s="319"/>
      <c r="F12" s="320"/>
    </row>
    <row r="13" spans="1:13" ht="14.25" thickTop="1" thickBot="1" x14ac:dyDescent="0.25">
      <c r="A13" s="321"/>
      <c r="B13" s="321"/>
      <c r="C13" s="321"/>
      <c r="D13" s="322"/>
      <c r="E13" s="322"/>
      <c r="F13" s="323"/>
    </row>
    <row r="14" spans="1:13" ht="13.5" thickTop="1" x14ac:dyDescent="0.2">
      <c r="A14" s="324" t="s">
        <v>630</v>
      </c>
      <c r="B14" s="325"/>
      <c r="C14" s="325"/>
      <c r="D14" s="309"/>
      <c r="E14" s="309"/>
      <c r="F14" s="326"/>
      <c r="H14" s="324" t="s">
        <v>631</v>
      </c>
      <c r="I14" s="325"/>
      <c r="J14" s="325"/>
      <c r="K14" s="309"/>
      <c r="L14" s="309"/>
      <c r="M14" s="326"/>
    </row>
    <row r="15" spans="1:13" x14ac:dyDescent="0.2">
      <c r="A15" s="327" t="s">
        <v>632</v>
      </c>
      <c r="B15" s="136"/>
      <c r="C15" s="136"/>
      <c r="D15" s="82"/>
      <c r="E15" s="136"/>
      <c r="F15" s="328"/>
      <c r="H15" s="327" t="s">
        <v>633</v>
      </c>
      <c r="I15" s="136"/>
      <c r="J15" s="136"/>
      <c r="K15" s="82"/>
      <c r="L15" s="136"/>
      <c r="M15" s="328"/>
    </row>
    <row r="16" spans="1:13" x14ac:dyDescent="0.2">
      <c r="A16" s="329" t="s">
        <v>634</v>
      </c>
      <c r="B16" s="139"/>
      <c r="C16" s="139"/>
      <c r="D16" s="82"/>
      <c r="E16" s="82"/>
      <c r="F16" s="314">
        <v>0.6</v>
      </c>
      <c r="H16" s="329" t="s">
        <v>634</v>
      </c>
      <c r="I16" s="139"/>
      <c r="J16" s="139"/>
      <c r="K16" s="82"/>
      <c r="L16" s="82"/>
      <c r="M16" s="314">
        <v>0.61</v>
      </c>
    </row>
    <row r="17" spans="1:13" x14ac:dyDescent="0.2">
      <c r="A17" s="315" t="s">
        <v>635</v>
      </c>
      <c r="B17" s="276">
        <v>9</v>
      </c>
      <c r="C17" s="276">
        <v>2002</v>
      </c>
      <c r="D17" s="82">
        <f>INDEX('PPI Look Up Table'!B15:M27,C17-1999,B17)</f>
        <v>101.7</v>
      </c>
      <c r="E17" s="82">
        <v>327123</v>
      </c>
      <c r="F17" s="314"/>
      <c r="H17" s="315" t="s">
        <v>635</v>
      </c>
      <c r="I17" s="276">
        <v>9</v>
      </c>
      <c r="J17" s="276">
        <v>2003</v>
      </c>
      <c r="K17" s="82">
        <f>(HLOOKUP(I17,'PPI Look Up Table'!$A$14:$P$27,VLOOKUP(J17,'PPI Look Up Table'!$A$14:$P$27,15)))</f>
        <v>95.2</v>
      </c>
      <c r="L17" s="82">
        <v>327123</v>
      </c>
      <c r="M17" s="314"/>
    </row>
    <row r="18" spans="1:13" x14ac:dyDescent="0.2">
      <c r="A18" s="315" t="s">
        <v>636</v>
      </c>
      <c r="B18" s="276">
        <f>'Input &amp; Summary'!$F$6</f>
        <v>13</v>
      </c>
      <c r="C18" s="313">
        <f>'Input &amp; Summary'!$F$7</f>
        <v>2009</v>
      </c>
      <c r="D18" s="82">
        <f>INDEX('PPI Look Up Table'!B15:N27,C18-1999,B18)</f>
        <v>86.3</v>
      </c>
      <c r="E18" s="82">
        <v>327123</v>
      </c>
      <c r="F18" s="314"/>
      <c r="H18" s="315" t="s">
        <v>636</v>
      </c>
      <c r="I18" s="276">
        <f>'Input &amp; Summary'!$F$6</f>
        <v>13</v>
      </c>
      <c r="J18" s="313">
        <f>'Input &amp; Summary'!$F$7</f>
        <v>2009</v>
      </c>
      <c r="K18" s="82">
        <f>(HLOOKUP(I18,'PPI Look Up Table'!$A$14:$P$27,VLOOKUP(J18,'PPI Look Up Table'!$A$14:$P$27,15)))</f>
        <v>86.3</v>
      </c>
      <c r="L18" s="82">
        <v>327123</v>
      </c>
      <c r="M18" s="314"/>
    </row>
    <row r="19" spans="1:13" x14ac:dyDescent="0.2">
      <c r="A19" s="330" t="s">
        <v>637</v>
      </c>
      <c r="B19" s="331"/>
      <c r="C19" s="331"/>
      <c r="D19" s="82"/>
      <c r="E19" s="82"/>
      <c r="F19" s="314">
        <v>0.23</v>
      </c>
      <c r="H19" s="330" t="s">
        <v>637</v>
      </c>
      <c r="I19" s="331"/>
      <c r="J19" s="331"/>
      <c r="K19" s="82"/>
      <c r="L19" s="82"/>
      <c r="M19" s="314">
        <v>0.27</v>
      </c>
    </row>
    <row r="20" spans="1:13" x14ac:dyDescent="0.2">
      <c r="A20" s="315" t="s">
        <v>635</v>
      </c>
      <c r="B20" s="276">
        <v>9</v>
      </c>
      <c r="C20" s="276">
        <v>2002</v>
      </c>
      <c r="D20" s="82">
        <f>INDEX('PPI Look Up Table'!B32:M44,C20-1999,B20)</f>
        <v>162.1</v>
      </c>
      <c r="E20" s="82">
        <v>3255044</v>
      </c>
      <c r="F20" s="314"/>
      <c r="H20" s="315" t="s">
        <v>635</v>
      </c>
      <c r="I20" s="276">
        <v>9</v>
      </c>
      <c r="J20" s="276">
        <v>2003</v>
      </c>
      <c r="K20" s="82">
        <f>(HLOOKUP(I20,'PPI Look Up Table'!$A$31:$P$44,VLOOKUP(J20,'PPI Look Up Table'!$A$31:$P$44,15)))</f>
        <v>165.9</v>
      </c>
      <c r="L20" s="82">
        <v>3255044</v>
      </c>
      <c r="M20" s="314"/>
    </row>
    <row r="21" spans="1:13" x14ac:dyDescent="0.2">
      <c r="A21" s="315" t="s">
        <v>636</v>
      </c>
      <c r="B21" s="276">
        <f>'Input &amp; Summary'!$F$6</f>
        <v>13</v>
      </c>
      <c r="C21" s="313">
        <f>'Input &amp; Summary'!$F$7</f>
        <v>2009</v>
      </c>
      <c r="D21" s="82">
        <f>INDEX('PPI Look Up Table'!B32:N44,C21-1999,B21)</f>
        <v>229.9</v>
      </c>
      <c r="E21" s="82">
        <v>3255044</v>
      </c>
      <c r="F21" s="314"/>
      <c r="H21" s="315" t="s">
        <v>636</v>
      </c>
      <c r="I21" s="276">
        <f>'Input &amp; Summary'!$F$6</f>
        <v>13</v>
      </c>
      <c r="J21" s="313">
        <f>'Input &amp; Summary'!$F$7</f>
        <v>2009</v>
      </c>
      <c r="K21" s="82">
        <f>(HLOOKUP(I21,'PPI Look Up Table'!$A$31:$P$44,VLOOKUP(J21,'PPI Look Up Table'!$A$31:$P$44,15)))</f>
        <v>229.9</v>
      </c>
      <c r="L21" s="82">
        <v>3255044</v>
      </c>
      <c r="M21" s="314"/>
    </row>
    <row r="22" spans="1:13" x14ac:dyDescent="0.2">
      <c r="A22" s="315"/>
      <c r="B22" s="276"/>
      <c r="C22" s="276"/>
      <c r="D22" s="82"/>
      <c r="E22" s="82"/>
      <c r="F22" s="314"/>
      <c r="H22" s="315"/>
      <c r="I22" s="276"/>
      <c r="J22" s="276"/>
      <c r="K22" s="82"/>
      <c r="L22" s="82"/>
      <c r="M22" s="314"/>
    </row>
    <row r="23" spans="1:13" x14ac:dyDescent="0.2">
      <c r="A23" s="330" t="s">
        <v>638</v>
      </c>
      <c r="B23" s="331"/>
      <c r="C23" s="331"/>
      <c r="D23" s="82"/>
      <c r="E23" s="82"/>
      <c r="F23" s="314">
        <v>0.08</v>
      </c>
      <c r="H23" s="330" t="s">
        <v>638</v>
      </c>
      <c r="I23" s="331"/>
      <c r="J23" s="331"/>
      <c r="K23" s="82"/>
      <c r="L23" s="82"/>
      <c r="M23" s="314">
        <v>0.03</v>
      </c>
    </row>
    <row r="24" spans="1:13" x14ac:dyDescent="0.2">
      <c r="A24" s="315" t="s">
        <v>635</v>
      </c>
      <c r="B24" s="276">
        <v>9</v>
      </c>
      <c r="C24" s="276">
        <v>2002</v>
      </c>
      <c r="D24" s="82">
        <f>INDEX('PPI Look Up Table'!B340:N352,C24-1999,B24)</f>
        <v>98.6</v>
      </c>
      <c r="E24" s="82">
        <v>332722489</v>
      </c>
      <c r="F24" s="314"/>
      <c r="H24" s="315" t="s">
        <v>635</v>
      </c>
      <c r="I24" s="276">
        <v>9</v>
      </c>
      <c r="J24" s="276">
        <v>2003</v>
      </c>
      <c r="K24" s="82">
        <f>(HLOOKUP(I24,'PPI Look Up Table'!$A$339:$P$352,VLOOKUP(J24,'PPI Look Up Table'!$A$339:$P$352,15)))</f>
        <v>98.6</v>
      </c>
      <c r="L24" s="82">
        <v>332722489</v>
      </c>
      <c r="M24" s="314"/>
    </row>
    <row r="25" spans="1:13" x14ac:dyDescent="0.2">
      <c r="A25" s="315" t="s">
        <v>636</v>
      </c>
      <c r="B25" s="276">
        <f>'Input &amp; Summary'!$F$6</f>
        <v>13</v>
      </c>
      <c r="C25" s="313">
        <f>'Input &amp; Summary'!$F$7</f>
        <v>2009</v>
      </c>
      <c r="D25" s="82">
        <f>INDEX('PPI Look Up Table'!B340:N352,C25-1999,B25)</f>
        <v>106.5</v>
      </c>
      <c r="E25" s="82">
        <v>332722489</v>
      </c>
      <c r="F25" s="314"/>
      <c r="H25" s="315" t="s">
        <v>636</v>
      </c>
      <c r="I25" s="276">
        <f>'Input &amp; Summary'!$F$6</f>
        <v>13</v>
      </c>
      <c r="J25" s="313">
        <f>'Input &amp; Summary'!$F$7</f>
        <v>2009</v>
      </c>
      <c r="K25" s="82">
        <f>(HLOOKUP(I25,'PPI Look Up Table'!$A$339:$P$352,VLOOKUP(J25,'PPI Look Up Table'!$A$339:$P$352,15)))</f>
        <v>106.5</v>
      </c>
      <c r="L25" s="82">
        <v>332722489</v>
      </c>
      <c r="M25" s="314"/>
    </row>
    <row r="26" spans="1:13" x14ac:dyDescent="0.2">
      <c r="A26" s="315"/>
      <c r="B26" s="276"/>
      <c r="C26" s="276"/>
      <c r="D26" s="82"/>
      <c r="E26" s="82"/>
      <c r="F26" s="314"/>
      <c r="H26" s="315"/>
      <c r="I26" s="276"/>
      <c r="J26" s="276"/>
      <c r="K26" s="82"/>
      <c r="L26" s="82"/>
      <c r="M26" s="314"/>
    </row>
    <row r="27" spans="1:13" x14ac:dyDescent="0.2">
      <c r="A27" s="332" t="s">
        <v>639</v>
      </c>
      <c r="B27" s="331"/>
      <c r="C27" s="331"/>
      <c r="D27" s="82"/>
      <c r="E27" s="82"/>
      <c r="F27" s="314">
        <v>0.09</v>
      </c>
      <c r="H27" s="332" t="s">
        <v>639</v>
      </c>
      <c r="I27" s="331"/>
      <c r="J27" s="331"/>
      <c r="K27" s="82"/>
      <c r="L27" s="82"/>
      <c r="M27" s="314">
        <v>0.09</v>
      </c>
    </row>
    <row r="28" spans="1:13" x14ac:dyDescent="0.2">
      <c r="A28" s="315" t="s">
        <v>635</v>
      </c>
      <c r="B28" s="276">
        <v>9</v>
      </c>
      <c r="C28" s="276">
        <v>2002</v>
      </c>
      <c r="D28" s="82">
        <f>INDEX('PPI Look Up Table'!B357:M369,C28-1999,B28)</f>
        <v>98</v>
      </c>
      <c r="E28" s="333" t="s">
        <v>640</v>
      </c>
      <c r="F28" s="314"/>
      <c r="H28" s="315" t="s">
        <v>641</v>
      </c>
      <c r="I28" s="276">
        <v>9</v>
      </c>
      <c r="J28" s="276">
        <v>2002</v>
      </c>
      <c r="K28" s="82">
        <f>(HLOOKUP(I28,'PPI Look Up Table'!$A$356:$P$369,VLOOKUP(J28,'PPI Look Up Table'!$A$356:$P$369,15)))</f>
        <v>98</v>
      </c>
      <c r="L28" s="333" t="s">
        <v>640</v>
      </c>
      <c r="M28" s="314"/>
    </row>
    <row r="29" spans="1:13" x14ac:dyDescent="0.2">
      <c r="A29" s="315" t="s">
        <v>636</v>
      </c>
      <c r="B29" s="276">
        <f>'Input &amp; Summary'!$F$6</f>
        <v>13</v>
      </c>
      <c r="C29" s="313">
        <f>'Input &amp; Summary'!$F$7</f>
        <v>2009</v>
      </c>
      <c r="D29" s="82">
        <f>INDEX('PPI Look Up Table'!B357:N369,C29-1999,B29)</f>
        <v>141.1</v>
      </c>
      <c r="E29" s="333" t="s">
        <v>640</v>
      </c>
      <c r="F29" s="314"/>
      <c r="H29" s="315"/>
      <c r="I29" s="276">
        <f>'Input &amp; Summary'!$F$6</f>
        <v>13</v>
      </c>
      <c r="J29" s="313">
        <f>'Input &amp; Summary'!$F$7</f>
        <v>2009</v>
      </c>
      <c r="K29" s="82">
        <f>(HLOOKUP(I29,'PPI Look Up Table'!$A$356:$P$369,VLOOKUP(J29,'PPI Look Up Table'!$A$356:$P$369,15)))</f>
        <v>141.1</v>
      </c>
      <c r="L29" s="333" t="s">
        <v>640</v>
      </c>
      <c r="M29" s="314"/>
    </row>
    <row r="30" spans="1:13" x14ac:dyDescent="0.2">
      <c r="A30" s="315"/>
      <c r="B30" s="276"/>
      <c r="C30" s="276"/>
      <c r="D30" s="82"/>
      <c r="E30" s="82"/>
      <c r="F30" s="314"/>
      <c r="H30" s="315"/>
      <c r="I30" s="276"/>
      <c r="J30" s="276"/>
      <c r="K30" s="82"/>
      <c r="L30" s="82"/>
      <c r="M30" s="314"/>
    </row>
    <row r="31" spans="1:13" ht="13.5" thickBot="1" x14ac:dyDescent="0.25">
      <c r="A31" s="316" t="s">
        <v>642</v>
      </c>
      <c r="B31" s="317"/>
      <c r="C31" s="317"/>
      <c r="D31" s="318">
        <f>(D18/D17)*F16+(D21/D20)*F19+(D25/D24)*F23 + (D29/D28)*F27</f>
        <v>1.0513357883536096</v>
      </c>
      <c r="E31" s="319"/>
      <c r="F31" s="320"/>
      <c r="H31" s="316" t="s">
        <v>642</v>
      </c>
      <c r="I31" s="317"/>
      <c r="J31" s="317"/>
      <c r="K31" s="318">
        <f>(K18/K17)*M16+(K21/K20)*M19+(K25/K24)*M23 + (K29/K28)*M27</f>
        <v>1.0891171048515433</v>
      </c>
      <c r="L31" s="319"/>
      <c r="M31" s="320"/>
    </row>
    <row r="32" spans="1:13" ht="14.25" thickTop="1" thickBot="1" x14ac:dyDescent="0.25">
      <c r="A32" s="123"/>
      <c r="B32" s="123"/>
      <c r="C32" s="123"/>
      <c r="F32" s="334"/>
    </row>
    <row r="33" spans="1:6" ht="13.5" thickTop="1" x14ac:dyDescent="0.2">
      <c r="A33" s="324" t="s">
        <v>643</v>
      </c>
      <c r="B33" s="325"/>
      <c r="C33" s="325"/>
      <c r="D33" s="309"/>
      <c r="E33" s="309"/>
      <c r="F33" s="310"/>
    </row>
    <row r="34" spans="1:6" x14ac:dyDescent="0.2">
      <c r="A34" s="329" t="s">
        <v>644</v>
      </c>
      <c r="B34" s="139"/>
      <c r="C34" s="139"/>
      <c r="D34" s="82"/>
      <c r="E34" s="82">
        <v>3315113</v>
      </c>
      <c r="F34" s="314"/>
    </row>
    <row r="35" spans="1:6" x14ac:dyDescent="0.2">
      <c r="A35" s="315" t="s">
        <v>635</v>
      </c>
      <c r="B35" s="276">
        <v>9</v>
      </c>
      <c r="C35" s="276">
        <v>2002</v>
      </c>
      <c r="D35" s="82">
        <f>INDEX('PPI Look Up Table'!B49:M61,C35-1999,B35)</f>
        <v>113.1</v>
      </c>
      <c r="E35" s="82"/>
      <c r="F35" s="314"/>
    </row>
    <row r="36" spans="1:6" x14ac:dyDescent="0.2">
      <c r="A36" s="315" t="s">
        <v>636</v>
      </c>
      <c r="B36" s="276">
        <f>'Input &amp; Summary'!F6</f>
        <v>13</v>
      </c>
      <c r="C36" s="313">
        <f>'Input &amp; Summary'!F7</f>
        <v>2009</v>
      </c>
      <c r="D36" s="82">
        <f>INDEX('PPI Look Up Table'!B49:N61,C36-1999,B36)</f>
        <v>146.30000000000001</v>
      </c>
      <c r="E36" s="82"/>
      <c r="F36" s="314"/>
    </row>
    <row r="37" spans="1:6" ht="13.5" thickBot="1" x14ac:dyDescent="0.25">
      <c r="A37" s="316" t="s">
        <v>629</v>
      </c>
      <c r="B37" s="317"/>
      <c r="C37" s="317"/>
      <c r="D37" s="318">
        <f>D36/D35</f>
        <v>1.2935455349248455</v>
      </c>
      <c r="E37" s="319"/>
      <c r="F37" s="320"/>
    </row>
    <row r="38" spans="1:6" ht="14.25" thickTop="1" thickBot="1" x14ac:dyDescent="0.25">
      <c r="A38" s="335"/>
      <c r="B38" s="335"/>
      <c r="C38" s="335"/>
      <c r="D38" s="336"/>
      <c r="E38" s="336"/>
      <c r="F38" s="337"/>
    </row>
    <row r="39" spans="1:6" ht="13.5" thickTop="1" x14ac:dyDescent="0.2">
      <c r="A39" s="324" t="s">
        <v>645</v>
      </c>
      <c r="B39" s="325"/>
      <c r="C39" s="325"/>
      <c r="D39" s="309"/>
      <c r="E39" s="309"/>
      <c r="F39" s="310"/>
    </row>
    <row r="40" spans="1:6" x14ac:dyDescent="0.2">
      <c r="A40" s="311" t="s">
        <v>646</v>
      </c>
      <c r="B40" s="312"/>
      <c r="C40" s="312"/>
      <c r="D40" s="82"/>
      <c r="E40" s="82" t="s">
        <v>647</v>
      </c>
      <c r="F40" s="314">
        <v>0.5</v>
      </c>
    </row>
    <row r="41" spans="1:6" x14ac:dyDescent="0.2">
      <c r="A41" s="315" t="s">
        <v>635</v>
      </c>
      <c r="B41" s="276">
        <v>9</v>
      </c>
      <c r="C41" s="276">
        <v>2002</v>
      </c>
      <c r="D41" s="82">
        <f>INDEX('PPI Look Up Table'!B66:M78,C41-1999,B41)</f>
        <v>169.2</v>
      </c>
      <c r="E41" s="82"/>
      <c r="F41" s="314"/>
    </row>
    <row r="42" spans="1:6" x14ac:dyDescent="0.2">
      <c r="A42" s="315" t="s">
        <v>636</v>
      </c>
      <c r="B42" s="276">
        <f>'Input &amp; Summary'!$F$6</f>
        <v>13</v>
      </c>
      <c r="C42" s="313">
        <f>'Input &amp; Summary'!$F$7</f>
        <v>2009</v>
      </c>
      <c r="D42" s="82">
        <f>INDEX('PPI Look Up Table'!B66:N78,C42-1999,B42)</f>
        <v>222.8</v>
      </c>
      <c r="E42" s="82"/>
      <c r="F42" s="314"/>
    </row>
    <row r="43" spans="1:6" x14ac:dyDescent="0.2">
      <c r="A43" s="311" t="s">
        <v>648</v>
      </c>
      <c r="B43" s="312"/>
      <c r="C43" s="312"/>
      <c r="D43" s="82"/>
      <c r="E43" s="82">
        <v>3353123</v>
      </c>
      <c r="F43" s="314">
        <v>0.2</v>
      </c>
    </row>
    <row r="44" spans="1:6" x14ac:dyDescent="0.2">
      <c r="A44" s="315" t="s">
        <v>635</v>
      </c>
      <c r="B44" s="276">
        <v>9</v>
      </c>
      <c r="C44" s="276">
        <v>2002</v>
      </c>
      <c r="D44" s="82">
        <f>INDEX('PPI Look Up Table'!B83:M95,C44-1999,B44)</f>
        <v>149.6</v>
      </c>
      <c r="E44" s="82"/>
      <c r="F44" s="314"/>
    </row>
    <row r="45" spans="1:6" x14ac:dyDescent="0.2">
      <c r="A45" s="315" t="s">
        <v>636</v>
      </c>
      <c r="B45" s="276">
        <f>'Input &amp; Summary'!$F$6</f>
        <v>13</v>
      </c>
      <c r="C45" s="313">
        <f>'Input &amp; Summary'!$F$7</f>
        <v>2009</v>
      </c>
      <c r="D45" s="82">
        <f>INDEX('PPI Look Up Table'!B83:N95,C45-1999,B45)</f>
        <v>210.1</v>
      </c>
      <c r="E45" s="82"/>
      <c r="F45" s="314"/>
    </row>
    <row r="46" spans="1:6" x14ac:dyDescent="0.2">
      <c r="A46" s="311" t="s">
        <v>649</v>
      </c>
      <c r="B46" s="312"/>
      <c r="C46" s="312"/>
      <c r="D46" s="82"/>
      <c r="E46" s="82" t="s">
        <v>650</v>
      </c>
      <c r="F46" s="314">
        <v>0.2</v>
      </c>
    </row>
    <row r="47" spans="1:6" x14ac:dyDescent="0.2">
      <c r="A47" s="315" t="s">
        <v>635</v>
      </c>
      <c r="B47" s="276">
        <v>9</v>
      </c>
      <c r="C47" s="276">
        <v>2002</v>
      </c>
      <c r="D47" s="82">
        <f>INDEX('PPI Look Up Table'!B100:M112,C47-1999,B47)</f>
        <v>165.2</v>
      </c>
      <c r="E47" s="82"/>
      <c r="F47" s="314"/>
    </row>
    <row r="48" spans="1:6" x14ac:dyDescent="0.2">
      <c r="A48" s="315" t="s">
        <v>636</v>
      </c>
      <c r="B48" s="276">
        <f>'Input &amp; Summary'!$F$6</f>
        <v>13</v>
      </c>
      <c r="C48" s="313">
        <f>'Input &amp; Summary'!$F$7</f>
        <v>2009</v>
      </c>
      <c r="D48" s="82">
        <f>INDEX('PPI Look Up Table'!B100:N112,C48-1999,B48)</f>
        <v>223.1</v>
      </c>
      <c r="E48" s="82"/>
      <c r="F48" s="314"/>
    </row>
    <row r="49" spans="1:6" x14ac:dyDescent="0.2">
      <c r="A49" s="311" t="s">
        <v>651</v>
      </c>
      <c r="B49" s="312"/>
      <c r="C49" s="312"/>
      <c r="D49" s="82"/>
      <c r="E49" s="82">
        <v>334513</v>
      </c>
      <c r="F49" s="314">
        <v>0.1</v>
      </c>
    </row>
    <row r="50" spans="1:6" x14ac:dyDescent="0.2">
      <c r="A50" s="315" t="s">
        <v>635</v>
      </c>
      <c r="B50" s="276">
        <v>9</v>
      </c>
      <c r="C50" s="276">
        <v>2002</v>
      </c>
      <c r="D50" s="82">
        <f>INDEX('PPI Look Up Table'!B117:M129,C50-1999,B50)</f>
        <v>157.1</v>
      </c>
      <c r="E50" s="82"/>
      <c r="F50" s="314"/>
    </row>
    <row r="51" spans="1:6" x14ac:dyDescent="0.2">
      <c r="A51" s="315" t="s">
        <v>636</v>
      </c>
      <c r="B51" s="276">
        <f>'Input &amp; Summary'!$F$6</f>
        <v>13</v>
      </c>
      <c r="C51" s="313">
        <f>'Input &amp; Summary'!$F$7</f>
        <v>2009</v>
      </c>
      <c r="D51" s="82">
        <f>INDEX('PPI Look Up Table'!B117:N129,C51-1999,B51)</f>
        <v>192.2</v>
      </c>
      <c r="E51" s="82"/>
      <c r="F51" s="314"/>
    </row>
    <row r="52" spans="1:6" ht="13.5" thickBot="1" x14ac:dyDescent="0.25">
      <c r="A52" s="316" t="s">
        <v>629</v>
      </c>
      <c r="B52" s="317"/>
      <c r="C52" s="317"/>
      <c r="D52" s="318">
        <f>(D42/D41)*F40+(D45/D44)*F43+(D48/D47)*F46+(D51/D50)*F49</f>
        <v>1.331714097263335</v>
      </c>
      <c r="E52" s="319"/>
      <c r="F52" s="320"/>
    </row>
    <row r="53" spans="1:6" ht="14.25" thickTop="1" thickBot="1" x14ac:dyDescent="0.25">
      <c r="A53" s="335"/>
      <c r="B53" s="335"/>
      <c r="C53" s="335"/>
      <c r="D53" s="336"/>
      <c r="E53" s="336"/>
      <c r="F53" s="337"/>
    </row>
    <row r="54" spans="1:6" ht="13.5" thickTop="1" x14ac:dyDescent="0.2">
      <c r="A54" s="306" t="s">
        <v>652</v>
      </c>
      <c r="B54" s="338"/>
      <c r="C54" s="338"/>
      <c r="D54" s="309"/>
      <c r="E54" s="309"/>
      <c r="F54" s="310"/>
    </row>
    <row r="55" spans="1:6" x14ac:dyDescent="0.2">
      <c r="A55" s="332" t="s">
        <v>653</v>
      </c>
      <c r="B55" s="339"/>
      <c r="C55" s="339"/>
      <c r="D55" s="82"/>
      <c r="E55" s="82">
        <v>3315131</v>
      </c>
      <c r="F55" s="314"/>
    </row>
    <row r="56" spans="1:6" x14ac:dyDescent="0.2">
      <c r="A56" s="315" t="s">
        <v>635</v>
      </c>
      <c r="B56" s="276">
        <v>9</v>
      </c>
      <c r="C56" s="276">
        <v>2002</v>
      </c>
      <c r="D56" s="82">
        <f>INDEX('PPI Look Up Table'!B134:M146,C56-1999,B56)</f>
        <v>142.9</v>
      </c>
      <c r="E56" s="82"/>
      <c r="F56" s="314"/>
    </row>
    <row r="57" spans="1:6" x14ac:dyDescent="0.2">
      <c r="A57" s="315" t="s">
        <v>636</v>
      </c>
      <c r="B57" s="276">
        <f>'Input &amp; Summary'!$F$6</f>
        <v>13</v>
      </c>
      <c r="C57" s="313">
        <f>'Input &amp; Summary'!$F$7</f>
        <v>2009</v>
      </c>
      <c r="D57" s="82">
        <f>INDEX('PPI Look Up Table'!B134:N146,C57-1999,B57)</f>
        <v>221</v>
      </c>
      <c r="E57" s="82"/>
      <c r="F57" s="314"/>
    </row>
    <row r="58" spans="1:6" ht="13.5" thickBot="1" x14ac:dyDescent="0.25">
      <c r="A58" s="316" t="s">
        <v>629</v>
      </c>
      <c r="B58" s="317"/>
      <c r="C58" s="317"/>
      <c r="D58" s="318">
        <f>D57/D56</f>
        <v>1.5465360391882434</v>
      </c>
      <c r="E58" s="319"/>
      <c r="F58" s="320"/>
    </row>
    <row r="59" spans="1:6" ht="14.25" thickTop="1" thickBot="1" x14ac:dyDescent="0.25">
      <c r="A59" s="335"/>
      <c r="B59" s="335"/>
      <c r="C59" s="335"/>
      <c r="D59" s="336"/>
      <c r="E59" s="336"/>
      <c r="F59" s="337"/>
    </row>
    <row r="60" spans="1:6" ht="13.5" thickTop="1" x14ac:dyDescent="0.2">
      <c r="A60" s="306" t="s">
        <v>646</v>
      </c>
      <c r="B60" s="338"/>
      <c r="C60" s="338"/>
      <c r="D60" s="309"/>
      <c r="E60" s="309"/>
      <c r="F60" s="310"/>
    </row>
    <row r="61" spans="1:6" x14ac:dyDescent="0.2">
      <c r="A61" s="311" t="s">
        <v>646</v>
      </c>
      <c r="B61" s="312"/>
      <c r="C61" s="312"/>
      <c r="D61" s="82"/>
      <c r="E61" s="82" t="s">
        <v>647</v>
      </c>
      <c r="F61" s="314"/>
    </row>
    <row r="62" spans="1:6" x14ac:dyDescent="0.2">
      <c r="A62" s="315" t="s">
        <v>635</v>
      </c>
      <c r="B62" s="276">
        <v>9</v>
      </c>
      <c r="C62" s="276">
        <v>2002</v>
      </c>
      <c r="D62" s="82">
        <f>INDEX('PPI Look Up Table'!B66:M78,C62-1999,B62)</f>
        <v>169.2</v>
      </c>
      <c r="E62" s="82"/>
      <c r="F62" s="314"/>
    </row>
    <row r="63" spans="1:6" x14ac:dyDescent="0.2">
      <c r="A63" s="315" t="s">
        <v>636</v>
      </c>
      <c r="B63" s="276">
        <f>'Input &amp; Summary'!$F$6</f>
        <v>13</v>
      </c>
      <c r="C63" s="313">
        <f>'Input &amp; Summary'!$F$7</f>
        <v>2009</v>
      </c>
      <c r="D63" s="82">
        <f>INDEX('PPI Look Up Table'!B66:N78,C63-1999,B63)</f>
        <v>222.8</v>
      </c>
      <c r="E63" s="82"/>
      <c r="F63" s="314"/>
    </row>
    <row r="64" spans="1:6" ht="13.5" thickBot="1" x14ac:dyDescent="0.25">
      <c r="A64" s="316" t="s">
        <v>629</v>
      </c>
      <c r="B64" s="317"/>
      <c r="C64" s="317"/>
      <c r="D64" s="318">
        <f>D63/D62</f>
        <v>1.3167848699763596</v>
      </c>
      <c r="E64" s="319"/>
      <c r="F64" s="320"/>
    </row>
    <row r="65" spans="1:6" ht="14.25" thickTop="1" thickBot="1" x14ac:dyDescent="0.25">
      <c r="A65" s="336"/>
      <c r="B65" s="335"/>
      <c r="C65" s="335"/>
      <c r="D65" s="336"/>
      <c r="E65" s="336"/>
      <c r="F65" s="337"/>
    </row>
    <row r="66" spans="1:6" ht="13.5" thickTop="1" x14ac:dyDescent="0.2">
      <c r="A66" s="306" t="s">
        <v>654</v>
      </c>
      <c r="B66" s="338"/>
      <c r="C66" s="338"/>
      <c r="D66" s="309"/>
      <c r="E66" s="309"/>
      <c r="F66" s="310"/>
    </row>
    <row r="67" spans="1:6" x14ac:dyDescent="0.2">
      <c r="A67" s="311" t="s">
        <v>655</v>
      </c>
      <c r="B67" s="312"/>
      <c r="C67" s="312"/>
      <c r="D67" s="82"/>
      <c r="E67" s="82" t="s">
        <v>650</v>
      </c>
      <c r="F67" s="314"/>
    </row>
    <row r="68" spans="1:6" x14ac:dyDescent="0.2">
      <c r="A68" s="315" t="s">
        <v>635</v>
      </c>
      <c r="B68" s="276">
        <v>9</v>
      </c>
      <c r="C68" s="276">
        <v>2002</v>
      </c>
      <c r="D68" s="82">
        <f>INDEX('PPI Look Up Table'!B100:M112,C68-1999,B68)</f>
        <v>165.2</v>
      </c>
      <c r="E68" s="82"/>
      <c r="F68" s="314"/>
    </row>
    <row r="69" spans="1:6" x14ac:dyDescent="0.2">
      <c r="A69" s="315" t="s">
        <v>636</v>
      </c>
      <c r="B69" s="276">
        <f>'Input &amp; Summary'!$F$6</f>
        <v>13</v>
      </c>
      <c r="C69" s="313">
        <f>'Input &amp; Summary'!$F$7</f>
        <v>2009</v>
      </c>
      <c r="D69" s="82">
        <f>INDEX('PPI Look Up Table'!B100:N112,C69-1999,B69)</f>
        <v>223.1</v>
      </c>
      <c r="E69" s="82"/>
      <c r="F69" s="314"/>
    </row>
    <row r="70" spans="1:6" ht="13.5" thickBot="1" x14ac:dyDescent="0.25">
      <c r="A70" s="316" t="s">
        <v>629</v>
      </c>
      <c r="B70" s="317"/>
      <c r="C70" s="317"/>
      <c r="D70" s="318">
        <f>D69/D68</f>
        <v>1.3504842615012107</v>
      </c>
      <c r="E70" s="319"/>
      <c r="F70" s="320"/>
    </row>
    <row r="71" spans="1:6" ht="14.25" thickTop="1" thickBot="1" x14ac:dyDescent="0.25">
      <c r="A71" s="335"/>
      <c r="B71" s="335"/>
      <c r="C71" s="335"/>
      <c r="D71" s="336"/>
      <c r="E71" s="336"/>
      <c r="F71" s="337"/>
    </row>
    <row r="72" spans="1:6" ht="13.5" thickTop="1" x14ac:dyDescent="0.2">
      <c r="A72" s="306" t="s">
        <v>656</v>
      </c>
      <c r="B72" s="338"/>
      <c r="C72" s="338"/>
      <c r="D72" s="309"/>
      <c r="E72" s="309"/>
      <c r="F72" s="310"/>
    </row>
    <row r="73" spans="1:6" x14ac:dyDescent="0.2">
      <c r="A73" s="311" t="s">
        <v>657</v>
      </c>
      <c r="B73" s="312"/>
      <c r="C73" s="312"/>
      <c r="D73" s="82"/>
      <c r="E73" s="82">
        <v>3363401</v>
      </c>
      <c r="F73" s="314"/>
    </row>
    <row r="74" spans="1:6" x14ac:dyDescent="0.2">
      <c r="A74" s="315" t="s">
        <v>635</v>
      </c>
      <c r="B74" s="276">
        <v>9</v>
      </c>
      <c r="C74" s="276">
        <v>2002</v>
      </c>
      <c r="D74" s="82">
        <f>INDEX('PPI Look Up Table'!B185:M197,C74-1999,B74)</f>
        <v>106.7</v>
      </c>
      <c r="E74" s="82"/>
      <c r="F74" s="314"/>
    </row>
    <row r="75" spans="1:6" x14ac:dyDescent="0.2">
      <c r="A75" s="315" t="s">
        <v>636</v>
      </c>
      <c r="B75" s="276">
        <f>'Input &amp; Summary'!$F$6</f>
        <v>13</v>
      </c>
      <c r="C75" s="313">
        <f>'Input &amp; Summary'!$F$7</f>
        <v>2009</v>
      </c>
      <c r="D75" s="82">
        <f>INDEX('PPI Look Up Table'!B185:N197,C75-1999,B75)</f>
        <v>109.7</v>
      </c>
      <c r="E75" s="82"/>
      <c r="F75" s="314"/>
    </row>
    <row r="76" spans="1:6" ht="13.5" thickBot="1" x14ac:dyDescent="0.25">
      <c r="A76" s="316" t="s">
        <v>629</v>
      </c>
      <c r="B76" s="317"/>
      <c r="C76" s="317"/>
      <c r="D76" s="318">
        <f>D75/D74</f>
        <v>1.028116213683224</v>
      </c>
      <c r="E76" s="319"/>
      <c r="F76" s="320"/>
    </row>
    <row r="77" spans="1:6" ht="14.25" thickTop="1" thickBot="1" x14ac:dyDescent="0.25">
      <c r="A77" s="335"/>
      <c r="B77" s="335"/>
      <c r="C77" s="335"/>
      <c r="D77" s="336"/>
      <c r="E77" s="336"/>
      <c r="F77" s="337"/>
    </row>
    <row r="78" spans="1:6" ht="13.5" thickTop="1" x14ac:dyDescent="0.2">
      <c r="A78" s="306" t="s">
        <v>658</v>
      </c>
      <c r="B78" s="338"/>
      <c r="C78" s="338"/>
      <c r="D78" s="309"/>
      <c r="E78" s="309"/>
      <c r="F78" s="310"/>
    </row>
    <row r="79" spans="1:6" x14ac:dyDescent="0.2">
      <c r="A79" s="311" t="s">
        <v>659</v>
      </c>
      <c r="B79" s="312"/>
      <c r="C79" s="312"/>
      <c r="D79" s="82"/>
      <c r="E79" s="82" t="s">
        <v>660</v>
      </c>
      <c r="F79" s="314"/>
    </row>
    <row r="80" spans="1:6" x14ac:dyDescent="0.2">
      <c r="A80" s="315" t="s">
        <v>635</v>
      </c>
      <c r="B80" s="276">
        <v>9</v>
      </c>
      <c r="C80" s="276">
        <v>2002</v>
      </c>
      <c r="D80" s="82">
        <f>INDEX('PPI Look Up Table'!B151:M163,C80-1999,B80)</f>
        <v>139.9</v>
      </c>
      <c r="E80" s="82"/>
      <c r="F80" s="314"/>
    </row>
    <row r="81" spans="1:6" x14ac:dyDescent="0.2">
      <c r="A81" s="315" t="s">
        <v>636</v>
      </c>
      <c r="B81" s="276">
        <f>'Input &amp; Summary'!$F$6</f>
        <v>13</v>
      </c>
      <c r="C81" s="313">
        <f>'Input &amp; Summary'!$F$7</f>
        <v>2009</v>
      </c>
      <c r="D81" s="82">
        <f>INDEX('PPI Look Up Table'!B151:N163,C81-1999,B81)</f>
        <v>179.8</v>
      </c>
      <c r="E81" s="82"/>
      <c r="F81" s="314"/>
    </row>
    <row r="82" spans="1:6" ht="13.5" thickBot="1" x14ac:dyDescent="0.25">
      <c r="A82" s="316" t="s">
        <v>629</v>
      </c>
      <c r="B82" s="317"/>
      <c r="C82" s="317"/>
      <c r="D82" s="318">
        <f>D81/D80</f>
        <v>1.285203716940672</v>
      </c>
      <c r="E82" s="319"/>
      <c r="F82" s="320"/>
    </row>
    <row r="83" spans="1:6" ht="14.25" thickTop="1" thickBot="1" x14ac:dyDescent="0.25">
      <c r="A83" s="335"/>
      <c r="B83" s="335"/>
      <c r="C83" s="335"/>
      <c r="D83" s="336"/>
      <c r="E83" s="336"/>
      <c r="F83" s="337"/>
    </row>
    <row r="84" spans="1:6" ht="13.5" thickTop="1" x14ac:dyDescent="0.2">
      <c r="A84" s="306" t="s">
        <v>661</v>
      </c>
      <c r="B84" s="338"/>
      <c r="C84" s="338"/>
      <c r="D84" s="309"/>
      <c r="E84" s="309"/>
      <c r="F84" s="310"/>
    </row>
    <row r="85" spans="1:6" x14ac:dyDescent="0.2">
      <c r="A85" s="311" t="s">
        <v>662</v>
      </c>
      <c r="B85" s="312"/>
      <c r="C85" s="312"/>
      <c r="D85" s="82"/>
      <c r="E85" s="82" t="s">
        <v>663</v>
      </c>
      <c r="F85" s="314"/>
    </row>
    <row r="86" spans="1:6" x14ac:dyDescent="0.2">
      <c r="A86" s="315" t="s">
        <v>635</v>
      </c>
      <c r="B86" s="276">
        <v>9</v>
      </c>
      <c r="C86" s="276">
        <v>2002</v>
      </c>
      <c r="D86" s="82">
        <f>INDEX('PPI Look Up Table'!B168:M180,C86-1999,B86)</f>
        <v>147.4</v>
      </c>
      <c r="E86" s="82"/>
      <c r="F86" s="314"/>
    </row>
    <row r="87" spans="1:6" x14ac:dyDescent="0.2">
      <c r="A87" s="315" t="s">
        <v>636</v>
      </c>
      <c r="B87" s="276">
        <f>'Input &amp; Summary'!$F$6</f>
        <v>13</v>
      </c>
      <c r="C87" s="313">
        <f>'Input &amp; Summary'!$F$7</f>
        <v>2009</v>
      </c>
      <c r="D87" s="82">
        <f>INDEX('PPI Look Up Table'!B168:N180,C87-1999,B87)</f>
        <v>187.8</v>
      </c>
      <c r="E87" s="82"/>
      <c r="F87" s="314"/>
    </row>
    <row r="88" spans="1:6" ht="13.5" thickBot="1" x14ac:dyDescent="0.25">
      <c r="A88" s="316" t="s">
        <v>629</v>
      </c>
      <c r="B88" s="317"/>
      <c r="C88" s="317"/>
      <c r="D88" s="318">
        <f>D87/D86</f>
        <v>1.2740841248303936</v>
      </c>
      <c r="E88" s="319"/>
      <c r="F88" s="320"/>
    </row>
    <row r="89" spans="1:6" ht="14.25" thickTop="1" thickBot="1" x14ac:dyDescent="0.25">
      <c r="A89" s="335"/>
      <c r="B89" s="335"/>
      <c r="C89" s="335"/>
      <c r="D89" s="336"/>
      <c r="E89" s="336"/>
      <c r="F89" s="337"/>
    </row>
    <row r="90" spans="1:6" ht="13.5" thickTop="1" x14ac:dyDescent="0.2">
      <c r="A90" s="306" t="s">
        <v>664</v>
      </c>
      <c r="B90" s="338"/>
      <c r="C90" s="338"/>
      <c r="D90" s="309"/>
      <c r="E90" s="309"/>
      <c r="F90" s="310"/>
    </row>
    <row r="91" spans="1:6" x14ac:dyDescent="0.2">
      <c r="A91" s="332" t="s">
        <v>648</v>
      </c>
      <c r="B91" s="339"/>
      <c r="C91" s="339"/>
      <c r="D91" s="82"/>
      <c r="E91" s="82">
        <v>3353123</v>
      </c>
      <c r="F91" s="314">
        <v>0.5</v>
      </c>
    </row>
    <row r="92" spans="1:6" x14ac:dyDescent="0.2">
      <c r="A92" s="315" t="s">
        <v>635</v>
      </c>
      <c r="B92" s="276">
        <v>9</v>
      </c>
      <c r="C92" s="276">
        <v>2002</v>
      </c>
      <c r="D92" s="82">
        <f>INDEX('PPI Look Up Table'!B83:M95,C92-1999,B92)</f>
        <v>149.6</v>
      </c>
      <c r="E92" s="82"/>
      <c r="F92" s="314"/>
    </row>
    <row r="93" spans="1:6" x14ac:dyDescent="0.2">
      <c r="A93" s="315" t="s">
        <v>636</v>
      </c>
      <c r="B93" s="276">
        <f>'Input &amp; Summary'!$F$6</f>
        <v>13</v>
      </c>
      <c r="C93" s="313">
        <f>'Input &amp; Summary'!$F$7</f>
        <v>2009</v>
      </c>
      <c r="D93" s="82">
        <f>INDEX('PPI Look Up Table'!B83:N95,C93-1999,B93)</f>
        <v>210.1</v>
      </c>
      <c r="E93" s="82"/>
      <c r="F93" s="314"/>
    </row>
    <row r="94" spans="1:6" x14ac:dyDescent="0.2">
      <c r="A94" s="332" t="s">
        <v>665</v>
      </c>
      <c r="B94" s="339"/>
      <c r="C94" s="339"/>
      <c r="D94" s="82"/>
      <c r="E94" s="82" t="s">
        <v>647</v>
      </c>
      <c r="F94" s="314">
        <v>0.5</v>
      </c>
    </row>
    <row r="95" spans="1:6" x14ac:dyDescent="0.2">
      <c r="A95" s="315" t="s">
        <v>635</v>
      </c>
      <c r="B95" s="276">
        <v>9</v>
      </c>
      <c r="C95" s="276">
        <v>2002</v>
      </c>
      <c r="D95" s="82">
        <f>INDEX('PPI Look Up Table'!B66:M78,C95-1999,B95)</f>
        <v>169.2</v>
      </c>
      <c r="E95" s="82"/>
      <c r="F95" s="314"/>
    </row>
    <row r="96" spans="1:6" x14ac:dyDescent="0.2">
      <c r="A96" s="315" t="s">
        <v>636</v>
      </c>
      <c r="B96" s="276">
        <f>'Input &amp; Summary'!$F$6</f>
        <v>13</v>
      </c>
      <c r="C96" s="313">
        <f>'Input &amp; Summary'!$F$7</f>
        <v>2009</v>
      </c>
      <c r="D96" s="82">
        <f>INDEX('PPI Look Up Table'!B66:N78,C96-1999,B96)</f>
        <v>222.8</v>
      </c>
      <c r="E96" s="82"/>
      <c r="F96" s="314"/>
    </row>
    <row r="97" spans="1:6" ht="13.5" thickBot="1" x14ac:dyDescent="0.25">
      <c r="A97" s="340" t="s">
        <v>629</v>
      </c>
      <c r="B97" s="341"/>
      <c r="C97" s="341"/>
      <c r="D97" s="318">
        <f>D93/D92*F91+D96/D95*F94</f>
        <v>1.3605983173411209</v>
      </c>
      <c r="E97" s="319"/>
      <c r="F97" s="320"/>
    </row>
    <row r="98" spans="1:6" ht="14.25" thickTop="1" thickBot="1" x14ac:dyDescent="0.25">
      <c r="A98" s="342"/>
      <c r="B98" s="342"/>
      <c r="C98" s="342"/>
      <c r="D98" s="336"/>
      <c r="E98" s="336"/>
      <c r="F98" s="337"/>
    </row>
    <row r="99" spans="1:6" ht="13.5" thickTop="1" x14ac:dyDescent="0.2">
      <c r="A99" s="306" t="s">
        <v>666</v>
      </c>
      <c r="B99" s="338"/>
      <c r="C99" s="338"/>
      <c r="D99" s="309"/>
      <c r="E99" s="309"/>
      <c r="F99" s="310"/>
    </row>
    <row r="100" spans="1:6" x14ac:dyDescent="0.2">
      <c r="A100" s="329" t="s">
        <v>667</v>
      </c>
      <c r="B100" s="139"/>
      <c r="C100" s="139"/>
      <c r="D100" s="82"/>
      <c r="E100" s="82">
        <v>3315113</v>
      </c>
      <c r="F100" s="314"/>
    </row>
    <row r="101" spans="1:6" x14ac:dyDescent="0.2">
      <c r="A101" s="315" t="s">
        <v>635</v>
      </c>
      <c r="B101" s="276">
        <v>9</v>
      </c>
      <c r="C101" s="276">
        <v>2002</v>
      </c>
      <c r="D101" s="82">
        <f>INDEX('PPI Look Up Table'!B49:M61,C101-1999,B101)</f>
        <v>113.1</v>
      </c>
      <c r="E101" s="82"/>
      <c r="F101" s="314"/>
    </row>
    <row r="102" spans="1:6" x14ac:dyDescent="0.2">
      <c r="A102" s="315" t="s">
        <v>636</v>
      </c>
      <c r="B102" s="276">
        <f>'Input &amp; Summary'!$F$6</f>
        <v>13</v>
      </c>
      <c r="C102" s="313">
        <f>'Input &amp; Summary'!$F$7</f>
        <v>2009</v>
      </c>
      <c r="D102" s="82">
        <f>INDEX('PPI Look Up Table'!B49:N61,C102-1999,B102)</f>
        <v>146.30000000000001</v>
      </c>
      <c r="E102" s="82"/>
      <c r="F102" s="314"/>
    </row>
    <row r="103" spans="1:6" ht="13.5" thickBot="1" x14ac:dyDescent="0.25">
      <c r="A103" s="316" t="s">
        <v>629</v>
      </c>
      <c r="B103" s="317"/>
      <c r="C103" s="317"/>
      <c r="D103" s="318">
        <f>D102/D101</f>
        <v>1.2935455349248455</v>
      </c>
      <c r="E103" s="319"/>
      <c r="F103" s="320"/>
    </row>
    <row r="104" spans="1:6" ht="14.25" thickTop="1" thickBot="1" x14ac:dyDescent="0.25">
      <c r="A104" s="335"/>
      <c r="B104" s="335"/>
      <c r="C104" s="335"/>
      <c r="D104" s="336"/>
      <c r="E104" s="336"/>
      <c r="F104" s="337"/>
    </row>
    <row r="105" spans="1:6" ht="13.5" thickTop="1" x14ac:dyDescent="0.2">
      <c r="A105" s="306" t="s">
        <v>668</v>
      </c>
      <c r="B105" s="338"/>
      <c r="C105" s="338"/>
      <c r="D105" s="309"/>
      <c r="E105" s="309"/>
      <c r="F105" s="310"/>
    </row>
    <row r="106" spans="1:6" x14ac:dyDescent="0.2">
      <c r="A106" s="329" t="s">
        <v>669</v>
      </c>
      <c r="B106" s="139"/>
      <c r="C106" s="139"/>
      <c r="D106" s="82"/>
      <c r="E106" s="82" t="s">
        <v>670</v>
      </c>
      <c r="F106" s="314">
        <v>0.25</v>
      </c>
    </row>
    <row r="107" spans="1:6" x14ac:dyDescent="0.2">
      <c r="A107" s="315" t="s">
        <v>635</v>
      </c>
      <c r="B107" s="276">
        <v>9</v>
      </c>
      <c r="C107" s="276">
        <v>2002</v>
      </c>
      <c r="D107" s="82">
        <f>INDEX('PPI Look Up Table'!B202:M214,C107-1999,B107)</f>
        <v>150.4</v>
      </c>
      <c r="E107" s="82"/>
      <c r="F107" s="314"/>
    </row>
    <row r="108" spans="1:6" x14ac:dyDescent="0.2">
      <c r="A108" s="315" t="s">
        <v>636</v>
      </c>
      <c r="B108" s="276">
        <f>'Input &amp; Summary'!$F$6</f>
        <v>13</v>
      </c>
      <c r="C108" s="313">
        <f>'Input &amp; Summary'!$F$7</f>
        <v>2009</v>
      </c>
      <c r="D108" s="82">
        <f>INDEX('PPI Look Up Table'!B202:N214,C108-1999,B108)</f>
        <v>195</v>
      </c>
      <c r="E108" s="82"/>
      <c r="F108" s="314"/>
    </row>
    <row r="109" spans="1:6" x14ac:dyDescent="0.2">
      <c r="A109" s="329" t="s">
        <v>671</v>
      </c>
      <c r="B109" s="139"/>
      <c r="C109" s="139"/>
      <c r="D109" s="82"/>
      <c r="E109" s="82"/>
      <c r="F109" s="314">
        <v>0.6</v>
      </c>
    </row>
    <row r="110" spans="1:6" x14ac:dyDescent="0.2">
      <c r="A110" s="315" t="s">
        <v>635</v>
      </c>
      <c r="B110" s="276">
        <v>9</v>
      </c>
      <c r="C110" s="276">
        <v>2002</v>
      </c>
      <c r="D110" s="82">
        <f>INDEX('PPI Look Up Table'!B219:M231,C110-1999,B110)</f>
        <v>108.6</v>
      </c>
      <c r="E110" s="82"/>
      <c r="F110" s="314"/>
    </row>
    <row r="111" spans="1:6" x14ac:dyDescent="0.2">
      <c r="A111" s="315" t="s">
        <v>636</v>
      </c>
      <c r="B111" s="276">
        <f>'Input &amp; Summary'!$F$6</f>
        <v>13</v>
      </c>
      <c r="C111" s="313">
        <f>'Input &amp; Summary'!$F$7</f>
        <v>2009</v>
      </c>
      <c r="D111" s="82">
        <f>INDEX('PPI Look Up Table'!B219:N231,C111-1999,B111)</f>
        <v>187.9</v>
      </c>
      <c r="E111" s="82"/>
      <c r="F111" s="314"/>
    </row>
    <row r="112" spans="1:6" x14ac:dyDescent="0.2">
      <c r="A112" s="315"/>
      <c r="B112" s="276"/>
      <c r="C112" s="276"/>
      <c r="D112" s="82"/>
      <c r="E112" s="82"/>
      <c r="F112" s="314"/>
    </row>
    <row r="113" spans="1:6" x14ac:dyDescent="0.2">
      <c r="A113" s="311" t="s">
        <v>672</v>
      </c>
      <c r="B113" s="312"/>
      <c r="C113" s="313">
        <v>2002</v>
      </c>
      <c r="D113" s="82">
        <f>HLOOKUP(C113,'PPI Look Up Table'!$B$7:$G$9,3)</f>
        <v>1.0289999999999999</v>
      </c>
      <c r="E113" s="82"/>
      <c r="F113" s="314">
        <v>0.15</v>
      </c>
    </row>
    <row r="114" spans="1:6" x14ac:dyDescent="0.2">
      <c r="A114" s="311"/>
      <c r="B114" s="312"/>
      <c r="C114" s="313">
        <f>'Input &amp; Summary'!$F$7</f>
        <v>2009</v>
      </c>
      <c r="D114" s="82">
        <f>HLOOKUP(C114,'PPI Look Up Table'!$B$7:$G$9,3)</f>
        <v>1.1209999999999998</v>
      </c>
      <c r="E114" s="82"/>
      <c r="F114" s="314"/>
    </row>
    <row r="115" spans="1:6" x14ac:dyDescent="0.2">
      <c r="A115" s="311"/>
      <c r="B115" s="312"/>
      <c r="C115" s="313"/>
      <c r="D115" s="82"/>
      <c r="E115" s="82"/>
      <c r="F115" s="314"/>
    </row>
    <row r="116" spans="1:6" ht="13.5" thickBot="1" x14ac:dyDescent="0.25">
      <c r="A116" s="316" t="s">
        <v>629</v>
      </c>
      <c r="B116" s="317"/>
      <c r="C116" s="317"/>
      <c r="D116" s="318">
        <f>(D108/D107)*F106+(D111/D110)*F109+(D114/D113)*F113</f>
        <v>1.5256682639763997</v>
      </c>
      <c r="E116" s="319"/>
      <c r="F116" s="320"/>
    </row>
    <row r="117" spans="1:6" ht="14.25" thickTop="1" thickBot="1" x14ac:dyDescent="0.25">
      <c r="A117" s="335"/>
      <c r="B117" s="335"/>
      <c r="C117" s="335"/>
      <c r="D117" s="336"/>
      <c r="E117" s="336"/>
      <c r="F117" s="337"/>
    </row>
    <row r="118" spans="1:6" ht="13.5" thickTop="1" x14ac:dyDescent="0.2">
      <c r="A118" s="306" t="s">
        <v>673</v>
      </c>
      <c r="B118" s="338"/>
      <c r="C118" s="338"/>
      <c r="D118" s="309"/>
      <c r="E118" s="309"/>
      <c r="F118" s="310"/>
    </row>
    <row r="119" spans="1:6" x14ac:dyDescent="0.2">
      <c r="A119" s="329" t="s">
        <v>674</v>
      </c>
      <c r="B119" s="139"/>
      <c r="C119" s="139"/>
      <c r="D119" s="82"/>
      <c r="E119" s="82">
        <v>3339954</v>
      </c>
      <c r="F119" s="314"/>
    </row>
    <row r="120" spans="1:6" x14ac:dyDescent="0.2">
      <c r="A120" s="315" t="s">
        <v>635</v>
      </c>
      <c r="B120" s="276">
        <v>9</v>
      </c>
      <c r="C120" s="276">
        <v>2002</v>
      </c>
      <c r="D120" s="82">
        <f>INDEX('PPI Look Up Table'!B253:M265,C120-1999,B120)</f>
        <v>122.4</v>
      </c>
      <c r="E120" s="82"/>
      <c r="F120" s="314"/>
    </row>
    <row r="121" spans="1:6" x14ac:dyDescent="0.2">
      <c r="A121" s="315" t="s">
        <v>636</v>
      </c>
      <c r="B121" s="276">
        <f>'Input &amp; Summary'!$F$6</f>
        <v>13</v>
      </c>
      <c r="C121" s="313">
        <f>'Input &amp; Summary'!$F$7</f>
        <v>2009</v>
      </c>
      <c r="D121" s="82">
        <f>INDEX('PPI Look Up Table'!B253:N265,C121-1999,B121)</f>
        <v>163.80000000000001</v>
      </c>
      <c r="E121" s="82"/>
      <c r="F121" s="314"/>
    </row>
    <row r="122" spans="1:6" ht="13.5" thickBot="1" x14ac:dyDescent="0.25">
      <c r="A122" s="316" t="s">
        <v>629</v>
      </c>
      <c r="B122" s="317"/>
      <c r="C122" s="317"/>
      <c r="D122" s="318">
        <f>D121/D120</f>
        <v>1.3382352941176472</v>
      </c>
      <c r="E122" s="319"/>
      <c r="F122" s="320"/>
    </row>
    <row r="123" spans="1:6" ht="14.25" thickTop="1" thickBot="1" x14ac:dyDescent="0.25">
      <c r="A123" s="123"/>
      <c r="B123" s="123"/>
      <c r="C123" s="123"/>
      <c r="F123" s="334"/>
    </row>
    <row r="124" spans="1:6" ht="13.5" thickTop="1" x14ac:dyDescent="0.2">
      <c r="A124" s="343" t="s">
        <v>675</v>
      </c>
      <c r="B124" s="325"/>
      <c r="C124" s="325"/>
      <c r="D124" s="325"/>
      <c r="E124" s="325"/>
      <c r="F124" s="326"/>
    </row>
    <row r="125" spans="1:6" x14ac:dyDescent="0.2">
      <c r="A125" s="329" t="s">
        <v>634</v>
      </c>
      <c r="B125" s="139"/>
      <c r="C125" s="139"/>
      <c r="D125" s="82"/>
      <c r="E125" s="82">
        <v>3272123</v>
      </c>
      <c r="F125" s="314">
        <v>0.55000000000000004</v>
      </c>
    </row>
    <row r="126" spans="1:6" x14ac:dyDescent="0.2">
      <c r="A126" s="315" t="s">
        <v>635</v>
      </c>
      <c r="B126" s="276">
        <v>9</v>
      </c>
      <c r="C126" s="276">
        <v>2002</v>
      </c>
      <c r="D126" s="82">
        <f>INDEX('PPI Look Up Table'!B15:M27,C126-1999,B126)</f>
        <v>101.7</v>
      </c>
      <c r="E126" s="82"/>
      <c r="F126" s="314"/>
    </row>
    <row r="127" spans="1:6" x14ac:dyDescent="0.2">
      <c r="A127" s="315" t="s">
        <v>636</v>
      </c>
      <c r="B127" s="276">
        <f>'Input &amp; Summary'!$F$6</f>
        <v>13</v>
      </c>
      <c r="C127" s="313">
        <f>'Input &amp; Summary'!$F$7</f>
        <v>2009</v>
      </c>
      <c r="D127" s="82">
        <f>INDEX('PPI Look Up Table'!B15:N27,C127-1999,B127)</f>
        <v>86.3</v>
      </c>
      <c r="E127" s="82"/>
      <c r="F127" s="314"/>
    </row>
    <row r="128" spans="1:6" x14ac:dyDescent="0.2">
      <c r="A128" s="330" t="s">
        <v>637</v>
      </c>
      <c r="B128" s="331"/>
      <c r="C128" s="331"/>
      <c r="D128" s="82"/>
      <c r="E128" s="82">
        <v>3255044</v>
      </c>
      <c r="F128" s="314">
        <v>0.3</v>
      </c>
    </row>
    <row r="129" spans="1:6" x14ac:dyDescent="0.2">
      <c r="A129" s="315" t="s">
        <v>635</v>
      </c>
      <c r="B129" s="276">
        <v>9</v>
      </c>
      <c r="C129" s="276">
        <v>2002</v>
      </c>
      <c r="D129" s="82">
        <f>INDEX('PPI Look Up Table'!B32:M44,C129-1999,B129)</f>
        <v>162.1</v>
      </c>
      <c r="E129" s="82"/>
      <c r="F129" s="314"/>
    </row>
    <row r="130" spans="1:6" x14ac:dyDescent="0.2">
      <c r="A130" s="315" t="s">
        <v>636</v>
      </c>
      <c r="B130" s="276">
        <f>'Input &amp; Summary'!$F$6</f>
        <v>13</v>
      </c>
      <c r="C130" s="313">
        <f>'Input &amp; Summary'!$F$7</f>
        <v>2009</v>
      </c>
      <c r="D130" s="82">
        <f>INDEX('PPI Look Up Table'!B32:N44,C130-1999,B130)</f>
        <v>229.9</v>
      </c>
      <c r="E130" s="82"/>
      <c r="F130" s="314"/>
    </row>
    <row r="131" spans="1:6" x14ac:dyDescent="0.2">
      <c r="A131" s="315"/>
      <c r="B131" s="276"/>
      <c r="C131" s="276"/>
      <c r="D131" s="82"/>
      <c r="E131" s="82"/>
      <c r="F131" s="314"/>
    </row>
    <row r="132" spans="1:6" x14ac:dyDescent="0.2">
      <c r="A132" s="311" t="s">
        <v>672</v>
      </c>
      <c r="B132" s="312"/>
      <c r="C132" s="313">
        <v>2002</v>
      </c>
      <c r="D132" s="82">
        <f>HLOOKUP(C132,'PPI Look Up Table'!$B$7:$G$9,3)</f>
        <v>1.0289999999999999</v>
      </c>
      <c r="E132" s="82"/>
      <c r="F132" s="314">
        <v>0.15</v>
      </c>
    </row>
    <row r="133" spans="1:6" x14ac:dyDescent="0.2">
      <c r="A133" s="311"/>
      <c r="B133" s="312"/>
      <c r="C133" s="313">
        <f>'Input &amp; Summary'!$F$7</f>
        <v>2009</v>
      </c>
      <c r="D133" s="82">
        <f>HLOOKUP(C133,'PPI Look Up Table'!$B$7:$G$9,3)</f>
        <v>1.1209999999999998</v>
      </c>
      <c r="E133" s="82"/>
      <c r="F133" s="314"/>
    </row>
    <row r="134" spans="1:6" x14ac:dyDescent="0.2">
      <c r="A134" s="315"/>
      <c r="B134" s="276"/>
      <c r="C134" s="276"/>
      <c r="D134" s="82"/>
      <c r="E134" s="82"/>
      <c r="F134" s="314"/>
    </row>
    <row r="135" spans="1:6" ht="13.5" thickBot="1" x14ac:dyDescent="0.25">
      <c r="A135" s="316" t="s">
        <v>629</v>
      </c>
      <c r="B135" s="317"/>
      <c r="C135" s="317"/>
      <c r="D135" s="318">
        <f>(D127/D126)*F125+(D130/D129)*F128+(D133/D132)*F132</f>
        <v>1.0556050095306337</v>
      </c>
      <c r="E135" s="319"/>
      <c r="F135" s="320"/>
    </row>
    <row r="136" spans="1:6" ht="14.25" thickTop="1" thickBot="1" x14ac:dyDescent="0.25">
      <c r="A136" s="123"/>
      <c r="B136" s="123"/>
      <c r="C136" s="123"/>
      <c r="F136" s="334"/>
    </row>
    <row r="137" spans="1:6" ht="13.5" thickTop="1" x14ac:dyDescent="0.2">
      <c r="A137" s="324" t="s">
        <v>676</v>
      </c>
      <c r="B137" s="344"/>
      <c r="C137" s="344"/>
      <c r="D137" s="309"/>
      <c r="E137" s="309"/>
      <c r="F137" s="310"/>
    </row>
    <row r="138" spans="1:6" x14ac:dyDescent="0.2">
      <c r="A138" s="311" t="s">
        <v>651</v>
      </c>
      <c r="B138" s="312"/>
      <c r="C138" s="312"/>
      <c r="D138" s="82"/>
      <c r="E138" s="82">
        <v>334513</v>
      </c>
      <c r="F138" s="314"/>
    </row>
    <row r="139" spans="1:6" x14ac:dyDescent="0.2">
      <c r="A139" s="315" t="s">
        <v>635</v>
      </c>
      <c r="B139" s="276">
        <v>9</v>
      </c>
      <c r="C139" s="276">
        <v>2002</v>
      </c>
      <c r="D139" s="82">
        <f>INDEX('PPI Look Up Table'!B117:M129,C139-1999,B139)</f>
        <v>157.1</v>
      </c>
      <c r="E139" s="82"/>
      <c r="F139" s="314"/>
    </row>
    <row r="140" spans="1:6" x14ac:dyDescent="0.2">
      <c r="A140" s="315" t="s">
        <v>636</v>
      </c>
      <c r="B140" s="276">
        <f>'Input &amp; Summary'!$F$6</f>
        <v>13</v>
      </c>
      <c r="C140" s="313">
        <f>'Input &amp; Summary'!$F$7</f>
        <v>2009</v>
      </c>
      <c r="D140" s="82">
        <f>INDEX('PPI Look Up Table'!B117:N129,C140-1999,B140)</f>
        <v>192.2</v>
      </c>
      <c r="E140" s="82"/>
      <c r="F140" s="314"/>
    </row>
    <row r="141" spans="1:6" ht="13.5" thickBot="1" x14ac:dyDescent="0.25">
      <c r="A141" s="316" t="s">
        <v>629</v>
      </c>
      <c r="B141" s="317"/>
      <c r="C141" s="317"/>
      <c r="D141" s="318">
        <f>D140/D139</f>
        <v>1.2234245703373647</v>
      </c>
      <c r="E141" s="319"/>
      <c r="F141" s="320"/>
    </row>
    <row r="142" spans="1:6" ht="14.25" thickTop="1" thickBot="1" x14ac:dyDescent="0.25">
      <c r="A142" s="335"/>
      <c r="B142" s="335"/>
      <c r="C142" s="335"/>
      <c r="D142" s="336"/>
      <c r="E142" s="336"/>
      <c r="F142" s="337"/>
    </row>
    <row r="143" spans="1:6" ht="13.5" thickTop="1" x14ac:dyDescent="0.2">
      <c r="A143" s="306" t="s">
        <v>677</v>
      </c>
      <c r="B143" s="345"/>
      <c r="C143" s="345"/>
      <c r="D143" s="309"/>
      <c r="E143" s="309"/>
      <c r="F143" s="310"/>
    </row>
    <row r="144" spans="1:6" x14ac:dyDescent="0.2">
      <c r="A144" s="311" t="s">
        <v>628</v>
      </c>
      <c r="B144" s="312"/>
      <c r="C144" s="313">
        <v>2002</v>
      </c>
      <c r="D144" s="82">
        <f>HLOOKUP(C144,'PPI Look Up Table'!$B$7:$G$9,3)</f>
        <v>1.0289999999999999</v>
      </c>
      <c r="E144" s="82"/>
      <c r="F144" s="314"/>
    </row>
    <row r="145" spans="1:6" x14ac:dyDescent="0.2">
      <c r="A145" s="311"/>
      <c r="B145" s="312"/>
      <c r="C145" s="313">
        <f>'Input &amp; Summary'!$F$7</f>
        <v>2009</v>
      </c>
      <c r="D145" s="82">
        <f>HLOOKUP(C145,'PPI Look Up Table'!$B$7:$G$9,3)</f>
        <v>1.1209999999999998</v>
      </c>
      <c r="E145" s="82"/>
      <c r="F145" s="314"/>
    </row>
    <row r="146" spans="1:6" x14ac:dyDescent="0.2">
      <c r="A146" s="315"/>
      <c r="B146" s="276"/>
      <c r="C146" s="276"/>
      <c r="D146" s="82"/>
      <c r="E146" s="82"/>
      <c r="F146" s="314"/>
    </row>
    <row r="147" spans="1:6" ht="13.5" thickBot="1" x14ac:dyDescent="0.25">
      <c r="A147" s="316" t="s">
        <v>629</v>
      </c>
      <c r="B147" s="317"/>
      <c r="C147" s="317"/>
      <c r="D147" s="318">
        <f>D145/D144</f>
        <v>1.0894071914480077</v>
      </c>
      <c r="E147" s="319"/>
      <c r="F147" s="320"/>
    </row>
    <row r="148" spans="1:6" ht="14.25" thickTop="1" thickBot="1" x14ac:dyDescent="0.25">
      <c r="A148" s="346"/>
      <c r="B148" s="346"/>
      <c r="C148" s="346"/>
      <c r="F148" s="334"/>
    </row>
    <row r="149" spans="1:6" ht="13.5" thickTop="1" x14ac:dyDescent="0.2">
      <c r="A149" s="306" t="s">
        <v>678</v>
      </c>
      <c r="B149" s="345"/>
      <c r="C149" s="345"/>
      <c r="D149" s="309"/>
      <c r="E149" s="309"/>
      <c r="F149" s="310"/>
    </row>
    <row r="150" spans="1:6" x14ac:dyDescent="0.2">
      <c r="A150" s="311" t="s">
        <v>628</v>
      </c>
      <c r="B150" s="312"/>
      <c r="C150" s="313">
        <v>2002</v>
      </c>
      <c r="D150" s="82">
        <f>HLOOKUP(C150,'PPI Look Up Table'!$B$7:$G$9,3)</f>
        <v>1.0289999999999999</v>
      </c>
      <c r="E150" s="82"/>
      <c r="F150" s="314"/>
    </row>
    <row r="151" spans="1:6" x14ac:dyDescent="0.2">
      <c r="A151" s="311"/>
      <c r="B151" s="312"/>
      <c r="C151" s="313">
        <f>'Input &amp; Summary'!$F$7</f>
        <v>2009</v>
      </c>
      <c r="D151" s="82">
        <f>HLOOKUP(C151,'PPI Look Up Table'!$B$7:$G$9,3)</f>
        <v>1.1209999999999998</v>
      </c>
      <c r="E151" s="82"/>
      <c r="F151" s="314"/>
    </row>
    <row r="152" spans="1:6" x14ac:dyDescent="0.2">
      <c r="A152" s="315"/>
      <c r="B152" s="276"/>
      <c r="C152" s="276"/>
      <c r="D152" s="82"/>
      <c r="E152" s="82"/>
      <c r="F152" s="314"/>
    </row>
    <row r="153" spans="1:6" ht="13.5" thickBot="1" x14ac:dyDescent="0.25">
      <c r="A153" s="316" t="s">
        <v>629</v>
      </c>
      <c r="B153" s="317"/>
      <c r="C153" s="317"/>
      <c r="D153" s="318">
        <f>D151/D150</f>
        <v>1.0894071914480077</v>
      </c>
      <c r="E153" s="319"/>
      <c r="F153" s="320"/>
    </row>
    <row r="154" spans="1:6" ht="14.25" thickTop="1" thickBot="1" x14ac:dyDescent="0.25">
      <c r="A154" s="346"/>
      <c r="B154" s="346"/>
      <c r="C154" s="346"/>
      <c r="F154" s="334"/>
    </row>
    <row r="155" spans="1:6" ht="13.5" thickTop="1" x14ac:dyDescent="0.2">
      <c r="A155" s="324" t="s">
        <v>85</v>
      </c>
      <c r="B155" s="344"/>
      <c r="C155" s="344"/>
      <c r="D155" s="309"/>
      <c r="E155" s="309"/>
      <c r="F155" s="310"/>
    </row>
    <row r="156" spans="1:6" x14ac:dyDescent="0.2">
      <c r="A156" s="347" t="s">
        <v>679</v>
      </c>
      <c r="B156" s="348"/>
      <c r="C156" s="348"/>
      <c r="D156" s="82"/>
      <c r="E156" s="82">
        <v>331221</v>
      </c>
      <c r="F156" s="314"/>
    </row>
    <row r="157" spans="1:6" x14ac:dyDescent="0.2">
      <c r="A157" s="315" t="s">
        <v>635</v>
      </c>
      <c r="B157" s="276">
        <v>9</v>
      </c>
      <c r="C157" s="276">
        <v>2002</v>
      </c>
      <c r="D157" s="82">
        <f>INDEX('PPI Look Up Table'!B270:M282,C157-1999,B157)</f>
        <v>117.6</v>
      </c>
      <c r="E157" s="82"/>
      <c r="F157" s="314"/>
    </row>
    <row r="158" spans="1:6" x14ac:dyDescent="0.2">
      <c r="A158" s="315" t="s">
        <v>636</v>
      </c>
      <c r="B158" s="276">
        <f>'Input &amp; Summary'!$F$6</f>
        <v>13</v>
      </c>
      <c r="C158" s="313">
        <f>'Input &amp; Summary'!$F$7</f>
        <v>2009</v>
      </c>
      <c r="D158" s="82">
        <f>INDEX('PPI Look Up Table'!B270:N282,C158-1999,B158)</f>
        <v>183.7</v>
      </c>
      <c r="E158" s="82"/>
      <c r="F158" s="314"/>
    </row>
    <row r="159" spans="1:6" ht="13.5" thickBot="1" x14ac:dyDescent="0.25">
      <c r="A159" s="316" t="s">
        <v>629</v>
      </c>
      <c r="B159" s="317"/>
      <c r="C159" s="317"/>
      <c r="D159" s="318">
        <f>D158/D157</f>
        <v>1.5620748299319727</v>
      </c>
      <c r="E159" s="319"/>
      <c r="F159" s="320"/>
    </row>
    <row r="160" spans="1:6" ht="14.25" thickTop="1" thickBot="1" x14ac:dyDescent="0.25">
      <c r="A160" s="335"/>
      <c r="B160" s="335"/>
      <c r="C160" s="335"/>
      <c r="D160" s="336"/>
      <c r="E160" s="336"/>
      <c r="F160" s="337"/>
    </row>
    <row r="161" spans="1:8" ht="13.5" thickTop="1" x14ac:dyDescent="0.2">
      <c r="A161" s="324" t="s">
        <v>680</v>
      </c>
      <c r="B161" s="344"/>
      <c r="C161" s="344"/>
      <c r="D161" s="309"/>
      <c r="E161" s="309"/>
      <c r="F161" s="310"/>
    </row>
    <row r="162" spans="1:8" x14ac:dyDescent="0.2">
      <c r="A162" s="347" t="s">
        <v>681</v>
      </c>
      <c r="B162" s="348"/>
      <c r="C162" s="348"/>
      <c r="D162" s="82"/>
      <c r="E162" s="82" t="s">
        <v>682</v>
      </c>
      <c r="F162" s="314"/>
    </row>
    <row r="163" spans="1:8" x14ac:dyDescent="0.2">
      <c r="A163" s="315" t="s">
        <v>683</v>
      </c>
      <c r="B163" s="276">
        <v>9</v>
      </c>
      <c r="C163" s="276">
        <v>2003</v>
      </c>
      <c r="D163" s="82">
        <f>INDEX('PPI Look Up Table'!B305:M318,C163-1999,B163)</f>
        <v>68.139873725109283</v>
      </c>
      <c r="E163" s="276"/>
      <c r="F163" s="314"/>
    </row>
    <row r="164" spans="1:8" x14ac:dyDescent="0.2">
      <c r="A164" s="315" t="s">
        <v>636</v>
      </c>
      <c r="B164" s="276">
        <f>'Input &amp; Summary'!$F$6</f>
        <v>13</v>
      </c>
      <c r="C164" s="313">
        <f>'Input &amp; Summary'!$F$7</f>
        <v>2009</v>
      </c>
      <c r="D164" s="82">
        <f>INDEX('PPI Look Up Table'!B305:N318,C164-1999,B164)</f>
        <v>95.483244293346274</v>
      </c>
      <c r="E164" s="82"/>
      <c r="F164" s="314"/>
    </row>
    <row r="165" spans="1:8" ht="13.5" thickBot="1" x14ac:dyDescent="0.25">
      <c r="A165" s="316" t="s">
        <v>629</v>
      </c>
      <c r="B165" s="317"/>
      <c r="C165" s="317"/>
      <c r="D165" s="318">
        <f>D164/D163</f>
        <v>1.4012829650748393</v>
      </c>
      <c r="E165" s="319"/>
      <c r="F165" s="320"/>
    </row>
    <row r="166" spans="1:8" ht="14.25" thickTop="1" thickBot="1" x14ac:dyDescent="0.25">
      <c r="A166" s="335"/>
      <c r="B166" s="335"/>
      <c r="C166" s="335"/>
      <c r="D166" s="336"/>
      <c r="E166" s="336"/>
      <c r="F166" s="337"/>
    </row>
    <row r="167" spans="1:8" ht="13.5" thickTop="1" x14ac:dyDescent="0.2">
      <c r="A167" s="349" t="s">
        <v>684</v>
      </c>
      <c r="B167" s="350"/>
      <c r="C167" s="350"/>
      <c r="D167" s="309"/>
      <c r="E167" s="309"/>
      <c r="F167" s="310"/>
    </row>
    <row r="168" spans="1:8" x14ac:dyDescent="0.2">
      <c r="A168" s="347" t="s">
        <v>685</v>
      </c>
      <c r="B168" s="348"/>
      <c r="C168" s="348"/>
      <c r="D168" s="82"/>
      <c r="E168" s="82">
        <v>4841212</v>
      </c>
      <c r="F168" s="314"/>
    </row>
    <row r="169" spans="1:8" x14ac:dyDescent="0.2">
      <c r="A169" s="315" t="s">
        <v>683</v>
      </c>
      <c r="B169" s="276">
        <v>9</v>
      </c>
      <c r="C169" s="276">
        <v>2002</v>
      </c>
      <c r="D169" s="82">
        <f>INDEX('PPI Look Up Table'!B323:N335,C169-1999,B169)</f>
        <v>109.9</v>
      </c>
      <c r="E169" s="82"/>
      <c r="F169" s="314"/>
    </row>
    <row r="170" spans="1:8" x14ac:dyDescent="0.2">
      <c r="A170" s="315" t="s">
        <v>636</v>
      </c>
      <c r="B170" s="276">
        <f>'Input &amp; Summary'!$F$6</f>
        <v>13</v>
      </c>
      <c r="C170" s="313">
        <f>'Input &amp; Summary'!$F$7</f>
        <v>2009</v>
      </c>
      <c r="D170" s="82">
        <f>INDEX('PPI Look Up Table'!B323:N335,C170-1999,B170)</f>
        <v>125.7</v>
      </c>
      <c r="E170" s="82"/>
      <c r="F170" s="314"/>
      <c r="H170" s="300"/>
    </row>
    <row r="171" spans="1:8" ht="13.5" thickBot="1" x14ac:dyDescent="0.25">
      <c r="A171" s="316" t="s">
        <v>629</v>
      </c>
      <c r="B171" s="317"/>
      <c r="C171" s="317"/>
      <c r="D171" s="318">
        <f>D170/D169</f>
        <v>1.1437670609645132</v>
      </c>
      <c r="E171" s="319"/>
      <c r="F171" s="320"/>
    </row>
    <row r="172" spans="1:8" ht="14.25" thickTop="1" thickBot="1" x14ac:dyDescent="0.25">
      <c r="A172" s="335"/>
      <c r="B172" s="335"/>
      <c r="C172" s="335"/>
      <c r="D172" s="336"/>
      <c r="E172" s="336"/>
      <c r="F172" s="337"/>
    </row>
    <row r="173" spans="1:8" ht="13.5" thickTop="1" x14ac:dyDescent="0.2">
      <c r="A173" s="349" t="s">
        <v>686</v>
      </c>
      <c r="B173" s="350"/>
      <c r="C173" s="350"/>
      <c r="D173" s="309"/>
      <c r="E173" s="309"/>
      <c r="F173" s="310"/>
    </row>
    <row r="174" spans="1:8" x14ac:dyDescent="0.2">
      <c r="A174" s="347" t="s">
        <v>687</v>
      </c>
      <c r="B174" s="351"/>
      <c r="C174" s="351"/>
      <c r="D174" s="82"/>
      <c r="E174" s="82" t="s">
        <v>682</v>
      </c>
      <c r="F174" s="314"/>
    </row>
    <row r="175" spans="1:8" x14ac:dyDescent="0.2">
      <c r="A175" s="315" t="s">
        <v>683</v>
      </c>
      <c r="B175" s="276">
        <v>9</v>
      </c>
      <c r="C175" s="276">
        <v>2003</v>
      </c>
      <c r="D175" s="82">
        <f>INDEX('PPI Look Up Table'!B305:M318,C175-1999,B175)</f>
        <v>68.139873725109283</v>
      </c>
      <c r="E175" s="82"/>
      <c r="F175" s="314"/>
    </row>
    <row r="176" spans="1:8" x14ac:dyDescent="0.2">
      <c r="A176" s="315" t="s">
        <v>636</v>
      </c>
      <c r="B176" s="276">
        <f>'Input &amp; Summary'!$F$6</f>
        <v>13</v>
      </c>
      <c r="C176" s="313">
        <f>'Input &amp; Summary'!$F$7</f>
        <v>2009</v>
      </c>
      <c r="D176" s="82">
        <f>INDEX('PPI Look Up Table'!B305:N318,C176-1999,B176)</f>
        <v>95.483244293346274</v>
      </c>
      <c r="E176" s="82"/>
      <c r="F176" s="314"/>
    </row>
    <row r="177" spans="1:6" ht="13.5" thickBot="1" x14ac:dyDescent="0.25">
      <c r="A177" s="316" t="s">
        <v>629</v>
      </c>
      <c r="B177" s="317"/>
      <c r="C177" s="317"/>
      <c r="D177" s="318">
        <f>D176/D175</f>
        <v>1.4012829650748393</v>
      </c>
      <c r="E177" s="319"/>
      <c r="F177" s="320"/>
    </row>
    <row r="178" spans="1:6" ht="14.25" thickTop="1" thickBot="1" x14ac:dyDescent="0.25">
      <c r="A178" s="335"/>
      <c r="B178" s="335"/>
      <c r="C178" s="335"/>
      <c r="D178" s="336"/>
      <c r="E178" s="336"/>
      <c r="F178" s="337"/>
    </row>
    <row r="179" spans="1:6" ht="13.5" thickTop="1" x14ac:dyDescent="0.2">
      <c r="A179" s="349" t="s">
        <v>688</v>
      </c>
      <c r="B179" s="350"/>
      <c r="C179" s="350"/>
      <c r="D179" s="309"/>
      <c r="E179" s="309"/>
      <c r="F179" s="310"/>
    </row>
    <row r="180" spans="1:6" x14ac:dyDescent="0.2">
      <c r="A180" s="352" t="s">
        <v>689</v>
      </c>
      <c r="B180" s="351"/>
      <c r="C180" s="351"/>
      <c r="D180" s="82"/>
      <c r="E180" s="82" t="s">
        <v>682</v>
      </c>
      <c r="F180" s="314"/>
    </row>
    <row r="181" spans="1:6" x14ac:dyDescent="0.2">
      <c r="A181" s="315" t="s">
        <v>683</v>
      </c>
      <c r="B181" s="276">
        <v>9</v>
      </c>
      <c r="C181" s="276">
        <v>2002</v>
      </c>
      <c r="D181" s="82">
        <f>INDEX('PPI Look Up Table'!B305:M318,C181-1999,B181)</f>
        <v>67.071393880524525</v>
      </c>
      <c r="E181" s="82"/>
      <c r="F181" s="314"/>
    </row>
    <row r="182" spans="1:6" x14ac:dyDescent="0.2">
      <c r="A182" s="315" t="s">
        <v>636</v>
      </c>
      <c r="B182" s="276">
        <f>'Input &amp; Summary'!$F$6</f>
        <v>13</v>
      </c>
      <c r="C182" s="313">
        <f>'Input &amp; Summary'!$F$7</f>
        <v>2009</v>
      </c>
      <c r="D182" s="82">
        <f>INDEX('PPI Look Up Table'!B305:N318,C182-1999,B182)</f>
        <v>95.483244293346274</v>
      </c>
      <c r="E182" s="82"/>
      <c r="F182" s="314"/>
    </row>
    <row r="183" spans="1:6" ht="13.5" thickBot="1" x14ac:dyDescent="0.25">
      <c r="A183" s="316" t="s">
        <v>629</v>
      </c>
      <c r="B183" s="317"/>
      <c r="C183" s="317"/>
      <c r="D183" s="318">
        <f>D182/D181</f>
        <v>1.4236060825488774</v>
      </c>
      <c r="E183" s="319"/>
      <c r="F183" s="320"/>
    </row>
    <row r="184" spans="1:6" ht="14.25" thickTop="1" thickBot="1" x14ac:dyDescent="0.25">
      <c r="A184" s="353"/>
      <c r="B184" s="353"/>
      <c r="C184" s="353"/>
      <c r="D184" s="354"/>
      <c r="E184" s="319"/>
      <c r="F184" s="355"/>
    </row>
    <row r="185" spans="1:6" ht="13.5" thickTop="1" x14ac:dyDescent="0.2">
      <c r="A185" s="349" t="s">
        <v>690</v>
      </c>
      <c r="B185" s="350"/>
      <c r="C185" s="350"/>
      <c r="D185" s="309"/>
      <c r="E185" s="309"/>
      <c r="F185" s="310"/>
    </row>
    <row r="186" spans="1:6" x14ac:dyDescent="0.2">
      <c r="A186" s="352" t="s">
        <v>689</v>
      </c>
      <c r="B186" s="351"/>
      <c r="C186" s="351"/>
      <c r="D186" s="82"/>
      <c r="E186" s="82" t="s">
        <v>682</v>
      </c>
      <c r="F186" s="314"/>
    </row>
    <row r="187" spans="1:6" x14ac:dyDescent="0.2">
      <c r="A187" s="315" t="s">
        <v>683</v>
      </c>
      <c r="B187" s="276">
        <v>9</v>
      </c>
      <c r="C187" s="276">
        <v>2003</v>
      </c>
      <c r="D187" s="82">
        <f>INDEX('PPI Look Up Table'!B305:M318,C187-1999,B187)</f>
        <v>68.139873725109283</v>
      </c>
      <c r="E187" s="82"/>
      <c r="F187" s="314"/>
    </row>
    <row r="188" spans="1:6" x14ac:dyDescent="0.2">
      <c r="A188" s="315" t="s">
        <v>636</v>
      </c>
      <c r="B188" s="276">
        <f>'Input &amp; Summary'!$F$6</f>
        <v>13</v>
      </c>
      <c r="C188" s="313">
        <f>'Input &amp; Summary'!$F$7</f>
        <v>2009</v>
      </c>
      <c r="D188" s="82">
        <f>INDEX('PPI Look Up Table'!B305:N318,C188-1999,B188)</f>
        <v>95.483244293346274</v>
      </c>
      <c r="E188" s="82"/>
      <c r="F188" s="314"/>
    </row>
    <row r="189" spans="1:6" ht="13.5" thickBot="1" x14ac:dyDescent="0.25">
      <c r="A189" s="316" t="s">
        <v>629</v>
      </c>
      <c r="B189" s="317"/>
      <c r="C189" s="317"/>
      <c r="D189" s="318">
        <f>D188/D187</f>
        <v>1.4012829650748393</v>
      </c>
      <c r="E189" s="319"/>
      <c r="F189" s="320"/>
    </row>
    <row r="190" spans="1:6" ht="14.25" thickTop="1" thickBot="1" x14ac:dyDescent="0.25">
      <c r="A190" s="335"/>
      <c r="B190" s="335"/>
      <c r="C190" s="335"/>
      <c r="D190" s="336"/>
      <c r="E190" s="336"/>
      <c r="F190" s="337"/>
    </row>
    <row r="191" spans="1:6" ht="26.25" thickTop="1" x14ac:dyDescent="0.2">
      <c r="A191" s="356" t="s">
        <v>691</v>
      </c>
      <c r="B191" s="350"/>
      <c r="C191" s="350"/>
      <c r="D191" s="309"/>
      <c r="E191" s="309"/>
      <c r="F191" s="310"/>
    </row>
    <row r="192" spans="1:6" x14ac:dyDescent="0.2">
      <c r="A192" s="357" t="s">
        <v>692</v>
      </c>
      <c r="B192" s="358"/>
      <c r="C192" s="358"/>
      <c r="D192" s="82"/>
      <c r="E192" s="82">
        <v>3353119</v>
      </c>
      <c r="F192" s="314">
        <v>0.4</v>
      </c>
    </row>
    <row r="193" spans="1:6" x14ac:dyDescent="0.2">
      <c r="A193" s="315" t="s">
        <v>683</v>
      </c>
      <c r="B193" s="276">
        <v>9</v>
      </c>
      <c r="C193" s="276">
        <v>2002</v>
      </c>
      <c r="D193" s="82">
        <f>INDEX('PPI Look Up Table'!B236:M248,C193-1999,B193)</f>
        <v>98.2</v>
      </c>
      <c r="E193" s="276"/>
      <c r="F193" s="314"/>
    </row>
    <row r="194" spans="1:6" x14ac:dyDescent="0.2">
      <c r="A194" s="315" t="s">
        <v>636</v>
      </c>
      <c r="B194" s="276">
        <f>'Input &amp; Summary'!$F$6</f>
        <v>13</v>
      </c>
      <c r="C194" s="313">
        <f>'Input &amp; Summary'!$F$7</f>
        <v>2009</v>
      </c>
      <c r="D194" s="82">
        <f>INDEX('PPI Look Up Table'!B236:N248,C194-1999,B194)</f>
        <v>175.6</v>
      </c>
      <c r="E194" s="82"/>
      <c r="F194" s="314"/>
    </row>
    <row r="195" spans="1:6" x14ac:dyDescent="0.2">
      <c r="A195" s="329" t="s">
        <v>693</v>
      </c>
      <c r="B195" s="139"/>
      <c r="C195" s="139"/>
      <c r="D195" s="82"/>
      <c r="E195" s="82" t="s">
        <v>670</v>
      </c>
      <c r="F195" s="314">
        <v>0.15</v>
      </c>
    </row>
    <row r="196" spans="1:6" x14ac:dyDescent="0.2">
      <c r="A196" s="315" t="s">
        <v>683</v>
      </c>
      <c r="B196" s="276">
        <v>9</v>
      </c>
      <c r="C196" s="276">
        <v>2002</v>
      </c>
      <c r="D196" s="82">
        <f>INDEX('PPI Look Up Table'!B202:M214,C196-1999,B196)</f>
        <v>150.4</v>
      </c>
      <c r="E196" s="276"/>
      <c r="F196" s="314"/>
    </row>
    <row r="197" spans="1:6" x14ac:dyDescent="0.2">
      <c r="A197" s="315" t="s">
        <v>636</v>
      </c>
      <c r="B197" s="276">
        <f>'Input &amp; Summary'!$F$6</f>
        <v>13</v>
      </c>
      <c r="C197" s="313">
        <f>'Input &amp; Summary'!$F$7</f>
        <v>2009</v>
      </c>
      <c r="D197" s="82">
        <f>INDEX('PPI Look Up Table'!B202:N214,C197-1999,B197)</f>
        <v>195</v>
      </c>
      <c r="E197" s="276"/>
      <c r="F197" s="314"/>
    </row>
    <row r="198" spans="1:6" x14ac:dyDescent="0.2">
      <c r="A198" s="329" t="s">
        <v>671</v>
      </c>
      <c r="B198" s="139"/>
      <c r="C198" s="139"/>
      <c r="D198" s="82"/>
      <c r="E198" s="82">
        <v>3359291</v>
      </c>
      <c r="F198" s="314">
        <v>0.35</v>
      </c>
    </row>
    <row r="199" spans="1:6" x14ac:dyDescent="0.2">
      <c r="A199" s="315" t="s">
        <v>683</v>
      </c>
      <c r="B199" s="276">
        <v>9</v>
      </c>
      <c r="C199" s="276">
        <v>2002</v>
      </c>
      <c r="D199" s="82">
        <f>INDEX('PPI Look Up Table'!B219:M231,C199-1999,B199)</f>
        <v>108.6</v>
      </c>
      <c r="E199" s="276"/>
      <c r="F199" s="314"/>
    </row>
    <row r="200" spans="1:6" x14ac:dyDescent="0.2">
      <c r="A200" s="315" t="s">
        <v>636</v>
      </c>
      <c r="B200" s="276">
        <f>'Input &amp; Summary'!$F$6</f>
        <v>13</v>
      </c>
      <c r="C200" s="313">
        <f>'Input &amp; Summary'!$F$7</f>
        <v>2009</v>
      </c>
      <c r="D200" s="82">
        <f>INDEX('PPI Look Up Table'!B219:N231,C200-1999,B200)</f>
        <v>187.9</v>
      </c>
      <c r="E200" s="276"/>
      <c r="F200" s="314"/>
    </row>
    <row r="201" spans="1:6" x14ac:dyDescent="0.2">
      <c r="A201" s="315"/>
      <c r="B201" s="276"/>
      <c r="C201" s="276"/>
      <c r="D201" s="82"/>
      <c r="E201" s="82"/>
      <c r="F201" s="314"/>
    </row>
    <row r="202" spans="1:6" x14ac:dyDescent="0.2">
      <c r="A202" s="311" t="s">
        <v>672</v>
      </c>
      <c r="B202" s="312"/>
      <c r="C202" s="313">
        <v>2002</v>
      </c>
      <c r="D202" s="82">
        <f>HLOOKUP(C202,'PPI Look Up Table'!$B$7:$G$9,3)</f>
        <v>1.0289999999999999</v>
      </c>
      <c r="E202" s="82"/>
      <c r="F202" s="314">
        <v>0.1</v>
      </c>
    </row>
    <row r="203" spans="1:6" x14ac:dyDescent="0.2">
      <c r="A203" s="311"/>
      <c r="B203" s="312"/>
      <c r="C203" s="313">
        <f>'Input &amp; Summary'!$F$7</f>
        <v>2009</v>
      </c>
      <c r="D203" s="82">
        <f>HLOOKUP(C203,'PPI Look Up Table'!$B$7:$G$9,3)</f>
        <v>1.1209999999999998</v>
      </c>
      <c r="E203" s="82"/>
      <c r="F203" s="314"/>
    </row>
    <row r="204" spans="1:6" x14ac:dyDescent="0.2">
      <c r="A204" s="311"/>
      <c r="B204" s="312"/>
      <c r="C204" s="313"/>
      <c r="D204" s="82"/>
      <c r="E204" s="82"/>
      <c r="F204" s="314"/>
    </row>
    <row r="205" spans="1:6" ht="13.5" thickBot="1" x14ac:dyDescent="0.25">
      <c r="A205" s="316" t="s">
        <v>629</v>
      </c>
      <c r="B205" s="317"/>
      <c r="C205" s="317"/>
      <c r="D205" s="318">
        <f>(D194/D193)*F192+(D197/D196)*F195+(D200/D199)*F198+(D203/D202)*F202</f>
        <v>1.6242679536011342</v>
      </c>
      <c r="E205" s="319"/>
      <c r="F205" s="320"/>
    </row>
    <row r="206" spans="1:6" ht="14.25" thickTop="1" thickBot="1" x14ac:dyDescent="0.25">
      <c r="A206" s="333"/>
      <c r="B206" s="333"/>
      <c r="C206" s="333"/>
      <c r="D206" s="359"/>
      <c r="E206" s="82"/>
      <c r="F206" s="360"/>
    </row>
    <row r="207" spans="1:6" ht="26.25" thickTop="1" x14ac:dyDescent="0.2">
      <c r="A207" s="356" t="s">
        <v>694</v>
      </c>
      <c r="B207" s="350"/>
      <c r="C207" s="350"/>
      <c r="D207" s="309"/>
      <c r="E207" s="309"/>
      <c r="F207" s="310"/>
    </row>
    <row r="208" spans="1:6" x14ac:dyDescent="0.2">
      <c r="A208" s="357" t="s">
        <v>692</v>
      </c>
      <c r="B208" s="358"/>
      <c r="C208" s="358"/>
      <c r="D208" s="82"/>
      <c r="E208" s="82">
        <v>3353119</v>
      </c>
      <c r="F208" s="314">
        <v>0.05</v>
      </c>
    </row>
    <row r="209" spans="1:6" x14ac:dyDescent="0.2">
      <c r="A209" s="315" t="s">
        <v>683</v>
      </c>
      <c r="B209" s="276">
        <v>9</v>
      </c>
      <c r="C209" s="276">
        <v>2003</v>
      </c>
      <c r="D209" s="82">
        <f>INDEX('PPI Look Up Table'!B236:M248,C209-1999,B209)</f>
        <v>97.9</v>
      </c>
      <c r="E209" s="276"/>
      <c r="F209" s="314"/>
    </row>
    <row r="210" spans="1:6" x14ac:dyDescent="0.2">
      <c r="A210" s="315" t="s">
        <v>636</v>
      </c>
      <c r="B210" s="276">
        <f>'Input &amp; Summary'!$F$6</f>
        <v>13</v>
      </c>
      <c r="C210" s="313">
        <f>'Input &amp; Summary'!$F$7</f>
        <v>2009</v>
      </c>
      <c r="D210" s="82">
        <f>INDEX('PPI Look Up Table'!B236:N248,C210-1999,B210)</f>
        <v>175.6</v>
      </c>
      <c r="E210" s="82"/>
      <c r="F210" s="314"/>
    </row>
    <row r="211" spans="1:6" x14ac:dyDescent="0.2">
      <c r="A211" s="329" t="s">
        <v>693</v>
      </c>
      <c r="B211" s="139"/>
      <c r="C211" s="139"/>
      <c r="D211" s="82"/>
      <c r="E211" s="82" t="s">
        <v>670</v>
      </c>
      <c r="F211" s="314">
        <v>0.05</v>
      </c>
    </row>
    <row r="212" spans="1:6" x14ac:dyDescent="0.2">
      <c r="A212" s="315" t="s">
        <v>683</v>
      </c>
      <c r="B212" s="276">
        <v>9</v>
      </c>
      <c r="C212" s="276">
        <v>2003</v>
      </c>
      <c r="D212" s="82">
        <f>INDEX('PPI Look Up Table'!B202:M214,C212-1999,B212)</f>
        <v>150.9</v>
      </c>
      <c r="E212" s="276"/>
      <c r="F212" s="314"/>
    </row>
    <row r="213" spans="1:6" x14ac:dyDescent="0.2">
      <c r="A213" s="315" t="s">
        <v>636</v>
      </c>
      <c r="B213" s="276">
        <f>'Input &amp; Summary'!$F$6</f>
        <v>13</v>
      </c>
      <c r="C213" s="313">
        <f>'Input &amp; Summary'!$F$7</f>
        <v>2009</v>
      </c>
      <c r="D213" s="82">
        <f>INDEX('PPI Look Up Table'!B202:N214,C213-1999,B213)</f>
        <v>195</v>
      </c>
      <c r="E213" s="276"/>
      <c r="F213" s="314"/>
    </row>
    <row r="214" spans="1:6" x14ac:dyDescent="0.2">
      <c r="A214" s="329" t="s">
        <v>671</v>
      </c>
      <c r="B214" s="139"/>
      <c r="C214" s="139"/>
      <c r="D214" s="82"/>
      <c r="E214" s="82">
        <v>3359291</v>
      </c>
      <c r="F214" s="314">
        <v>0.7</v>
      </c>
    </row>
    <row r="215" spans="1:6" x14ac:dyDescent="0.2">
      <c r="A215" s="315" t="s">
        <v>683</v>
      </c>
      <c r="B215" s="276">
        <v>9</v>
      </c>
      <c r="C215" s="276">
        <v>2003</v>
      </c>
      <c r="D215" s="82">
        <f>INDEX('PPI Look Up Table'!B219:M231,C215-1999,B215)</f>
        <v>119.2</v>
      </c>
      <c r="E215" s="276"/>
      <c r="F215" s="314"/>
    </row>
    <row r="216" spans="1:6" x14ac:dyDescent="0.2">
      <c r="A216" s="315" t="s">
        <v>636</v>
      </c>
      <c r="B216" s="276">
        <f>'Input &amp; Summary'!$F$6</f>
        <v>13</v>
      </c>
      <c r="C216" s="313">
        <f>'Input &amp; Summary'!$F$7</f>
        <v>2009</v>
      </c>
      <c r="D216" s="82">
        <f>INDEX('PPI Look Up Table'!B219:N231,C216-1999,B216)</f>
        <v>187.9</v>
      </c>
      <c r="E216" s="276"/>
      <c r="F216" s="314"/>
    </row>
    <row r="217" spans="1:6" x14ac:dyDescent="0.2">
      <c r="A217" s="315"/>
      <c r="B217" s="276"/>
      <c r="C217" s="276"/>
      <c r="D217" s="82"/>
      <c r="E217" s="82"/>
      <c r="F217" s="314"/>
    </row>
    <row r="218" spans="1:6" x14ac:dyDescent="0.2">
      <c r="A218" s="311" t="s">
        <v>672</v>
      </c>
      <c r="B218" s="312"/>
      <c r="C218" s="313">
        <v>2003</v>
      </c>
      <c r="D218" s="82">
        <f>HLOOKUP(C218,'PPI Look Up Table'!$B$7:$G$9,3)</f>
        <v>1.0539999999999998</v>
      </c>
      <c r="E218" s="82"/>
      <c r="F218" s="314">
        <v>0.2</v>
      </c>
    </row>
    <row r="219" spans="1:6" x14ac:dyDescent="0.2">
      <c r="A219" s="311"/>
      <c r="B219" s="312"/>
      <c r="C219" s="313">
        <f>'Input &amp; Summary'!$F$7</f>
        <v>2009</v>
      </c>
      <c r="D219" s="82">
        <f>HLOOKUP(C219,'PPI Look Up Table'!$B$7:$G$9,3)</f>
        <v>1.1209999999999998</v>
      </c>
      <c r="E219" s="82"/>
      <c r="F219" s="314"/>
    </row>
    <row r="220" spans="1:6" x14ac:dyDescent="0.2">
      <c r="A220" s="311"/>
      <c r="B220" s="312"/>
      <c r="C220" s="313"/>
      <c r="D220" s="82"/>
      <c r="E220" s="82"/>
      <c r="F220" s="314"/>
    </row>
    <row r="221" spans="1:6" ht="13.5" thickBot="1" x14ac:dyDescent="0.25">
      <c r="A221" s="316" t="s">
        <v>629</v>
      </c>
      <c r="B221" s="317"/>
      <c r="C221" s="317"/>
      <c r="D221" s="318">
        <f>(D210/D209)*F208+(D213/D212)*F211+(D216/D215)*F214+(D219/D218)*F218</f>
        <v>1.4704487462024498</v>
      </c>
      <c r="E221" s="319"/>
      <c r="F221" s="320"/>
    </row>
    <row r="222" spans="1:6" ht="14.25" thickTop="1" thickBot="1" x14ac:dyDescent="0.25">
      <c r="A222" s="123"/>
      <c r="B222" s="123"/>
      <c r="C222" s="123"/>
      <c r="F222" s="334"/>
    </row>
    <row r="223" spans="1:6" ht="13.5" thickTop="1" x14ac:dyDescent="0.2">
      <c r="A223" s="349" t="s">
        <v>695</v>
      </c>
      <c r="B223" s="350"/>
      <c r="C223" s="350"/>
      <c r="D223" s="309"/>
      <c r="E223" s="309"/>
      <c r="F223" s="310"/>
    </row>
    <row r="224" spans="1:6" x14ac:dyDescent="0.2">
      <c r="A224" s="311" t="s">
        <v>628</v>
      </c>
      <c r="B224" s="312"/>
      <c r="C224" s="313">
        <v>2002</v>
      </c>
      <c r="D224" s="82">
        <f>HLOOKUP(C224,'PPI Look Up Table'!$B$7:$G$9,3)</f>
        <v>1.0289999999999999</v>
      </c>
      <c r="E224" s="82"/>
      <c r="F224" s="314"/>
    </row>
    <row r="225" spans="1:6" x14ac:dyDescent="0.2">
      <c r="A225" s="311"/>
      <c r="B225" s="312"/>
      <c r="C225" s="313">
        <f>'Input &amp; Summary'!$F$7</f>
        <v>2009</v>
      </c>
      <c r="D225" s="82">
        <f>HLOOKUP(C225,'PPI Look Up Table'!$B$7:$G$9,3)</f>
        <v>1.1209999999999998</v>
      </c>
      <c r="E225" s="82"/>
      <c r="F225" s="314"/>
    </row>
    <row r="226" spans="1:6" ht="13.5" thickBot="1" x14ac:dyDescent="0.25">
      <c r="A226" s="316" t="s">
        <v>696</v>
      </c>
      <c r="B226" s="361"/>
      <c r="C226" s="361"/>
      <c r="D226" s="318">
        <f>D225/D224</f>
        <v>1.0894071914480077</v>
      </c>
      <c r="E226" s="319"/>
      <c r="F226" s="320"/>
    </row>
    <row r="227" spans="1:6" ht="14.25" thickTop="1" thickBot="1" x14ac:dyDescent="0.25">
      <c r="A227" s="348"/>
      <c r="B227" s="348"/>
      <c r="C227" s="348"/>
      <c r="F227" s="334"/>
    </row>
    <row r="228" spans="1:6" ht="13.5" thickTop="1" x14ac:dyDescent="0.2">
      <c r="A228" s="349" t="s">
        <v>697</v>
      </c>
      <c r="B228" s="350"/>
      <c r="C228" s="350"/>
      <c r="D228" s="309"/>
      <c r="E228" s="309"/>
      <c r="F228" s="310"/>
    </row>
    <row r="229" spans="1:6" x14ac:dyDescent="0.2">
      <c r="A229" s="311" t="s">
        <v>628</v>
      </c>
      <c r="B229" s="312"/>
      <c r="C229" s="313">
        <v>2003</v>
      </c>
      <c r="D229" s="82">
        <f>HLOOKUP(C229,'PPI Look Up Table'!$B$7:$G$9,3)</f>
        <v>1.0539999999999998</v>
      </c>
      <c r="E229" s="82"/>
      <c r="F229" s="314"/>
    </row>
    <row r="230" spans="1:6" x14ac:dyDescent="0.2">
      <c r="A230" s="311"/>
      <c r="B230" s="312"/>
      <c r="C230" s="313">
        <f>'Input &amp; Summary'!$F$7</f>
        <v>2009</v>
      </c>
      <c r="D230" s="82">
        <f>HLOOKUP(C230,'PPI Look Up Table'!$B$7:$G$9,3)</f>
        <v>1.1209999999999998</v>
      </c>
      <c r="E230" s="82"/>
      <c r="F230" s="314"/>
    </row>
    <row r="231" spans="1:6" ht="13.5" thickBot="1" x14ac:dyDescent="0.25">
      <c r="A231" s="316" t="s">
        <v>696</v>
      </c>
      <c r="B231" s="361"/>
      <c r="C231" s="361"/>
      <c r="D231" s="318">
        <f>D230/D229</f>
        <v>1.0635673624288424</v>
      </c>
      <c r="E231" s="319"/>
      <c r="F231" s="320"/>
    </row>
    <row r="232" spans="1:6" ht="14.25" thickTop="1" thickBot="1" x14ac:dyDescent="0.25">
      <c r="A232" s="348"/>
      <c r="B232" s="348"/>
      <c r="C232" s="348"/>
      <c r="F232" s="334"/>
    </row>
    <row r="233" spans="1:6" ht="13.5" thickTop="1" x14ac:dyDescent="0.2">
      <c r="A233" s="349" t="s">
        <v>698</v>
      </c>
      <c r="B233" s="350"/>
      <c r="C233" s="350"/>
      <c r="D233" s="309"/>
      <c r="E233" s="309"/>
      <c r="F233" s="310"/>
    </row>
    <row r="234" spans="1:6" x14ac:dyDescent="0.2">
      <c r="A234" s="311" t="s">
        <v>628</v>
      </c>
      <c r="B234" s="312"/>
      <c r="C234" s="313">
        <v>2002</v>
      </c>
      <c r="D234" s="82">
        <f>HLOOKUP(C234,'PPI Look Up Table'!$B$7:$G$9,3)</f>
        <v>1.0289999999999999</v>
      </c>
      <c r="E234" s="82"/>
      <c r="F234" s="314"/>
    </row>
    <row r="235" spans="1:6" x14ac:dyDescent="0.2">
      <c r="A235" s="311"/>
      <c r="B235" s="312"/>
      <c r="C235" s="313">
        <f>'Input &amp; Summary'!$F$7</f>
        <v>2009</v>
      </c>
      <c r="D235" s="82">
        <f>HLOOKUP(C235,'PPI Look Up Table'!$B$7:$G$9,3)</f>
        <v>1.1209999999999998</v>
      </c>
      <c r="E235" s="82"/>
      <c r="F235" s="314"/>
    </row>
    <row r="236" spans="1:6" ht="13.5" thickBot="1" x14ac:dyDescent="0.25">
      <c r="A236" s="316" t="s">
        <v>696</v>
      </c>
      <c r="B236" s="361"/>
      <c r="C236" s="361"/>
      <c r="D236" s="318">
        <f>D235/D234</f>
        <v>1.0894071914480077</v>
      </c>
      <c r="E236" s="319"/>
      <c r="F236" s="320"/>
    </row>
    <row r="237" spans="1:6" ht="14.25" thickTop="1" thickBot="1" x14ac:dyDescent="0.25">
      <c r="A237" s="362"/>
      <c r="B237" s="363"/>
      <c r="C237" s="363"/>
      <c r="D237" s="364"/>
      <c r="E237" s="82"/>
      <c r="F237" s="360"/>
    </row>
    <row r="238" spans="1:6" ht="13.5" thickTop="1" x14ac:dyDescent="0.2">
      <c r="A238" s="349" t="s">
        <v>699</v>
      </c>
      <c r="B238" s="350"/>
      <c r="C238" s="350"/>
      <c r="D238" s="309"/>
      <c r="E238" s="309"/>
      <c r="F238" s="310"/>
    </row>
    <row r="239" spans="1:6" x14ac:dyDescent="0.2">
      <c r="A239" s="311" t="s">
        <v>628</v>
      </c>
      <c r="B239" s="312"/>
      <c r="C239" s="313">
        <v>2003</v>
      </c>
      <c r="D239" s="82">
        <f>HLOOKUP(C239,'PPI Look Up Table'!$B$7:$G$9,3)</f>
        <v>1.0539999999999998</v>
      </c>
      <c r="E239" s="82"/>
      <c r="F239" s="314"/>
    </row>
    <row r="240" spans="1:6" x14ac:dyDescent="0.2">
      <c r="A240" s="311"/>
      <c r="B240" s="312"/>
      <c r="C240" s="313">
        <f>'Input &amp; Summary'!$F$7</f>
        <v>2009</v>
      </c>
      <c r="D240" s="82">
        <f>HLOOKUP(C240,'PPI Look Up Table'!$B$7:$G$9,3)</f>
        <v>1.1209999999999998</v>
      </c>
      <c r="E240" s="82"/>
      <c r="F240" s="314"/>
    </row>
    <row r="241" spans="1:6" ht="13.5" thickBot="1" x14ac:dyDescent="0.25">
      <c r="A241" s="316" t="s">
        <v>696</v>
      </c>
      <c r="B241" s="361"/>
      <c r="C241" s="361"/>
      <c r="D241" s="318">
        <f>D240/D239</f>
        <v>1.0635673624288424</v>
      </c>
      <c r="E241" s="319"/>
      <c r="F241" s="320"/>
    </row>
    <row r="242" spans="1:6" ht="14.25" thickTop="1" thickBot="1" x14ac:dyDescent="0.25">
      <c r="A242" s="348"/>
      <c r="B242" s="348"/>
      <c r="C242" s="348"/>
      <c r="F242" s="334"/>
    </row>
    <row r="243" spans="1:6" ht="13.5" thickTop="1" x14ac:dyDescent="0.2">
      <c r="A243" s="349" t="s">
        <v>700</v>
      </c>
      <c r="B243" s="350"/>
      <c r="C243" s="350"/>
      <c r="D243" s="309"/>
      <c r="E243" s="309"/>
      <c r="F243" s="310"/>
    </row>
    <row r="244" spans="1:6" x14ac:dyDescent="0.2">
      <c r="A244" s="311" t="s">
        <v>628</v>
      </c>
      <c r="B244" s="312"/>
      <c r="C244" s="313">
        <v>2002</v>
      </c>
      <c r="D244" s="82">
        <f>HLOOKUP(C244,'PPI Look Up Table'!$B$7:$G$9,3)</f>
        <v>1.0289999999999999</v>
      </c>
      <c r="E244" s="82"/>
      <c r="F244" s="314"/>
    </row>
    <row r="245" spans="1:6" x14ac:dyDescent="0.2">
      <c r="A245" s="311"/>
      <c r="B245" s="312"/>
      <c r="C245" s="313">
        <f>'Input &amp; Summary'!$F$7</f>
        <v>2009</v>
      </c>
      <c r="D245" s="82">
        <f>HLOOKUP(C245,'PPI Look Up Table'!$B$7:$G$9,3)</f>
        <v>1.1209999999999998</v>
      </c>
      <c r="E245" s="82"/>
      <c r="F245" s="314"/>
    </row>
    <row r="246" spans="1:6" ht="13.5" thickBot="1" x14ac:dyDescent="0.25">
      <c r="A246" s="316" t="s">
        <v>696</v>
      </c>
      <c r="B246" s="361"/>
      <c r="C246" s="361"/>
      <c r="D246" s="318">
        <f>D245/D244</f>
        <v>1.0894071914480077</v>
      </c>
      <c r="E246" s="319"/>
      <c r="F246" s="320"/>
    </row>
    <row r="247" spans="1:6" ht="14.25" thickTop="1" thickBot="1" x14ac:dyDescent="0.25">
      <c r="A247" s="348"/>
      <c r="B247" s="348"/>
      <c r="C247" s="348"/>
      <c r="F247" s="334"/>
    </row>
    <row r="248" spans="1:6" ht="13.5" thickTop="1" x14ac:dyDescent="0.2">
      <c r="A248" s="349" t="s">
        <v>701</v>
      </c>
      <c r="B248" s="350"/>
      <c r="C248" s="350"/>
      <c r="D248" s="309"/>
      <c r="E248" s="309"/>
      <c r="F248" s="310"/>
    </row>
    <row r="249" spans="1:6" x14ac:dyDescent="0.2">
      <c r="A249" s="311" t="s">
        <v>628</v>
      </c>
      <c r="B249" s="312"/>
      <c r="C249" s="313">
        <v>2003</v>
      </c>
      <c r="D249" s="82">
        <f>HLOOKUP(C249,'PPI Look Up Table'!$B$7:$G$9,3)</f>
        <v>1.0539999999999998</v>
      </c>
      <c r="E249" s="82"/>
      <c r="F249" s="314"/>
    </row>
    <row r="250" spans="1:6" x14ac:dyDescent="0.2">
      <c r="A250" s="311"/>
      <c r="B250" s="312"/>
      <c r="C250" s="313">
        <f>'Input &amp; Summary'!$F$7</f>
        <v>2009</v>
      </c>
      <c r="D250" s="82">
        <f>HLOOKUP(C250,'PPI Look Up Table'!$B$7:$G$9,3)</f>
        <v>1.1209999999999998</v>
      </c>
      <c r="E250" s="82"/>
      <c r="F250" s="314"/>
    </row>
    <row r="251" spans="1:6" ht="13.5" thickBot="1" x14ac:dyDescent="0.25">
      <c r="A251" s="316" t="s">
        <v>696</v>
      </c>
      <c r="B251" s="361"/>
      <c r="C251" s="361"/>
      <c r="D251" s="318">
        <f>D250/D249</f>
        <v>1.0635673624288424</v>
      </c>
      <c r="E251" s="319"/>
      <c r="F251" s="320"/>
    </row>
    <row r="252" spans="1:6" ht="14.25" thickTop="1" thickBot="1" x14ac:dyDescent="0.25">
      <c r="A252" s="348"/>
      <c r="B252" s="348"/>
      <c r="C252" s="348"/>
      <c r="F252" s="334"/>
    </row>
    <row r="253" spans="1:6" ht="13.5" thickTop="1" x14ac:dyDescent="0.2">
      <c r="A253" s="349" t="s">
        <v>702</v>
      </c>
      <c r="B253" s="350"/>
      <c r="C253" s="350"/>
      <c r="D253" s="309"/>
      <c r="E253" s="309"/>
      <c r="F253" s="310"/>
    </row>
    <row r="254" spans="1:6" x14ac:dyDescent="0.2">
      <c r="A254" s="311" t="s">
        <v>628</v>
      </c>
      <c r="B254" s="312"/>
      <c r="C254" s="313">
        <v>2002</v>
      </c>
      <c r="D254" s="82">
        <f>HLOOKUP(C254,'PPI Look Up Table'!$B$7:$G$9,3)</f>
        <v>1.0289999999999999</v>
      </c>
      <c r="E254" s="82"/>
      <c r="F254" s="328"/>
    </row>
    <row r="255" spans="1:6" x14ac:dyDescent="0.2">
      <c r="A255" s="311"/>
      <c r="B255" s="312"/>
      <c r="C255" s="313">
        <f>'Input &amp; Summary'!$F$7</f>
        <v>2009</v>
      </c>
      <c r="D255" s="82">
        <f>HLOOKUP(C255,'PPI Look Up Table'!$B$7:$G$9,3)</f>
        <v>1.1209999999999998</v>
      </c>
      <c r="E255" s="82"/>
      <c r="F255" s="328"/>
    </row>
    <row r="256" spans="1:6" ht="13.5" thickBot="1" x14ac:dyDescent="0.25">
      <c r="A256" s="316" t="s">
        <v>696</v>
      </c>
      <c r="B256" s="361"/>
      <c r="C256" s="361"/>
      <c r="D256" s="318">
        <f>D255/D254</f>
        <v>1.0894071914480077</v>
      </c>
      <c r="E256" s="319"/>
      <c r="F256" s="365"/>
    </row>
    <row r="257" spans="1:6" ht="14.25" thickTop="1" thickBot="1" x14ac:dyDescent="0.25"/>
    <row r="258" spans="1:6" ht="13.5" thickTop="1" x14ac:dyDescent="0.2">
      <c r="A258" s="349" t="s">
        <v>89</v>
      </c>
      <c r="B258" s="350"/>
      <c r="C258" s="350"/>
      <c r="D258" s="309"/>
      <c r="E258" s="309"/>
      <c r="F258" s="310"/>
    </row>
    <row r="259" spans="1:6" x14ac:dyDescent="0.2">
      <c r="A259" s="347" t="s">
        <v>687</v>
      </c>
      <c r="B259" s="351"/>
      <c r="C259" s="351"/>
      <c r="D259" s="82"/>
      <c r="E259" s="82" t="s">
        <v>682</v>
      </c>
      <c r="F259" s="314"/>
    </row>
    <row r="260" spans="1:6" x14ac:dyDescent="0.2">
      <c r="A260" s="315" t="s">
        <v>683</v>
      </c>
      <c r="B260" s="276">
        <v>9</v>
      </c>
      <c r="C260" s="276">
        <v>2002</v>
      </c>
      <c r="D260" s="82">
        <f>INDEX('PPI Look Up Table'!B305:M318,C260-1999,B260)</f>
        <v>67.071393880524525</v>
      </c>
      <c r="E260" s="82"/>
      <c r="F260" s="314"/>
    </row>
    <row r="261" spans="1:6" x14ac:dyDescent="0.2">
      <c r="A261" s="315" t="s">
        <v>636</v>
      </c>
      <c r="B261" s="276">
        <f>'Input &amp; Summary'!$F$6</f>
        <v>13</v>
      </c>
      <c r="C261" s="313">
        <f>'Input &amp; Summary'!$F$7</f>
        <v>2009</v>
      </c>
      <c r="D261" s="82">
        <f>INDEX('PPI Look Up Table'!B305:N318,C261-1999,B261)</f>
        <v>95.483244293346274</v>
      </c>
      <c r="E261" s="82"/>
      <c r="F261" s="314"/>
    </row>
    <row r="262" spans="1:6" ht="13.5" thickBot="1" x14ac:dyDescent="0.25">
      <c r="A262" s="316" t="s">
        <v>629</v>
      </c>
      <c r="B262" s="317"/>
      <c r="C262" s="317"/>
      <c r="D262" s="318">
        <f>D261/D260</f>
        <v>1.4236060825488774</v>
      </c>
      <c r="E262" s="319"/>
      <c r="F262" s="320"/>
    </row>
    <row r="263" spans="1:6" ht="14.25" thickTop="1" thickBot="1" x14ac:dyDescent="0.25"/>
    <row r="264" spans="1:6" ht="13.5" thickTop="1" x14ac:dyDescent="0.2">
      <c r="A264" s="349" t="s">
        <v>703</v>
      </c>
      <c r="B264" s="350"/>
      <c r="C264" s="350"/>
      <c r="D264" s="309"/>
      <c r="E264" s="309"/>
      <c r="F264" s="310"/>
    </row>
    <row r="265" spans="1:6" x14ac:dyDescent="0.2">
      <c r="A265" s="347" t="s">
        <v>704</v>
      </c>
      <c r="B265" s="351"/>
      <c r="C265" s="351"/>
      <c r="D265" s="82"/>
      <c r="E265" s="82" t="s">
        <v>705</v>
      </c>
      <c r="F265" s="314"/>
    </row>
    <row r="266" spans="1:6" x14ac:dyDescent="0.2">
      <c r="A266" s="315" t="s">
        <v>683</v>
      </c>
      <c r="B266" s="276">
        <v>9</v>
      </c>
      <c r="C266" s="276">
        <v>2002</v>
      </c>
      <c r="D266" s="82">
        <f>INDEX('PPI Look Up Table'!B287:M300,C266-1999,B266)</f>
        <v>61.906955320128972</v>
      </c>
      <c r="E266" s="82"/>
      <c r="F266" s="314"/>
    </row>
    <row r="267" spans="1:6" x14ac:dyDescent="0.2">
      <c r="A267" s="315" t="s">
        <v>636</v>
      </c>
      <c r="B267" s="276">
        <f>'Input &amp; Summary'!$F$6</f>
        <v>13</v>
      </c>
      <c r="C267" s="313">
        <f>'Input &amp; Summary'!$F$7</f>
        <v>2009</v>
      </c>
      <c r="D267" s="82">
        <f>INDEX('PPI Look Up Table'!B287:N300,C267-1999,B267)</f>
        <v>94.564716720405357</v>
      </c>
      <c r="E267" s="82"/>
      <c r="F267" s="314"/>
    </row>
    <row r="268" spans="1:6" ht="13.5" thickBot="1" x14ac:dyDescent="0.25">
      <c r="A268" s="316" t="s">
        <v>629</v>
      </c>
      <c r="B268" s="317"/>
      <c r="C268" s="317"/>
      <c r="D268" s="318">
        <f>D267/D266</f>
        <v>1.5275297619047621</v>
      </c>
      <c r="E268" s="319"/>
      <c r="F268" s="320"/>
    </row>
    <row r="269" spans="1:6" ht="14.25" thickTop="1" thickBot="1" x14ac:dyDescent="0.25"/>
    <row r="270" spans="1:6" ht="13.5" thickTop="1" x14ac:dyDescent="0.2">
      <c r="A270" s="306" t="s">
        <v>706</v>
      </c>
      <c r="B270" s="307"/>
      <c r="C270" s="308">
        <v>2003</v>
      </c>
      <c r="D270" s="309">
        <f>HLOOKUP(C270,'PPI Look Up Table'!$B$7:$G$9,3)</f>
        <v>1.0539999999999998</v>
      </c>
      <c r="E270" s="309"/>
      <c r="F270" s="310"/>
    </row>
    <row r="271" spans="1:6" x14ac:dyDescent="0.2">
      <c r="A271" s="311"/>
      <c r="B271" s="312"/>
      <c r="C271" s="313">
        <f>'Input &amp; Summary'!$F$7</f>
        <v>2009</v>
      </c>
      <c r="D271" s="82">
        <f>HLOOKUP(C271,'PPI Look Up Table'!$B$7:$G$9,3)</f>
        <v>1.1209999999999998</v>
      </c>
      <c r="E271" s="82"/>
      <c r="F271" s="314"/>
    </row>
    <row r="272" spans="1:6" x14ac:dyDescent="0.2">
      <c r="A272" s="315"/>
      <c r="B272" s="276"/>
      <c r="C272" s="276"/>
      <c r="D272" s="82"/>
      <c r="E272" s="82"/>
      <c r="F272" s="314"/>
    </row>
    <row r="273" spans="1:6" ht="13.5" thickBot="1" x14ac:dyDescent="0.25">
      <c r="A273" s="316" t="s">
        <v>629</v>
      </c>
      <c r="B273" s="317"/>
      <c r="C273" s="317"/>
      <c r="D273" s="318">
        <f>D271/D270</f>
        <v>1.0635673624288424</v>
      </c>
      <c r="E273" s="319"/>
      <c r="F273" s="320"/>
    </row>
    <row r="274" spans="1:6" ht="13.5" thickTop="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3"/>
    <pageSetUpPr fitToPage="1"/>
  </sheetPr>
  <dimension ref="A1:S402"/>
  <sheetViews>
    <sheetView zoomScaleNormal="100" workbookViewId="0">
      <pane xSplit="1" topLeftCell="B1" activePane="topRight" state="frozen"/>
      <selection activeCell="E6" sqref="E6"/>
      <selection pane="topRight"/>
    </sheetView>
  </sheetViews>
  <sheetFormatPr defaultRowHeight="12.75" x14ac:dyDescent="0.2"/>
  <cols>
    <col min="1" max="1" width="34.7109375" customWidth="1"/>
    <col min="2" max="2" width="10" bestFit="1" customWidth="1"/>
    <col min="257" max="257" width="34.7109375" customWidth="1"/>
    <col min="258" max="258" width="10" bestFit="1" customWidth="1"/>
    <col min="513" max="513" width="34.7109375" customWidth="1"/>
    <col min="514" max="514" width="10" bestFit="1" customWidth="1"/>
    <col min="769" max="769" width="34.7109375" customWidth="1"/>
    <col min="770" max="770" width="10" bestFit="1" customWidth="1"/>
    <col min="1025" max="1025" width="34.7109375" customWidth="1"/>
    <col min="1026" max="1026" width="10" bestFit="1" customWidth="1"/>
    <col min="1281" max="1281" width="34.7109375" customWidth="1"/>
    <col min="1282" max="1282" width="10" bestFit="1" customWidth="1"/>
    <col min="1537" max="1537" width="34.7109375" customWidth="1"/>
    <col min="1538" max="1538" width="10" bestFit="1" customWidth="1"/>
    <col min="1793" max="1793" width="34.7109375" customWidth="1"/>
    <col min="1794" max="1794" width="10" bestFit="1" customWidth="1"/>
    <col min="2049" max="2049" width="34.7109375" customWidth="1"/>
    <col min="2050" max="2050" width="10" bestFit="1" customWidth="1"/>
    <col min="2305" max="2305" width="34.7109375" customWidth="1"/>
    <col min="2306" max="2306" width="10" bestFit="1" customWidth="1"/>
    <col min="2561" max="2561" width="34.7109375" customWidth="1"/>
    <col min="2562" max="2562" width="10" bestFit="1" customWidth="1"/>
    <col min="2817" max="2817" width="34.7109375" customWidth="1"/>
    <col min="2818" max="2818" width="10" bestFit="1" customWidth="1"/>
    <col min="3073" max="3073" width="34.7109375" customWidth="1"/>
    <col min="3074" max="3074" width="10" bestFit="1" customWidth="1"/>
    <col min="3329" max="3329" width="34.7109375" customWidth="1"/>
    <col min="3330" max="3330" width="10" bestFit="1" customWidth="1"/>
    <col min="3585" max="3585" width="34.7109375" customWidth="1"/>
    <col min="3586" max="3586" width="10" bestFit="1" customWidth="1"/>
    <col min="3841" max="3841" width="34.7109375" customWidth="1"/>
    <col min="3842" max="3842" width="10" bestFit="1" customWidth="1"/>
    <col min="4097" max="4097" width="34.7109375" customWidth="1"/>
    <col min="4098" max="4098" width="10" bestFit="1" customWidth="1"/>
    <col min="4353" max="4353" width="34.7109375" customWidth="1"/>
    <col min="4354" max="4354" width="10" bestFit="1" customWidth="1"/>
    <col min="4609" max="4609" width="34.7109375" customWidth="1"/>
    <col min="4610" max="4610" width="10" bestFit="1" customWidth="1"/>
    <col min="4865" max="4865" width="34.7109375" customWidth="1"/>
    <col min="4866" max="4866" width="10" bestFit="1" customWidth="1"/>
    <col min="5121" max="5121" width="34.7109375" customWidth="1"/>
    <col min="5122" max="5122" width="10" bestFit="1" customWidth="1"/>
    <col min="5377" max="5377" width="34.7109375" customWidth="1"/>
    <col min="5378" max="5378" width="10" bestFit="1" customWidth="1"/>
    <col min="5633" max="5633" width="34.7109375" customWidth="1"/>
    <col min="5634" max="5634" width="10" bestFit="1" customWidth="1"/>
    <col min="5889" max="5889" width="34.7109375" customWidth="1"/>
    <col min="5890" max="5890" width="10" bestFit="1" customWidth="1"/>
    <col min="6145" max="6145" width="34.7109375" customWidth="1"/>
    <col min="6146" max="6146" width="10" bestFit="1" customWidth="1"/>
    <col min="6401" max="6401" width="34.7109375" customWidth="1"/>
    <col min="6402" max="6402" width="10" bestFit="1" customWidth="1"/>
    <col min="6657" max="6657" width="34.7109375" customWidth="1"/>
    <col min="6658" max="6658" width="10" bestFit="1" customWidth="1"/>
    <col min="6913" max="6913" width="34.7109375" customWidth="1"/>
    <col min="6914" max="6914" width="10" bestFit="1" customWidth="1"/>
    <col min="7169" max="7169" width="34.7109375" customWidth="1"/>
    <col min="7170" max="7170" width="10" bestFit="1" customWidth="1"/>
    <col min="7425" max="7425" width="34.7109375" customWidth="1"/>
    <col min="7426" max="7426" width="10" bestFit="1" customWidth="1"/>
    <col min="7681" max="7681" width="34.7109375" customWidth="1"/>
    <col min="7682" max="7682" width="10" bestFit="1" customWidth="1"/>
    <col min="7937" max="7937" width="34.7109375" customWidth="1"/>
    <col min="7938" max="7938" width="10" bestFit="1" customWidth="1"/>
    <col min="8193" max="8193" width="34.7109375" customWidth="1"/>
    <col min="8194" max="8194" width="10" bestFit="1" customWidth="1"/>
    <col min="8449" max="8449" width="34.7109375" customWidth="1"/>
    <col min="8450" max="8450" width="10" bestFit="1" customWidth="1"/>
    <col min="8705" max="8705" width="34.7109375" customWidth="1"/>
    <col min="8706" max="8706" width="10" bestFit="1" customWidth="1"/>
    <col min="8961" max="8961" width="34.7109375" customWidth="1"/>
    <col min="8962" max="8962" width="10" bestFit="1" customWidth="1"/>
    <col min="9217" max="9217" width="34.7109375" customWidth="1"/>
    <col min="9218" max="9218" width="10" bestFit="1" customWidth="1"/>
    <col min="9473" max="9473" width="34.7109375" customWidth="1"/>
    <col min="9474" max="9474" width="10" bestFit="1" customWidth="1"/>
    <col min="9729" max="9729" width="34.7109375" customWidth="1"/>
    <col min="9730" max="9730" width="10" bestFit="1" customWidth="1"/>
    <col min="9985" max="9985" width="34.7109375" customWidth="1"/>
    <col min="9986" max="9986" width="10" bestFit="1" customWidth="1"/>
    <col min="10241" max="10241" width="34.7109375" customWidth="1"/>
    <col min="10242" max="10242" width="10" bestFit="1" customWidth="1"/>
    <col min="10497" max="10497" width="34.7109375" customWidth="1"/>
    <col min="10498" max="10498" width="10" bestFit="1" customWidth="1"/>
    <col min="10753" max="10753" width="34.7109375" customWidth="1"/>
    <col min="10754" max="10754" width="10" bestFit="1" customWidth="1"/>
    <col min="11009" max="11009" width="34.7109375" customWidth="1"/>
    <col min="11010" max="11010" width="10" bestFit="1" customWidth="1"/>
    <col min="11265" max="11265" width="34.7109375" customWidth="1"/>
    <col min="11266" max="11266" width="10" bestFit="1" customWidth="1"/>
    <col min="11521" max="11521" width="34.7109375" customWidth="1"/>
    <col min="11522" max="11522" width="10" bestFit="1" customWidth="1"/>
    <col min="11777" max="11777" width="34.7109375" customWidth="1"/>
    <col min="11778" max="11778" width="10" bestFit="1" customWidth="1"/>
    <col min="12033" max="12033" width="34.7109375" customWidth="1"/>
    <col min="12034" max="12034" width="10" bestFit="1" customWidth="1"/>
    <col min="12289" max="12289" width="34.7109375" customWidth="1"/>
    <col min="12290" max="12290" width="10" bestFit="1" customWidth="1"/>
    <col min="12545" max="12545" width="34.7109375" customWidth="1"/>
    <col min="12546" max="12546" width="10" bestFit="1" customWidth="1"/>
    <col min="12801" max="12801" width="34.7109375" customWidth="1"/>
    <col min="12802" max="12802" width="10" bestFit="1" customWidth="1"/>
    <col min="13057" max="13057" width="34.7109375" customWidth="1"/>
    <col min="13058" max="13058" width="10" bestFit="1" customWidth="1"/>
    <col min="13313" max="13313" width="34.7109375" customWidth="1"/>
    <col min="13314" max="13314" width="10" bestFit="1" customWidth="1"/>
    <col min="13569" max="13569" width="34.7109375" customWidth="1"/>
    <col min="13570" max="13570" width="10" bestFit="1" customWidth="1"/>
    <col min="13825" max="13825" width="34.7109375" customWidth="1"/>
    <col min="13826" max="13826" width="10" bestFit="1" customWidth="1"/>
    <col min="14081" max="14081" width="34.7109375" customWidth="1"/>
    <col min="14082" max="14082" width="10" bestFit="1" customWidth="1"/>
    <col min="14337" max="14337" width="34.7109375" customWidth="1"/>
    <col min="14338" max="14338" width="10" bestFit="1" customWidth="1"/>
    <col min="14593" max="14593" width="34.7109375" customWidth="1"/>
    <col min="14594" max="14594" width="10" bestFit="1" customWidth="1"/>
    <col min="14849" max="14849" width="34.7109375" customWidth="1"/>
    <col min="14850" max="14850" width="10" bestFit="1" customWidth="1"/>
    <col min="15105" max="15105" width="34.7109375" customWidth="1"/>
    <col min="15106" max="15106" width="10" bestFit="1" customWidth="1"/>
    <col min="15361" max="15361" width="34.7109375" customWidth="1"/>
    <col min="15362" max="15362" width="10" bestFit="1" customWidth="1"/>
    <col min="15617" max="15617" width="34.7109375" customWidth="1"/>
    <col min="15618" max="15618" width="10" bestFit="1" customWidth="1"/>
    <col min="15873" max="15873" width="34.7109375" customWidth="1"/>
    <col min="15874" max="15874" width="10" bestFit="1" customWidth="1"/>
    <col min="16129" max="16129" width="34.7109375" customWidth="1"/>
    <col min="16130" max="16130" width="10" bestFit="1" customWidth="1"/>
  </cols>
  <sheetData>
    <row r="1" spans="1:19" x14ac:dyDescent="0.2">
      <c r="A1" s="464" t="str">
        <f>'Input &amp; Summary'!A1</f>
        <v>Based on Combined Land Based-Offshore Turbine Cost Model. v2.01.04</v>
      </c>
      <c r="B1" s="464"/>
      <c r="C1" s="464"/>
      <c r="D1" s="464"/>
    </row>
    <row r="2" spans="1:19" x14ac:dyDescent="0.2">
      <c r="A2" s="17"/>
      <c r="B2" s="17"/>
      <c r="C2" s="17"/>
      <c r="I2" s="455" t="s">
        <v>785</v>
      </c>
    </row>
    <row r="3" spans="1:19" x14ac:dyDescent="0.2">
      <c r="I3" s="366">
        <v>2000</v>
      </c>
      <c r="J3" s="366">
        <v>2001</v>
      </c>
      <c r="K3" s="366">
        <v>2002</v>
      </c>
      <c r="L3" s="366">
        <v>2003</v>
      </c>
      <c r="M3" s="366">
        <v>2004</v>
      </c>
      <c r="N3" s="366">
        <v>2005</v>
      </c>
      <c r="O3" s="366">
        <v>2006</v>
      </c>
      <c r="P3" s="366">
        <v>2007</v>
      </c>
      <c r="Q3" s="366">
        <v>2008</v>
      </c>
      <c r="R3" s="366">
        <v>2009</v>
      </c>
      <c r="S3" s="366">
        <v>2010</v>
      </c>
    </row>
    <row r="4" spans="1:19" x14ac:dyDescent="0.2">
      <c r="A4" s="27" t="s">
        <v>707</v>
      </c>
      <c r="I4" s="367">
        <v>4.0999999999999996</v>
      </c>
      <c r="J4" s="367">
        <v>1.1000000000000001</v>
      </c>
      <c r="K4" s="367">
        <v>1.8</v>
      </c>
      <c r="L4" s="367">
        <v>2.5</v>
      </c>
      <c r="M4" s="367">
        <v>3.6</v>
      </c>
      <c r="N4" s="367">
        <v>3.1</v>
      </c>
      <c r="O4" s="367">
        <v>2.7</v>
      </c>
      <c r="P4" s="367">
        <v>1.9</v>
      </c>
      <c r="Q4" s="459">
        <v>-0.3</v>
      </c>
      <c r="R4" s="459">
        <v>-3.5</v>
      </c>
      <c r="S4" s="367">
        <v>3</v>
      </c>
    </row>
    <row r="5" spans="1:19" x14ac:dyDescent="0.2">
      <c r="I5" s="368">
        <v>1</v>
      </c>
      <c r="J5" s="368">
        <v>1.0109999999999999</v>
      </c>
      <c r="K5" s="368">
        <v>1.0289999999999999</v>
      </c>
      <c r="L5" s="368">
        <v>1.0539999999999998</v>
      </c>
      <c r="M5" s="368">
        <v>1.0899999999999999</v>
      </c>
      <c r="N5" s="368">
        <v>1.1209999999999998</v>
      </c>
      <c r="O5" s="368">
        <v>1.1479999999999997</v>
      </c>
      <c r="P5" s="368">
        <v>1.1669999999999996</v>
      </c>
      <c r="Q5" s="368">
        <v>1.1639999999999997</v>
      </c>
      <c r="R5" s="368">
        <v>1.1289999999999998</v>
      </c>
      <c r="S5" s="368">
        <v>1.1589999999999998</v>
      </c>
    </row>
    <row r="6" spans="1:19" x14ac:dyDescent="0.2">
      <c r="A6" s="16" t="s">
        <v>708</v>
      </c>
      <c r="B6" s="369"/>
      <c r="C6" s="369"/>
      <c r="D6" s="369"/>
      <c r="E6" s="369"/>
      <c r="F6" s="369"/>
      <c r="G6" s="369"/>
    </row>
    <row r="7" spans="1:19" x14ac:dyDescent="0.2">
      <c r="A7" s="140" t="s">
        <v>624</v>
      </c>
      <c r="B7" s="368">
        <v>2000</v>
      </c>
      <c r="C7" s="368">
        <v>2001</v>
      </c>
      <c r="D7" s="368">
        <v>2002</v>
      </c>
      <c r="E7" s="368">
        <v>2003</v>
      </c>
      <c r="F7" s="368">
        <v>2004</v>
      </c>
      <c r="G7" s="368">
        <v>2005</v>
      </c>
      <c r="H7" s="368">
        <v>2006</v>
      </c>
      <c r="I7" s="368">
        <v>2007</v>
      </c>
      <c r="J7" s="368">
        <v>2008</v>
      </c>
      <c r="K7" s="368">
        <v>2009</v>
      </c>
      <c r="L7" s="368">
        <v>2010</v>
      </c>
    </row>
    <row r="8" spans="1:19" x14ac:dyDescent="0.2">
      <c r="A8" s="140" t="s">
        <v>709</v>
      </c>
      <c r="B8" s="370">
        <v>4.0999999999999996</v>
      </c>
      <c r="C8" s="370">
        <v>1.1000000000000001</v>
      </c>
      <c r="D8" s="370">
        <v>1.8</v>
      </c>
      <c r="E8" s="370">
        <v>2.5</v>
      </c>
      <c r="F8" s="370">
        <v>3.6</v>
      </c>
      <c r="G8" s="370">
        <v>3.1</v>
      </c>
      <c r="H8" s="370">
        <v>2.7</v>
      </c>
      <c r="I8" s="370">
        <v>1.9</v>
      </c>
      <c r="J8" s="370">
        <v>-0.3</v>
      </c>
      <c r="K8" s="370">
        <v>-3.5</v>
      </c>
      <c r="L8" s="370">
        <v>3</v>
      </c>
    </row>
    <row r="9" spans="1:19" x14ac:dyDescent="0.2">
      <c r="A9" s="368" t="s">
        <v>710</v>
      </c>
      <c r="B9" s="368">
        <v>1</v>
      </c>
      <c r="C9" s="368">
        <v>1.0109999999999999</v>
      </c>
      <c r="D9" s="368">
        <v>1.0289999999999999</v>
      </c>
      <c r="E9" s="368">
        <v>1.0539999999999998</v>
      </c>
      <c r="F9" s="368">
        <v>1.0899999999999999</v>
      </c>
      <c r="G9" s="368">
        <v>1.1209999999999998</v>
      </c>
      <c r="H9" s="368">
        <v>1.1479999999999997</v>
      </c>
      <c r="I9" s="368">
        <v>1.1669999999999996</v>
      </c>
      <c r="J9" s="368">
        <v>1.1639999999999997</v>
      </c>
      <c r="K9" s="368">
        <v>1.1289999999999998</v>
      </c>
      <c r="L9" s="368">
        <v>1.1589999999999998</v>
      </c>
    </row>
    <row r="10" spans="1:19" x14ac:dyDescent="0.2">
      <c r="A10" s="359"/>
      <c r="B10" s="359"/>
      <c r="C10" s="359" t="s">
        <v>711</v>
      </c>
      <c r="D10" s="359"/>
      <c r="E10" s="359"/>
      <c r="F10" s="359"/>
      <c r="G10" s="359"/>
    </row>
    <row r="11" spans="1:19" ht="15" x14ac:dyDescent="0.3">
      <c r="B11" s="371" t="s">
        <v>786</v>
      </c>
      <c r="D11" s="372">
        <v>198306</v>
      </c>
    </row>
    <row r="12" spans="1:19" x14ac:dyDescent="0.2">
      <c r="A12" s="27" t="s">
        <v>626</v>
      </c>
      <c r="B12" s="373">
        <v>3272123</v>
      </c>
      <c r="C12" s="27" t="s">
        <v>712</v>
      </c>
      <c r="O12" t="s">
        <v>713</v>
      </c>
    </row>
    <row r="13" spans="1:19" x14ac:dyDescent="0.2">
      <c r="A13" s="27"/>
      <c r="B13" s="359" t="s">
        <v>714</v>
      </c>
      <c r="C13" s="374" t="s">
        <v>715</v>
      </c>
      <c r="D13" s="375" t="s">
        <v>716</v>
      </c>
      <c r="E13" s="375" t="s">
        <v>717</v>
      </c>
      <c r="F13" s="375" t="s">
        <v>718</v>
      </c>
      <c r="G13" s="375" t="s">
        <v>719</v>
      </c>
      <c r="H13" s="375" t="s">
        <v>720</v>
      </c>
      <c r="I13" s="375" t="s">
        <v>721</v>
      </c>
      <c r="J13" s="375" t="s">
        <v>722</v>
      </c>
      <c r="K13" s="375" t="s">
        <v>723</v>
      </c>
      <c r="L13" s="375" t="s">
        <v>724</v>
      </c>
      <c r="M13" s="375" t="s">
        <v>725</v>
      </c>
      <c r="N13" s="375" t="s">
        <v>726</v>
      </c>
    </row>
    <row r="14" spans="1:19" x14ac:dyDescent="0.2">
      <c r="A14" s="376" t="s">
        <v>727</v>
      </c>
      <c r="B14" s="377">
        <v>1</v>
      </c>
      <c r="C14" s="377">
        <v>2</v>
      </c>
      <c r="D14" s="377">
        <v>3</v>
      </c>
      <c r="E14" s="377">
        <v>4</v>
      </c>
      <c r="F14" s="377">
        <v>5</v>
      </c>
      <c r="G14" s="377">
        <v>6</v>
      </c>
      <c r="H14" s="377">
        <v>7</v>
      </c>
      <c r="I14" s="377">
        <v>8</v>
      </c>
      <c r="J14" s="377">
        <v>9</v>
      </c>
      <c r="K14" s="377">
        <v>10</v>
      </c>
      <c r="L14" s="377">
        <v>11</v>
      </c>
      <c r="M14" s="377">
        <v>12</v>
      </c>
      <c r="N14" s="377">
        <v>13</v>
      </c>
      <c r="O14" s="378">
        <v>1</v>
      </c>
    </row>
    <row r="15" spans="1:19" x14ac:dyDescent="0.2">
      <c r="A15" s="379">
        <v>2000</v>
      </c>
      <c r="B15" s="380">
        <v>94.2</v>
      </c>
      <c r="C15" s="380">
        <v>97.9</v>
      </c>
      <c r="D15" s="380">
        <v>100.6</v>
      </c>
      <c r="E15" s="380">
        <v>100.7</v>
      </c>
      <c r="F15" s="380">
        <v>101.1</v>
      </c>
      <c r="G15" s="380">
        <v>101.4</v>
      </c>
      <c r="H15" s="380">
        <v>100.1</v>
      </c>
      <c r="I15" s="380">
        <v>99.5</v>
      </c>
      <c r="J15" s="380">
        <v>101.7</v>
      </c>
      <c r="K15" s="380">
        <v>102.1</v>
      </c>
      <c r="L15" s="380">
        <v>100.6</v>
      </c>
      <c r="M15" s="380">
        <v>101.7</v>
      </c>
      <c r="N15" s="380">
        <v>100.1</v>
      </c>
      <c r="O15" s="381">
        <v>2</v>
      </c>
    </row>
    <row r="16" spans="1:19" x14ac:dyDescent="0.2">
      <c r="A16" s="379">
        <v>2001</v>
      </c>
      <c r="B16" s="380">
        <v>102.7</v>
      </c>
      <c r="C16" s="380">
        <v>103.6</v>
      </c>
      <c r="D16" s="380">
        <v>103.8</v>
      </c>
      <c r="E16" s="380">
        <v>103.1</v>
      </c>
      <c r="F16" s="380">
        <v>106.6</v>
      </c>
      <c r="G16" s="380">
        <v>104.6</v>
      </c>
      <c r="H16" s="380">
        <v>105.1</v>
      </c>
      <c r="I16" s="380">
        <v>103.5</v>
      </c>
      <c r="J16" s="380">
        <v>105.3</v>
      </c>
      <c r="K16" s="380">
        <v>102.1</v>
      </c>
      <c r="L16" s="380">
        <v>102.1</v>
      </c>
      <c r="M16" s="380">
        <v>102.2</v>
      </c>
      <c r="N16" s="380">
        <v>103.7</v>
      </c>
      <c r="O16" s="381">
        <v>3</v>
      </c>
    </row>
    <row r="17" spans="1:15" x14ac:dyDescent="0.2">
      <c r="A17" s="379">
        <v>2002</v>
      </c>
      <c r="B17" s="380">
        <v>102.3</v>
      </c>
      <c r="C17" s="380">
        <v>100.7</v>
      </c>
      <c r="D17" s="380">
        <v>101.3</v>
      </c>
      <c r="E17" s="380">
        <v>98.8</v>
      </c>
      <c r="F17" s="380">
        <v>97</v>
      </c>
      <c r="G17" s="380">
        <v>97</v>
      </c>
      <c r="H17" s="380">
        <v>97.8</v>
      </c>
      <c r="I17" s="380">
        <v>100.2</v>
      </c>
      <c r="J17" s="380">
        <v>101.7</v>
      </c>
      <c r="K17" s="380">
        <v>96.6</v>
      </c>
      <c r="L17" s="380">
        <v>100.6</v>
      </c>
      <c r="M17" s="380">
        <v>100.4</v>
      </c>
      <c r="N17" s="380">
        <v>99.5</v>
      </c>
      <c r="O17" s="381">
        <v>4</v>
      </c>
    </row>
    <row r="18" spans="1:15" x14ac:dyDescent="0.2">
      <c r="A18" s="379">
        <v>2003</v>
      </c>
      <c r="B18" s="380">
        <v>100.9</v>
      </c>
      <c r="C18" s="380">
        <v>96.9</v>
      </c>
      <c r="D18" s="380">
        <v>96.1</v>
      </c>
      <c r="E18" s="380">
        <v>96.1</v>
      </c>
      <c r="F18" s="380">
        <v>97.6</v>
      </c>
      <c r="G18" s="380">
        <v>98.1</v>
      </c>
      <c r="H18" s="380">
        <v>94.8</v>
      </c>
      <c r="I18" s="380">
        <v>95.5</v>
      </c>
      <c r="J18" s="380">
        <v>95.2</v>
      </c>
      <c r="K18" s="380">
        <v>91.9</v>
      </c>
      <c r="L18" s="380">
        <v>91.1</v>
      </c>
      <c r="M18" s="380">
        <v>89.2</v>
      </c>
      <c r="N18" s="380">
        <v>95.3</v>
      </c>
      <c r="O18" s="381">
        <v>5</v>
      </c>
    </row>
    <row r="19" spans="1:15" x14ac:dyDescent="0.2">
      <c r="A19" s="379">
        <v>2004</v>
      </c>
      <c r="B19" s="380">
        <v>87.1</v>
      </c>
      <c r="C19" s="380">
        <v>87.4</v>
      </c>
      <c r="D19" s="380">
        <v>86.8</v>
      </c>
      <c r="E19" s="380">
        <v>86.1</v>
      </c>
      <c r="F19" s="380">
        <v>86.8</v>
      </c>
      <c r="G19" s="380">
        <v>84.2</v>
      </c>
      <c r="H19" s="380">
        <v>88.4</v>
      </c>
      <c r="I19" s="380">
        <v>87.1</v>
      </c>
      <c r="J19" s="380">
        <v>88.7</v>
      </c>
      <c r="K19" s="380">
        <v>87.2</v>
      </c>
      <c r="L19" s="380">
        <v>87.2</v>
      </c>
      <c r="M19" s="380">
        <v>89.1</v>
      </c>
      <c r="N19" s="380">
        <v>87.2</v>
      </c>
      <c r="O19" s="381">
        <v>6</v>
      </c>
    </row>
    <row r="20" spans="1:15" x14ac:dyDescent="0.2">
      <c r="A20" s="379">
        <v>2005</v>
      </c>
      <c r="B20" s="380">
        <v>89</v>
      </c>
      <c r="C20" s="380">
        <v>88.8</v>
      </c>
      <c r="D20" s="382">
        <v>90.3</v>
      </c>
      <c r="E20" s="382">
        <v>90.7</v>
      </c>
      <c r="F20" s="382">
        <v>90.6</v>
      </c>
      <c r="G20" s="382">
        <v>90.4</v>
      </c>
      <c r="H20" s="382">
        <v>90.8</v>
      </c>
      <c r="I20" s="382">
        <v>91.1</v>
      </c>
      <c r="J20" s="382">
        <v>90.2</v>
      </c>
      <c r="K20" s="382">
        <v>90.8</v>
      </c>
      <c r="L20" s="382">
        <v>91</v>
      </c>
      <c r="M20" s="382">
        <v>91.5</v>
      </c>
      <c r="N20" s="382">
        <v>90.4</v>
      </c>
      <c r="O20" s="381">
        <v>7</v>
      </c>
    </row>
    <row r="21" spans="1:15" x14ac:dyDescent="0.2">
      <c r="A21" s="379">
        <v>2006</v>
      </c>
      <c r="B21" s="382">
        <v>90.7</v>
      </c>
      <c r="C21" s="383">
        <v>89.8</v>
      </c>
      <c r="D21" s="384">
        <v>89.4</v>
      </c>
      <c r="E21" s="384">
        <v>89.4</v>
      </c>
      <c r="F21" s="384">
        <v>90.4</v>
      </c>
      <c r="G21" s="384">
        <v>90.4</v>
      </c>
      <c r="H21" s="384">
        <v>89.7</v>
      </c>
      <c r="I21" s="385">
        <v>89.8</v>
      </c>
      <c r="J21" s="385">
        <v>90.9</v>
      </c>
      <c r="K21" s="385">
        <v>89.6</v>
      </c>
      <c r="L21" s="385">
        <v>89.6</v>
      </c>
      <c r="M21" s="385">
        <v>88.5</v>
      </c>
      <c r="N21" s="385">
        <v>89.8</v>
      </c>
      <c r="O21" s="381">
        <v>8</v>
      </c>
    </row>
    <row r="22" spans="1:15" x14ac:dyDescent="0.2">
      <c r="A22" s="379">
        <v>2007</v>
      </c>
      <c r="B22" s="386">
        <v>89.1</v>
      </c>
      <c r="C22" s="386">
        <v>88.1</v>
      </c>
      <c r="D22" s="384">
        <v>86.7</v>
      </c>
      <c r="E22" s="384">
        <v>87</v>
      </c>
      <c r="F22" s="384">
        <v>86.7</v>
      </c>
      <c r="G22" s="384">
        <v>87.1</v>
      </c>
      <c r="H22" s="384">
        <v>88.1</v>
      </c>
      <c r="I22" s="385">
        <v>87.6</v>
      </c>
      <c r="J22" s="385">
        <v>87.5</v>
      </c>
      <c r="K22" s="385">
        <v>87.4</v>
      </c>
      <c r="L22" s="385">
        <v>87.6</v>
      </c>
      <c r="M22" s="385">
        <v>87.1</v>
      </c>
      <c r="N22" s="385">
        <v>87.5</v>
      </c>
      <c r="O22" s="381">
        <v>9</v>
      </c>
    </row>
    <row r="23" spans="1:15" x14ac:dyDescent="0.2">
      <c r="A23" s="379">
        <v>2008</v>
      </c>
      <c r="B23" s="387">
        <v>87.7</v>
      </c>
      <c r="C23" s="386">
        <v>82.1</v>
      </c>
      <c r="D23" s="384">
        <v>82.3</v>
      </c>
      <c r="E23" s="384">
        <v>82.7</v>
      </c>
      <c r="F23" s="384">
        <v>85.1</v>
      </c>
      <c r="G23" s="384">
        <v>84.8</v>
      </c>
      <c r="H23" s="384">
        <v>84.8</v>
      </c>
      <c r="I23" s="385">
        <v>85.3</v>
      </c>
      <c r="J23" s="385">
        <v>87.2</v>
      </c>
      <c r="K23" s="385">
        <v>87.2</v>
      </c>
      <c r="L23" s="385">
        <v>86.8</v>
      </c>
      <c r="M23" s="385">
        <v>86.8</v>
      </c>
      <c r="N23" s="385">
        <v>85.2</v>
      </c>
      <c r="O23" s="381">
        <v>10</v>
      </c>
    </row>
    <row r="24" spans="1:15" x14ac:dyDescent="0.2">
      <c r="A24" s="379">
        <v>2009</v>
      </c>
      <c r="B24" s="388">
        <v>88.1</v>
      </c>
      <c r="C24" s="385">
        <v>87.9</v>
      </c>
      <c r="D24" s="385">
        <v>87.9</v>
      </c>
      <c r="E24" s="385">
        <v>86.6</v>
      </c>
      <c r="F24" s="385">
        <v>86.6</v>
      </c>
      <c r="G24" s="385">
        <v>85.5</v>
      </c>
      <c r="H24" s="385">
        <v>85.5</v>
      </c>
      <c r="I24" s="385">
        <v>85.5</v>
      </c>
      <c r="J24">
        <v>85.5</v>
      </c>
      <c r="K24" s="391">
        <v>85.5</v>
      </c>
      <c r="L24" s="391">
        <v>85.5</v>
      </c>
      <c r="M24" s="391">
        <v>85.4</v>
      </c>
      <c r="N24" s="391">
        <v>86.3</v>
      </c>
      <c r="O24" s="381">
        <v>11</v>
      </c>
    </row>
    <row r="25" spans="1:15" x14ac:dyDescent="0.2">
      <c r="A25" s="379">
        <v>2010</v>
      </c>
      <c r="B25" s="391">
        <v>83.5</v>
      </c>
      <c r="C25" s="385">
        <v>82.8</v>
      </c>
      <c r="D25" s="385">
        <v>82.8</v>
      </c>
      <c r="E25" s="385">
        <v>83.3</v>
      </c>
      <c r="F25" s="385">
        <v>83.9</v>
      </c>
      <c r="G25" s="385">
        <v>83.9</v>
      </c>
      <c r="H25" s="385">
        <v>83.9</v>
      </c>
      <c r="I25" s="385">
        <v>83.1</v>
      </c>
      <c r="J25">
        <v>83.1</v>
      </c>
      <c r="K25" s="391">
        <v>83.1</v>
      </c>
      <c r="L25" s="391">
        <v>83</v>
      </c>
      <c r="M25" s="391">
        <v>83</v>
      </c>
      <c r="N25" s="391">
        <v>83.3</v>
      </c>
      <c r="O25" s="381">
        <v>12</v>
      </c>
    </row>
    <row r="26" spans="1:15" x14ac:dyDescent="0.2">
      <c r="A26" s="379">
        <v>2011</v>
      </c>
      <c r="B26">
        <v>82.5</v>
      </c>
      <c r="C26" s="385">
        <v>83.5</v>
      </c>
      <c r="D26" s="385">
        <v>83.5</v>
      </c>
      <c r="E26" s="389">
        <v>83.4</v>
      </c>
      <c r="F26" s="389">
        <v>85.2</v>
      </c>
      <c r="G26" s="389">
        <v>84.4</v>
      </c>
      <c r="H26" s="389">
        <v>84.4</v>
      </c>
      <c r="I26" s="389"/>
      <c r="J26" s="389"/>
      <c r="K26" s="389"/>
      <c r="L26" s="389"/>
      <c r="M26" s="389"/>
      <c r="N26" s="389"/>
      <c r="O26" s="381">
        <v>13</v>
      </c>
    </row>
    <row r="27" spans="1:15" x14ac:dyDescent="0.2">
      <c r="A27" s="379"/>
      <c r="B27" s="368"/>
      <c r="C27" s="368"/>
      <c r="D27" s="368"/>
      <c r="E27" s="368"/>
      <c r="F27" s="368"/>
      <c r="G27" s="368"/>
      <c r="H27" s="368"/>
      <c r="I27" s="368"/>
      <c r="J27" s="368"/>
      <c r="K27" s="368"/>
      <c r="L27" s="368"/>
      <c r="M27" s="368"/>
      <c r="N27" s="368"/>
      <c r="O27" s="381">
        <v>14</v>
      </c>
    </row>
    <row r="28" spans="1:15" ht="15" x14ac:dyDescent="0.3">
      <c r="B28" s="372" t="s">
        <v>728</v>
      </c>
      <c r="D28" s="372"/>
      <c r="O28" s="390"/>
    </row>
    <row r="29" spans="1:15" ht="15" x14ac:dyDescent="0.3">
      <c r="A29" s="27" t="s">
        <v>626</v>
      </c>
      <c r="B29" s="373">
        <v>3255204</v>
      </c>
      <c r="C29" s="371" t="s">
        <v>729</v>
      </c>
      <c r="O29" t="s">
        <v>713</v>
      </c>
    </row>
    <row r="30" spans="1:15" x14ac:dyDescent="0.2">
      <c r="A30" s="27"/>
      <c r="B30" s="359" t="s">
        <v>714</v>
      </c>
      <c r="C30" s="374" t="s">
        <v>715</v>
      </c>
      <c r="D30" s="375" t="s">
        <v>716</v>
      </c>
      <c r="E30" s="375" t="s">
        <v>717</v>
      </c>
      <c r="F30" s="375" t="s">
        <v>718</v>
      </c>
      <c r="G30" s="375" t="s">
        <v>719</v>
      </c>
      <c r="H30" s="375" t="s">
        <v>720</v>
      </c>
      <c r="I30" s="375" t="s">
        <v>721</v>
      </c>
      <c r="J30" s="375" t="s">
        <v>722</v>
      </c>
      <c r="K30" s="375" t="s">
        <v>723</v>
      </c>
      <c r="L30" s="375" t="s">
        <v>724</v>
      </c>
      <c r="M30" s="375" t="s">
        <v>725</v>
      </c>
      <c r="N30" s="375" t="s">
        <v>726</v>
      </c>
    </row>
    <row r="31" spans="1:15" x14ac:dyDescent="0.2">
      <c r="A31" s="376" t="s">
        <v>730</v>
      </c>
      <c r="B31" s="377">
        <v>1</v>
      </c>
      <c r="C31" s="377">
        <v>2</v>
      </c>
      <c r="D31" s="377">
        <v>3</v>
      </c>
      <c r="E31" s="377">
        <v>4</v>
      </c>
      <c r="F31" s="377">
        <v>5</v>
      </c>
      <c r="G31" s="377">
        <v>6</v>
      </c>
      <c r="H31" s="377">
        <v>7</v>
      </c>
      <c r="I31" s="377">
        <v>8</v>
      </c>
      <c r="J31" s="377">
        <v>9</v>
      </c>
      <c r="K31" s="377">
        <v>10</v>
      </c>
      <c r="L31" s="377">
        <v>11</v>
      </c>
      <c r="M31" s="377">
        <v>12</v>
      </c>
      <c r="N31" s="377">
        <v>13</v>
      </c>
      <c r="O31" s="378">
        <v>1</v>
      </c>
    </row>
    <row r="32" spans="1:15" x14ac:dyDescent="0.2">
      <c r="A32" s="379">
        <v>2000</v>
      </c>
      <c r="B32" s="380">
        <v>153.1</v>
      </c>
      <c r="C32" s="380">
        <v>153.6</v>
      </c>
      <c r="D32" s="380">
        <v>154</v>
      </c>
      <c r="E32" s="380">
        <v>154.19999999999999</v>
      </c>
      <c r="F32" s="380">
        <v>154.19999999999999</v>
      </c>
      <c r="G32" s="380">
        <v>155.30000000000001</v>
      </c>
      <c r="H32" s="380">
        <v>156.19999999999999</v>
      </c>
      <c r="I32" s="380">
        <v>156.19999999999999</v>
      </c>
      <c r="J32" s="380">
        <v>156.4</v>
      </c>
      <c r="K32" s="380">
        <v>156.69999999999999</v>
      </c>
      <c r="L32" s="380">
        <v>158</v>
      </c>
      <c r="M32" s="380">
        <v>158.30000000000001</v>
      </c>
      <c r="N32" s="380">
        <v>155.5</v>
      </c>
      <c r="O32" s="381">
        <v>2</v>
      </c>
    </row>
    <row r="33" spans="1:15" x14ac:dyDescent="0.2">
      <c r="A33" s="379">
        <v>2001</v>
      </c>
      <c r="B33" s="380">
        <v>158.80000000000001</v>
      </c>
      <c r="C33" s="380">
        <v>160.9</v>
      </c>
      <c r="D33" s="380">
        <v>161</v>
      </c>
      <c r="E33" s="380">
        <v>161</v>
      </c>
      <c r="F33" s="380">
        <v>161.1</v>
      </c>
      <c r="G33" s="380">
        <v>161.19999999999999</v>
      </c>
      <c r="H33" s="380">
        <v>161.80000000000001</v>
      </c>
      <c r="I33" s="380">
        <v>163.6</v>
      </c>
      <c r="J33" s="380">
        <v>163.5</v>
      </c>
      <c r="K33" s="380">
        <v>163.5</v>
      </c>
      <c r="L33" s="380">
        <v>163.4</v>
      </c>
      <c r="M33" s="380">
        <v>162.30000000000001</v>
      </c>
      <c r="N33" s="380">
        <v>161.80000000000001</v>
      </c>
      <c r="O33" s="381">
        <v>3</v>
      </c>
    </row>
    <row r="34" spans="1:15" x14ac:dyDescent="0.2">
      <c r="A34" s="379">
        <v>2002</v>
      </c>
      <c r="B34" s="380">
        <v>162.80000000000001</v>
      </c>
      <c r="C34" s="380">
        <v>162.69999999999999</v>
      </c>
      <c r="D34" s="380">
        <v>162.69999999999999</v>
      </c>
      <c r="E34" s="380">
        <v>162.4</v>
      </c>
      <c r="F34" s="380">
        <v>162.30000000000001</v>
      </c>
      <c r="G34" s="380">
        <v>162.19999999999999</v>
      </c>
      <c r="H34" s="380">
        <v>162.19999999999999</v>
      </c>
      <c r="I34" s="380">
        <v>162.1</v>
      </c>
      <c r="J34" s="380">
        <v>162.1</v>
      </c>
      <c r="K34" s="380">
        <v>161.9</v>
      </c>
      <c r="L34" s="380">
        <v>161.9</v>
      </c>
      <c r="M34" s="380">
        <v>161.80000000000001</v>
      </c>
      <c r="N34" s="380">
        <v>162.30000000000001</v>
      </c>
      <c r="O34" s="381">
        <v>4</v>
      </c>
    </row>
    <row r="35" spans="1:15" x14ac:dyDescent="0.2">
      <c r="A35" s="379">
        <v>2003</v>
      </c>
      <c r="B35" s="380">
        <v>162.4</v>
      </c>
      <c r="C35" s="380">
        <v>162.30000000000001</v>
      </c>
      <c r="D35" s="380">
        <v>163.4</v>
      </c>
      <c r="E35" s="380">
        <v>163.69999999999999</v>
      </c>
      <c r="F35" s="380">
        <v>163.69999999999999</v>
      </c>
      <c r="G35" s="380">
        <v>163.80000000000001</v>
      </c>
      <c r="H35" s="380">
        <v>163.9</v>
      </c>
      <c r="I35" s="380">
        <v>164</v>
      </c>
      <c r="J35" s="380">
        <v>165.9</v>
      </c>
      <c r="K35" s="380">
        <v>165.9</v>
      </c>
      <c r="L35" s="380">
        <v>165.9</v>
      </c>
      <c r="M35" s="380">
        <v>166</v>
      </c>
      <c r="N35" s="380">
        <v>164.2</v>
      </c>
      <c r="O35" s="381">
        <v>5</v>
      </c>
    </row>
    <row r="36" spans="1:15" x14ac:dyDescent="0.2">
      <c r="A36" s="379">
        <v>2004</v>
      </c>
      <c r="B36" s="380">
        <v>165.9</v>
      </c>
      <c r="C36" s="380">
        <v>167.6</v>
      </c>
      <c r="D36" s="380">
        <v>166.2</v>
      </c>
      <c r="E36" s="380">
        <v>166.5</v>
      </c>
      <c r="F36" s="380">
        <v>166.5</v>
      </c>
      <c r="G36" s="380">
        <v>166.6</v>
      </c>
      <c r="H36" s="380">
        <v>167.3</v>
      </c>
      <c r="I36" s="380">
        <v>168.8</v>
      </c>
      <c r="J36" s="380">
        <v>168.8</v>
      </c>
      <c r="K36" s="380">
        <v>168.8</v>
      </c>
      <c r="L36" s="380">
        <v>169.7</v>
      </c>
      <c r="M36" s="380">
        <v>170</v>
      </c>
      <c r="N36" s="380">
        <v>167.7</v>
      </c>
      <c r="O36" s="381">
        <v>6</v>
      </c>
    </row>
    <row r="37" spans="1:15" x14ac:dyDescent="0.2">
      <c r="A37" s="379">
        <v>2005</v>
      </c>
      <c r="B37" s="380">
        <v>171.3</v>
      </c>
      <c r="C37" s="380">
        <v>172.2</v>
      </c>
      <c r="D37" s="382">
        <v>173</v>
      </c>
      <c r="E37" s="382">
        <v>172.4</v>
      </c>
      <c r="F37" s="382">
        <v>173.8</v>
      </c>
      <c r="G37" s="382">
        <v>174.6</v>
      </c>
      <c r="H37" s="382">
        <v>174.6</v>
      </c>
      <c r="I37" s="382">
        <v>175.2</v>
      </c>
      <c r="J37" s="382">
        <v>180.5</v>
      </c>
      <c r="K37" s="382">
        <v>182.6</v>
      </c>
      <c r="L37" s="382">
        <v>184.8</v>
      </c>
      <c r="M37" s="382">
        <v>186.5</v>
      </c>
      <c r="N37" s="382">
        <v>176.8</v>
      </c>
      <c r="O37" s="381">
        <v>7</v>
      </c>
    </row>
    <row r="38" spans="1:15" x14ac:dyDescent="0.2">
      <c r="A38" s="379">
        <v>2006</v>
      </c>
      <c r="B38" s="382">
        <v>188.9</v>
      </c>
      <c r="C38" s="383">
        <v>189.9</v>
      </c>
      <c r="D38" s="384">
        <v>191.9</v>
      </c>
      <c r="E38" s="384">
        <v>192.3</v>
      </c>
      <c r="F38" s="384">
        <v>192.8</v>
      </c>
      <c r="G38" s="384">
        <v>192.8</v>
      </c>
      <c r="H38" s="385">
        <v>192.1</v>
      </c>
      <c r="I38" s="385">
        <v>192.8</v>
      </c>
      <c r="J38" s="385">
        <v>193.7</v>
      </c>
      <c r="K38" s="385">
        <v>194.6</v>
      </c>
      <c r="L38" s="385">
        <v>195.1</v>
      </c>
      <c r="M38" s="385">
        <v>195.2</v>
      </c>
      <c r="N38" s="385">
        <v>192.7</v>
      </c>
      <c r="O38" s="381">
        <v>8</v>
      </c>
    </row>
    <row r="39" spans="1:15" x14ac:dyDescent="0.2">
      <c r="A39" s="379">
        <v>2007</v>
      </c>
      <c r="B39" s="386">
        <v>197.3</v>
      </c>
      <c r="C39" s="386">
        <v>200.1</v>
      </c>
      <c r="D39" s="384">
        <v>199.8</v>
      </c>
      <c r="E39" s="384">
        <v>200.5</v>
      </c>
      <c r="F39" s="384">
        <v>200.6</v>
      </c>
      <c r="G39" s="384">
        <v>200.6</v>
      </c>
      <c r="H39" s="385">
        <v>200.9</v>
      </c>
      <c r="I39" s="385">
        <v>201.5</v>
      </c>
      <c r="J39" s="385">
        <v>202</v>
      </c>
      <c r="K39" s="385">
        <v>202.6</v>
      </c>
      <c r="L39" s="385">
        <v>202.6</v>
      </c>
      <c r="M39" s="385">
        <v>202.8</v>
      </c>
      <c r="N39" s="385">
        <v>200.9</v>
      </c>
      <c r="O39" s="381">
        <v>9</v>
      </c>
    </row>
    <row r="40" spans="1:15" x14ac:dyDescent="0.2">
      <c r="A40" s="379">
        <v>2008</v>
      </c>
      <c r="B40" s="387">
        <v>204.6</v>
      </c>
      <c r="C40" s="386">
        <v>206</v>
      </c>
      <c r="D40" s="384">
        <v>207.6</v>
      </c>
      <c r="E40" s="384">
        <v>208.9</v>
      </c>
      <c r="F40" s="384">
        <v>208.4</v>
      </c>
      <c r="G40" s="384">
        <v>211.3</v>
      </c>
      <c r="H40" s="385">
        <v>220.7</v>
      </c>
      <c r="I40" s="385">
        <v>222.1</v>
      </c>
      <c r="J40" s="385">
        <v>228.6</v>
      </c>
      <c r="K40" s="385">
        <v>229.4</v>
      </c>
      <c r="L40" s="385">
        <v>230.1</v>
      </c>
      <c r="M40" s="385">
        <v>231.2</v>
      </c>
      <c r="N40" s="385">
        <v>217.4</v>
      </c>
      <c r="O40" s="381">
        <v>10</v>
      </c>
    </row>
    <row r="41" spans="1:15" x14ac:dyDescent="0.2">
      <c r="A41" s="379">
        <v>2009</v>
      </c>
      <c r="B41" s="391">
        <v>232.2</v>
      </c>
      <c r="C41" s="385">
        <v>232.4</v>
      </c>
      <c r="D41" s="385">
        <v>232.5</v>
      </c>
      <c r="E41" s="385">
        <v>231.8</v>
      </c>
      <c r="F41" s="385">
        <v>230.6</v>
      </c>
      <c r="G41" s="385">
        <v>230.8</v>
      </c>
      <c r="H41" s="385">
        <v>230.9</v>
      </c>
      <c r="I41" s="385">
        <v>230.9</v>
      </c>
      <c r="J41">
        <v>230.9</v>
      </c>
      <c r="K41" s="391">
        <v>225.9</v>
      </c>
      <c r="L41" s="391">
        <v>225</v>
      </c>
      <c r="M41" s="391">
        <v>224.6</v>
      </c>
      <c r="N41" s="391">
        <v>229.9</v>
      </c>
      <c r="O41" s="381">
        <v>11</v>
      </c>
    </row>
    <row r="42" spans="1:15" x14ac:dyDescent="0.2">
      <c r="A42" s="379">
        <v>2010</v>
      </c>
      <c r="B42" s="391">
        <v>224.9</v>
      </c>
      <c r="C42" s="385">
        <v>226.9</v>
      </c>
      <c r="D42" s="385">
        <v>225.9</v>
      </c>
      <c r="E42" s="385">
        <v>226.1</v>
      </c>
      <c r="F42" s="385">
        <v>226.6</v>
      </c>
      <c r="G42" s="385">
        <v>240.3</v>
      </c>
      <c r="H42" s="385">
        <v>241.6</v>
      </c>
      <c r="I42" s="385">
        <v>241.6</v>
      </c>
      <c r="J42">
        <v>241.6</v>
      </c>
      <c r="K42" s="391">
        <v>242.7</v>
      </c>
      <c r="L42" s="391">
        <v>243.4</v>
      </c>
      <c r="M42" s="391">
        <v>243.4</v>
      </c>
      <c r="N42" s="391">
        <v>235.4</v>
      </c>
      <c r="O42" s="381">
        <v>12</v>
      </c>
    </row>
    <row r="43" spans="1:15" x14ac:dyDescent="0.2">
      <c r="A43" s="379">
        <v>2011</v>
      </c>
      <c r="B43">
        <v>245.6</v>
      </c>
      <c r="C43" s="385">
        <v>246.5</v>
      </c>
      <c r="D43" s="385">
        <v>249.4</v>
      </c>
      <c r="E43" s="389">
        <v>250.1</v>
      </c>
      <c r="F43" s="389">
        <v>260.8</v>
      </c>
      <c r="G43" s="389">
        <v>260.8</v>
      </c>
      <c r="H43" s="389">
        <v>260.89999999999998</v>
      </c>
      <c r="I43" s="389"/>
      <c r="J43" s="389"/>
      <c r="K43" s="389"/>
      <c r="L43" s="389"/>
      <c r="M43" s="389"/>
      <c r="N43" s="389"/>
      <c r="O43" s="381">
        <v>13</v>
      </c>
    </row>
    <row r="44" spans="1:15" x14ac:dyDescent="0.2">
      <c r="A44" s="379"/>
      <c r="B44" s="368"/>
      <c r="C44" s="368"/>
      <c r="D44" s="368"/>
      <c r="E44" s="368"/>
      <c r="F44" s="368"/>
      <c r="G44" s="368"/>
      <c r="H44" s="368"/>
      <c r="I44" s="368"/>
      <c r="J44" s="368"/>
      <c r="K44" s="368"/>
      <c r="L44" s="368"/>
      <c r="M44" s="368"/>
      <c r="N44" s="368"/>
      <c r="O44" s="381">
        <v>14</v>
      </c>
    </row>
    <row r="45" spans="1:15" ht="15" x14ac:dyDescent="0.3">
      <c r="B45" s="372" t="s">
        <v>731</v>
      </c>
      <c r="D45" s="372">
        <v>198606</v>
      </c>
    </row>
    <row r="46" spans="1:15" x14ac:dyDescent="0.2">
      <c r="A46" s="27" t="s">
        <v>626</v>
      </c>
      <c r="B46" s="373">
        <v>3315113</v>
      </c>
      <c r="C46" s="27" t="s">
        <v>732</v>
      </c>
      <c r="O46" t="s">
        <v>713</v>
      </c>
    </row>
    <row r="47" spans="1:15" x14ac:dyDescent="0.2">
      <c r="A47" s="27"/>
      <c r="B47" s="359" t="s">
        <v>714</v>
      </c>
      <c r="C47" s="374" t="s">
        <v>715</v>
      </c>
      <c r="D47" s="375" t="s">
        <v>716</v>
      </c>
      <c r="E47" s="375" t="s">
        <v>717</v>
      </c>
      <c r="F47" s="375" t="s">
        <v>718</v>
      </c>
      <c r="G47" s="375" t="s">
        <v>719</v>
      </c>
      <c r="H47" s="375" t="s">
        <v>720</v>
      </c>
      <c r="I47" s="375" t="s">
        <v>721</v>
      </c>
      <c r="J47" s="375" t="s">
        <v>722</v>
      </c>
      <c r="K47" s="375" t="s">
        <v>723</v>
      </c>
      <c r="L47" s="375" t="s">
        <v>724</v>
      </c>
      <c r="M47" s="375" t="s">
        <v>725</v>
      </c>
      <c r="N47" s="375" t="s">
        <v>726</v>
      </c>
    </row>
    <row r="48" spans="1:15" x14ac:dyDescent="0.2">
      <c r="A48" s="376" t="s">
        <v>730</v>
      </c>
      <c r="B48" s="377">
        <v>1</v>
      </c>
      <c r="C48" s="377">
        <v>2</v>
      </c>
      <c r="D48" s="377">
        <v>3</v>
      </c>
      <c r="E48" s="377">
        <v>4</v>
      </c>
      <c r="F48" s="377">
        <v>5</v>
      </c>
      <c r="G48" s="377">
        <v>6</v>
      </c>
      <c r="H48" s="377">
        <v>7</v>
      </c>
      <c r="I48" s="377">
        <v>8</v>
      </c>
      <c r="J48" s="377">
        <v>9</v>
      </c>
      <c r="K48" s="377">
        <v>10</v>
      </c>
      <c r="L48" s="377">
        <v>11</v>
      </c>
      <c r="M48" s="377">
        <v>12</v>
      </c>
      <c r="N48" s="377">
        <v>13</v>
      </c>
      <c r="O48" s="378">
        <v>1</v>
      </c>
    </row>
    <row r="49" spans="1:15" x14ac:dyDescent="0.2">
      <c r="A49" s="379">
        <v>2000</v>
      </c>
      <c r="B49" s="380">
        <v>113.4</v>
      </c>
      <c r="C49" s="380">
        <v>113.4</v>
      </c>
      <c r="D49" s="380">
        <v>113.5</v>
      </c>
      <c r="E49" s="380">
        <v>113.3</v>
      </c>
      <c r="F49" s="380">
        <v>113.3</v>
      </c>
      <c r="G49" s="380">
        <v>113.3</v>
      </c>
      <c r="H49" s="380">
        <v>113.2</v>
      </c>
      <c r="I49" s="380">
        <v>113.1</v>
      </c>
      <c r="J49" s="380">
        <v>113.1</v>
      </c>
      <c r="K49" s="380">
        <v>112.9</v>
      </c>
      <c r="L49" s="380">
        <v>113</v>
      </c>
      <c r="M49" s="380">
        <v>113</v>
      </c>
      <c r="N49" s="380">
        <v>113.2</v>
      </c>
      <c r="O49" s="381">
        <v>2</v>
      </c>
    </row>
    <row r="50" spans="1:15" x14ac:dyDescent="0.2">
      <c r="A50" s="379">
        <v>2001</v>
      </c>
      <c r="B50" s="380">
        <v>112.7</v>
      </c>
      <c r="C50" s="380">
        <v>113.2</v>
      </c>
      <c r="D50" s="380">
        <v>113.3</v>
      </c>
      <c r="E50" s="380">
        <v>113.3</v>
      </c>
      <c r="F50" s="380">
        <v>113.3</v>
      </c>
      <c r="G50" s="380">
        <v>113.2</v>
      </c>
      <c r="H50" s="380">
        <v>112.6</v>
      </c>
      <c r="I50" s="380">
        <v>112.7</v>
      </c>
      <c r="J50" s="380">
        <v>112.7</v>
      </c>
      <c r="K50" s="380">
        <v>112.7</v>
      </c>
      <c r="L50" s="380">
        <v>112.7</v>
      </c>
      <c r="M50" s="380">
        <v>112.7</v>
      </c>
      <c r="N50" s="380">
        <v>112.9</v>
      </c>
      <c r="O50" s="381">
        <v>3</v>
      </c>
    </row>
    <row r="51" spans="1:15" x14ac:dyDescent="0.2">
      <c r="A51" s="379">
        <v>2002</v>
      </c>
      <c r="B51" s="380">
        <v>113</v>
      </c>
      <c r="C51" s="380">
        <v>113</v>
      </c>
      <c r="D51" s="380">
        <v>113</v>
      </c>
      <c r="E51" s="380">
        <v>113</v>
      </c>
      <c r="F51" s="380">
        <v>112.9</v>
      </c>
      <c r="G51" s="380">
        <v>113.2</v>
      </c>
      <c r="H51" s="380">
        <v>112.7</v>
      </c>
      <c r="I51" s="380">
        <v>112.8</v>
      </c>
      <c r="J51" s="380">
        <v>113.1</v>
      </c>
      <c r="K51" s="380">
        <v>113.2</v>
      </c>
      <c r="L51" s="380">
        <v>113.2</v>
      </c>
      <c r="M51" s="380">
        <v>113.3</v>
      </c>
      <c r="N51" s="380">
        <v>113</v>
      </c>
      <c r="O51" s="381">
        <v>4</v>
      </c>
    </row>
    <row r="52" spans="1:15" x14ac:dyDescent="0.2">
      <c r="A52" s="379">
        <v>2003</v>
      </c>
      <c r="B52" s="380">
        <v>113.3</v>
      </c>
      <c r="C52" s="380">
        <v>113.3</v>
      </c>
      <c r="D52" s="380">
        <v>113.3</v>
      </c>
      <c r="E52" s="380">
        <v>114</v>
      </c>
      <c r="F52" s="380">
        <v>114.2</v>
      </c>
      <c r="G52" s="380">
        <v>114.2</v>
      </c>
      <c r="H52" s="380">
        <v>114.2</v>
      </c>
      <c r="I52" s="380">
        <v>114.2</v>
      </c>
      <c r="J52" s="380">
        <v>114.2</v>
      </c>
      <c r="K52" s="380">
        <v>114.5</v>
      </c>
      <c r="L52" s="380">
        <v>114.8</v>
      </c>
      <c r="M52" s="380">
        <v>115.2</v>
      </c>
      <c r="N52" s="380">
        <v>114.1</v>
      </c>
      <c r="O52" s="381">
        <v>5</v>
      </c>
    </row>
    <row r="53" spans="1:15" x14ac:dyDescent="0.2">
      <c r="A53" s="379">
        <v>2004</v>
      </c>
      <c r="B53" s="380">
        <v>115.7</v>
      </c>
      <c r="C53" s="380">
        <v>115.8</v>
      </c>
      <c r="D53" s="382">
        <v>114.7</v>
      </c>
      <c r="E53" s="382">
        <v>117.5</v>
      </c>
      <c r="F53" s="382">
        <v>117</v>
      </c>
      <c r="G53" s="382">
        <v>118.3</v>
      </c>
      <c r="H53" s="382">
        <v>118.9</v>
      </c>
      <c r="I53" s="382">
        <v>119.3</v>
      </c>
      <c r="J53" s="380">
        <v>121.7</v>
      </c>
      <c r="K53" s="380">
        <v>123.1</v>
      </c>
      <c r="L53" s="380">
        <v>122.7</v>
      </c>
      <c r="M53" s="380">
        <v>124.5</v>
      </c>
      <c r="N53" s="380">
        <v>119.1</v>
      </c>
      <c r="O53" s="381">
        <v>6</v>
      </c>
    </row>
    <row r="54" spans="1:15" x14ac:dyDescent="0.2">
      <c r="A54" s="379">
        <v>2005</v>
      </c>
      <c r="B54" s="380">
        <v>127.3</v>
      </c>
      <c r="C54" s="392">
        <v>126.9</v>
      </c>
      <c r="D54" s="386">
        <v>126.6</v>
      </c>
      <c r="E54" s="386">
        <v>127.3</v>
      </c>
      <c r="F54" s="386">
        <v>126.4</v>
      </c>
      <c r="G54" s="386">
        <v>125.9</v>
      </c>
      <c r="H54" s="386">
        <v>126.6</v>
      </c>
      <c r="I54" s="386">
        <v>126.5</v>
      </c>
      <c r="J54" s="393">
        <v>123.5</v>
      </c>
      <c r="K54" s="382">
        <v>122.3</v>
      </c>
      <c r="L54" s="382">
        <v>126.2</v>
      </c>
      <c r="M54" s="382">
        <v>128</v>
      </c>
      <c r="N54" s="382">
        <v>126.1</v>
      </c>
      <c r="O54" s="381">
        <v>7</v>
      </c>
    </row>
    <row r="55" spans="1:15" x14ac:dyDescent="0.2">
      <c r="A55" s="379">
        <v>2006</v>
      </c>
      <c r="B55" s="382">
        <v>129.80000000000001</v>
      </c>
      <c r="C55" s="383">
        <v>129.9</v>
      </c>
      <c r="D55" s="394">
        <v>130.19999999999999</v>
      </c>
      <c r="E55" s="384">
        <v>130.6</v>
      </c>
      <c r="F55" s="384">
        <v>129.80000000000001</v>
      </c>
      <c r="G55" s="384">
        <v>130.4</v>
      </c>
      <c r="H55" s="384">
        <v>133.5</v>
      </c>
      <c r="I55" s="394">
        <v>134.4</v>
      </c>
      <c r="J55" s="395">
        <v>135</v>
      </c>
      <c r="K55" s="385">
        <v>133.6</v>
      </c>
      <c r="L55" s="385">
        <v>132.9</v>
      </c>
      <c r="M55" s="385">
        <v>132.6</v>
      </c>
      <c r="N55" s="385">
        <v>131.9</v>
      </c>
      <c r="O55" s="381">
        <v>8</v>
      </c>
    </row>
    <row r="56" spans="1:15" x14ac:dyDescent="0.2">
      <c r="A56" s="379">
        <v>2007</v>
      </c>
      <c r="B56" s="386">
        <v>130.30000000000001</v>
      </c>
      <c r="C56" s="386">
        <v>130.9</v>
      </c>
      <c r="D56" s="384">
        <v>131.80000000000001</v>
      </c>
      <c r="E56" s="384">
        <v>134.4</v>
      </c>
      <c r="F56" s="384">
        <v>136.19999999999999</v>
      </c>
      <c r="G56" s="384">
        <v>135.4</v>
      </c>
      <c r="H56" s="384">
        <v>137.1</v>
      </c>
      <c r="I56" s="385">
        <v>137.4</v>
      </c>
      <c r="J56" s="385">
        <v>137.6</v>
      </c>
      <c r="K56" s="385">
        <v>137.80000000000001</v>
      </c>
      <c r="L56" s="385">
        <v>137.9</v>
      </c>
      <c r="M56" s="385">
        <v>137.30000000000001</v>
      </c>
      <c r="N56" s="385">
        <v>135.30000000000001</v>
      </c>
      <c r="O56" s="381">
        <v>9</v>
      </c>
    </row>
    <row r="57" spans="1:15" x14ac:dyDescent="0.2">
      <c r="A57" s="379">
        <v>2008</v>
      </c>
      <c r="B57" s="387">
        <v>139.19999999999999</v>
      </c>
      <c r="C57" s="396">
        <v>141</v>
      </c>
      <c r="D57" s="397">
        <v>141.69999999999999</v>
      </c>
      <c r="E57" s="397">
        <v>149.19999999999999</v>
      </c>
      <c r="F57" s="397">
        <v>159.80000000000001</v>
      </c>
      <c r="G57" s="397">
        <v>168</v>
      </c>
      <c r="H57" s="398">
        <v>174.2</v>
      </c>
      <c r="I57" s="398">
        <v>179.9</v>
      </c>
      <c r="J57" s="398">
        <v>179.2</v>
      </c>
      <c r="K57" s="398">
        <v>165.2</v>
      </c>
      <c r="L57" s="398">
        <v>155</v>
      </c>
      <c r="M57" s="398">
        <v>147.1</v>
      </c>
      <c r="N57" s="398">
        <v>158.30000000000001</v>
      </c>
      <c r="O57" s="381">
        <v>10</v>
      </c>
    </row>
    <row r="58" spans="1:15" x14ac:dyDescent="0.2">
      <c r="A58" s="379">
        <v>2009</v>
      </c>
      <c r="B58" s="388">
        <v>148.19999999999999</v>
      </c>
      <c r="C58" s="388">
        <v>150.80000000000001</v>
      </c>
      <c r="D58" s="388">
        <v>146.69999999999999</v>
      </c>
      <c r="E58" s="388">
        <v>145</v>
      </c>
      <c r="F58" s="388">
        <v>143.69999999999999</v>
      </c>
      <c r="G58" s="388">
        <v>144.1</v>
      </c>
      <c r="H58" s="388">
        <v>143.5</v>
      </c>
      <c r="I58" s="388">
        <v>145.69999999999999</v>
      </c>
      <c r="J58" s="388">
        <v>146</v>
      </c>
      <c r="K58" s="391">
        <v>147</v>
      </c>
      <c r="L58" s="391">
        <v>146.9</v>
      </c>
      <c r="M58" s="391">
        <v>147.6</v>
      </c>
      <c r="N58" s="391">
        <v>146.30000000000001</v>
      </c>
      <c r="O58" s="381">
        <v>11</v>
      </c>
    </row>
    <row r="59" spans="1:15" x14ac:dyDescent="0.2">
      <c r="A59" s="379">
        <v>2010</v>
      </c>
      <c r="B59" s="388">
        <v>149.9</v>
      </c>
      <c r="C59" s="388">
        <v>152.5</v>
      </c>
      <c r="D59" s="388">
        <v>153.6</v>
      </c>
      <c r="E59" s="388">
        <v>158.6</v>
      </c>
      <c r="F59" s="388">
        <v>161.80000000000001</v>
      </c>
      <c r="G59" s="388">
        <v>161.6</v>
      </c>
      <c r="H59" s="388">
        <v>160.80000000000001</v>
      </c>
      <c r="I59" s="388">
        <v>158.19999999999999</v>
      </c>
      <c r="J59" s="65">
        <v>157.9</v>
      </c>
      <c r="K59" s="391">
        <v>159.19999999999999</v>
      </c>
      <c r="L59" s="391">
        <v>157.69999999999999</v>
      </c>
      <c r="M59" s="391">
        <v>158.30000000000001</v>
      </c>
      <c r="N59" s="391">
        <v>157.5</v>
      </c>
      <c r="O59" s="381">
        <v>12</v>
      </c>
    </row>
    <row r="60" spans="1:15" x14ac:dyDescent="0.2">
      <c r="A60" s="379">
        <v>2011</v>
      </c>
      <c r="B60">
        <v>161.19999999999999</v>
      </c>
      <c r="C60" s="388">
        <v>164.8</v>
      </c>
      <c r="D60" s="385">
        <v>164.2</v>
      </c>
      <c r="E60" s="389">
        <v>164.9</v>
      </c>
      <c r="F60" s="389">
        <v>165</v>
      </c>
      <c r="G60" s="389">
        <v>165.8</v>
      </c>
      <c r="H60" s="389">
        <v>166.3</v>
      </c>
      <c r="I60" s="389"/>
      <c r="J60" s="389"/>
      <c r="K60" s="389"/>
      <c r="L60" s="389"/>
      <c r="M60" s="389"/>
      <c r="N60" s="389"/>
      <c r="O60" s="381">
        <v>13</v>
      </c>
    </row>
    <row r="61" spans="1:15" x14ac:dyDescent="0.2">
      <c r="A61" s="379"/>
      <c r="B61" s="368"/>
      <c r="C61" s="368"/>
      <c r="D61" s="368"/>
      <c r="E61" s="368"/>
      <c r="F61" s="368"/>
      <c r="G61" s="368"/>
      <c r="H61" s="368"/>
      <c r="I61" s="368"/>
      <c r="J61" s="368"/>
      <c r="K61" s="368"/>
      <c r="L61" s="368"/>
      <c r="M61" s="368"/>
      <c r="N61" s="368"/>
      <c r="O61" s="381">
        <v>13</v>
      </c>
    </row>
    <row r="62" spans="1:15" ht="15" x14ac:dyDescent="0.3">
      <c r="B62" s="372" t="s">
        <v>733</v>
      </c>
      <c r="D62" s="372">
        <v>198306</v>
      </c>
    </row>
    <row r="63" spans="1:15" x14ac:dyDescent="0.2">
      <c r="A63" s="27" t="s">
        <v>626</v>
      </c>
      <c r="B63" s="373" t="s">
        <v>647</v>
      </c>
      <c r="C63" s="27" t="s">
        <v>734</v>
      </c>
      <c r="O63" t="s">
        <v>713</v>
      </c>
    </row>
    <row r="64" spans="1:15" x14ac:dyDescent="0.2">
      <c r="A64" s="27"/>
      <c r="B64" s="359" t="s">
        <v>714</v>
      </c>
      <c r="C64" s="374" t="s">
        <v>715</v>
      </c>
      <c r="D64" s="375" t="s">
        <v>716</v>
      </c>
      <c r="E64" s="375" t="s">
        <v>717</v>
      </c>
      <c r="F64" s="375" t="s">
        <v>718</v>
      </c>
      <c r="G64" s="375" t="s">
        <v>719</v>
      </c>
      <c r="H64" s="375" t="s">
        <v>720</v>
      </c>
      <c r="I64" s="375" t="s">
        <v>721</v>
      </c>
      <c r="J64" s="375" t="s">
        <v>722</v>
      </c>
      <c r="K64" s="375" t="s">
        <v>723</v>
      </c>
      <c r="L64" s="375" t="s">
        <v>724</v>
      </c>
      <c r="M64" s="375" t="s">
        <v>725</v>
      </c>
      <c r="N64" s="375" t="s">
        <v>726</v>
      </c>
    </row>
    <row r="65" spans="1:15" x14ac:dyDescent="0.2">
      <c r="A65" s="376" t="s">
        <v>730</v>
      </c>
      <c r="B65" s="377">
        <v>1</v>
      </c>
      <c r="C65" s="377">
        <v>2</v>
      </c>
      <c r="D65" s="377">
        <v>3</v>
      </c>
      <c r="E65" s="377">
        <v>4</v>
      </c>
      <c r="F65" s="377">
        <v>5</v>
      </c>
      <c r="G65" s="377">
        <v>6</v>
      </c>
      <c r="H65" s="377">
        <v>7</v>
      </c>
      <c r="I65" s="377">
        <v>8</v>
      </c>
      <c r="J65" s="377">
        <v>9</v>
      </c>
      <c r="K65" s="377">
        <v>10</v>
      </c>
      <c r="L65" s="377">
        <v>11</v>
      </c>
      <c r="M65" s="377">
        <v>12</v>
      </c>
      <c r="N65" s="377">
        <v>13</v>
      </c>
      <c r="O65" s="378">
        <v>1</v>
      </c>
    </row>
    <row r="66" spans="1:15" x14ac:dyDescent="0.2">
      <c r="A66" s="379">
        <v>2000</v>
      </c>
      <c r="B66" s="380">
        <v>165.4</v>
      </c>
      <c r="C66" s="380">
        <v>165.7</v>
      </c>
      <c r="D66" s="380">
        <v>165.8</v>
      </c>
      <c r="E66" s="380">
        <v>165.8</v>
      </c>
      <c r="F66" s="380">
        <v>165.8</v>
      </c>
      <c r="G66" s="380">
        <v>165.8</v>
      </c>
      <c r="H66" s="380">
        <v>167</v>
      </c>
      <c r="I66" s="380">
        <v>167.9</v>
      </c>
      <c r="J66" s="380">
        <v>168</v>
      </c>
      <c r="K66" s="380">
        <v>168.1</v>
      </c>
      <c r="L66" s="380">
        <v>168.1</v>
      </c>
      <c r="M66" s="380">
        <v>168.1</v>
      </c>
      <c r="N66" s="380">
        <v>166.8</v>
      </c>
      <c r="O66" s="381">
        <v>2</v>
      </c>
    </row>
    <row r="67" spans="1:15" x14ac:dyDescent="0.2">
      <c r="A67" s="379">
        <v>2001</v>
      </c>
      <c r="B67" s="380">
        <v>168.5</v>
      </c>
      <c r="C67" s="380">
        <v>168.6</v>
      </c>
      <c r="D67" s="380">
        <v>167.5</v>
      </c>
      <c r="E67" s="380">
        <v>167.5</v>
      </c>
      <c r="F67" s="380">
        <v>167.5</v>
      </c>
      <c r="G67" s="380">
        <v>167.3</v>
      </c>
      <c r="H67" s="380">
        <v>167.4</v>
      </c>
      <c r="I67" s="380">
        <v>167.4</v>
      </c>
      <c r="J67" s="380">
        <v>168</v>
      </c>
      <c r="K67" s="380">
        <v>168</v>
      </c>
      <c r="L67" s="380">
        <v>168</v>
      </c>
      <c r="M67" s="380">
        <v>168.2</v>
      </c>
      <c r="N67" s="380">
        <v>167.8</v>
      </c>
      <c r="O67" s="381">
        <v>3</v>
      </c>
    </row>
    <row r="68" spans="1:15" x14ac:dyDescent="0.2">
      <c r="A68" s="379">
        <v>2002</v>
      </c>
      <c r="B68" s="380">
        <v>168.6</v>
      </c>
      <c r="C68" s="380">
        <v>168.6</v>
      </c>
      <c r="D68" s="380">
        <v>168.6</v>
      </c>
      <c r="E68" s="380">
        <v>167.8</v>
      </c>
      <c r="F68" s="380">
        <v>167.8</v>
      </c>
      <c r="G68" s="380">
        <v>168.4</v>
      </c>
      <c r="H68" s="380">
        <v>169.1</v>
      </c>
      <c r="I68" s="380">
        <v>169.1</v>
      </c>
      <c r="J68" s="380">
        <v>169.2</v>
      </c>
      <c r="K68" s="380">
        <v>169.1</v>
      </c>
      <c r="L68" s="380">
        <v>169.2</v>
      </c>
      <c r="M68" s="380">
        <v>169.5</v>
      </c>
      <c r="N68" s="380">
        <v>168.7</v>
      </c>
      <c r="O68" s="381">
        <v>4</v>
      </c>
    </row>
    <row r="69" spans="1:15" x14ac:dyDescent="0.2">
      <c r="A69" s="379">
        <v>2003</v>
      </c>
      <c r="B69" s="380">
        <v>170.3</v>
      </c>
      <c r="C69" s="380">
        <v>170.3</v>
      </c>
      <c r="D69" s="380">
        <v>170.3</v>
      </c>
      <c r="E69" s="380">
        <v>170.7</v>
      </c>
      <c r="F69" s="380">
        <v>170.7</v>
      </c>
      <c r="G69" s="380">
        <v>170.9</v>
      </c>
      <c r="H69" s="380">
        <v>170.5</v>
      </c>
      <c r="I69" s="380">
        <v>170.5</v>
      </c>
      <c r="J69" s="380">
        <v>170.5</v>
      </c>
      <c r="K69" s="380">
        <v>170.2</v>
      </c>
      <c r="L69" s="380">
        <v>170.2</v>
      </c>
      <c r="M69" s="380">
        <v>170.1</v>
      </c>
      <c r="N69" s="380">
        <v>170.4</v>
      </c>
      <c r="O69" s="381">
        <v>5</v>
      </c>
    </row>
    <row r="70" spans="1:15" x14ac:dyDescent="0.2">
      <c r="A70" s="379">
        <v>2004</v>
      </c>
      <c r="B70" s="380">
        <v>171</v>
      </c>
      <c r="C70" s="380">
        <v>173.4</v>
      </c>
      <c r="D70" s="380">
        <v>173.4</v>
      </c>
      <c r="E70" s="380">
        <v>173.5</v>
      </c>
      <c r="F70" s="380">
        <v>174.6</v>
      </c>
      <c r="G70" s="380">
        <v>175.5</v>
      </c>
      <c r="H70" s="380">
        <v>175.5</v>
      </c>
      <c r="I70" s="380">
        <v>175.5</v>
      </c>
      <c r="J70" s="380">
        <v>175.7</v>
      </c>
      <c r="K70" s="380">
        <v>175.8</v>
      </c>
      <c r="L70" s="380">
        <v>176.2</v>
      </c>
      <c r="M70" s="380">
        <v>176.4</v>
      </c>
      <c r="N70" s="380">
        <v>174.7</v>
      </c>
      <c r="O70" s="381">
        <v>6</v>
      </c>
    </row>
    <row r="71" spans="1:15" x14ac:dyDescent="0.2">
      <c r="A71" s="379">
        <v>2005</v>
      </c>
      <c r="B71" s="380">
        <v>177</v>
      </c>
      <c r="C71" s="380">
        <v>179.7</v>
      </c>
      <c r="D71" s="382">
        <v>182.5</v>
      </c>
      <c r="E71" s="382">
        <v>183.8</v>
      </c>
      <c r="F71" s="382">
        <v>184.2</v>
      </c>
      <c r="G71" s="382">
        <v>184.3</v>
      </c>
      <c r="H71" s="382">
        <v>184.8</v>
      </c>
      <c r="I71" s="382">
        <v>185.1</v>
      </c>
      <c r="J71" s="382">
        <v>188.1</v>
      </c>
      <c r="K71" s="382">
        <v>188.5</v>
      </c>
      <c r="L71" s="382">
        <v>187.8</v>
      </c>
      <c r="M71" s="382">
        <v>187.9</v>
      </c>
      <c r="N71" s="382">
        <v>184.5</v>
      </c>
      <c r="O71" s="381">
        <v>7</v>
      </c>
    </row>
    <row r="72" spans="1:15" x14ac:dyDescent="0.2">
      <c r="A72" s="379">
        <v>2006</v>
      </c>
      <c r="B72" s="382">
        <v>188.7</v>
      </c>
      <c r="C72" s="383">
        <v>189.9</v>
      </c>
      <c r="D72" s="384">
        <v>190.1</v>
      </c>
      <c r="E72" s="384">
        <v>190.1</v>
      </c>
      <c r="F72" s="384">
        <v>189.8</v>
      </c>
      <c r="G72" s="384">
        <v>189.8</v>
      </c>
      <c r="H72" s="384">
        <v>193.7</v>
      </c>
      <c r="I72" s="385">
        <v>194.3</v>
      </c>
      <c r="J72" s="385">
        <v>194.7</v>
      </c>
      <c r="K72" s="385">
        <v>194.8</v>
      </c>
      <c r="L72" s="385">
        <v>194.8</v>
      </c>
      <c r="M72" s="385">
        <v>195.1</v>
      </c>
      <c r="N72" s="385">
        <v>192.2</v>
      </c>
      <c r="O72" s="381">
        <v>8</v>
      </c>
    </row>
    <row r="73" spans="1:15" x14ac:dyDescent="0.2">
      <c r="A73" s="379">
        <v>2007</v>
      </c>
      <c r="B73" s="386">
        <v>197.5</v>
      </c>
      <c r="C73" s="386">
        <v>197.6</v>
      </c>
      <c r="D73" s="384">
        <v>197.7</v>
      </c>
      <c r="E73" s="384">
        <v>197.5</v>
      </c>
      <c r="F73" s="384">
        <v>197.4</v>
      </c>
      <c r="G73" s="384">
        <v>197.3</v>
      </c>
      <c r="H73" s="384">
        <v>197.4</v>
      </c>
      <c r="I73" s="385">
        <v>202.6</v>
      </c>
      <c r="J73" s="385">
        <v>202.6</v>
      </c>
      <c r="K73" s="385">
        <v>203</v>
      </c>
      <c r="L73" s="385">
        <v>203.6</v>
      </c>
      <c r="M73" s="385">
        <v>203.5</v>
      </c>
      <c r="N73" s="385">
        <v>199.8</v>
      </c>
      <c r="O73" s="381">
        <v>9</v>
      </c>
    </row>
    <row r="74" spans="1:15" x14ac:dyDescent="0.2">
      <c r="A74" s="379">
        <v>2008</v>
      </c>
      <c r="B74" s="387">
        <v>204.3</v>
      </c>
      <c r="C74" s="396">
        <v>204.7</v>
      </c>
      <c r="D74" s="397">
        <v>205.2</v>
      </c>
      <c r="E74" s="397">
        <v>205.8</v>
      </c>
      <c r="F74" s="397">
        <v>207.1</v>
      </c>
      <c r="G74" s="397">
        <v>207.9</v>
      </c>
      <c r="H74" s="397">
        <v>216.9</v>
      </c>
      <c r="I74" s="398">
        <v>217</v>
      </c>
      <c r="J74" s="398">
        <v>217.3</v>
      </c>
      <c r="K74" s="398">
        <v>218.5</v>
      </c>
      <c r="L74" s="398">
        <v>218.6</v>
      </c>
      <c r="M74" s="398">
        <v>219.9</v>
      </c>
      <c r="N74" s="398">
        <v>211.9</v>
      </c>
      <c r="O74" s="381">
        <v>10</v>
      </c>
    </row>
    <row r="75" spans="1:15" x14ac:dyDescent="0.2">
      <c r="A75" s="379">
        <v>2009</v>
      </c>
      <c r="B75" s="388">
        <v>220.4</v>
      </c>
      <c r="C75" s="388">
        <v>220.9</v>
      </c>
      <c r="D75" s="388">
        <v>220</v>
      </c>
      <c r="E75" s="388">
        <v>219.8</v>
      </c>
      <c r="F75" s="388">
        <v>224.1</v>
      </c>
      <c r="G75" s="388">
        <v>224.1</v>
      </c>
      <c r="H75" s="388">
        <v>224.6</v>
      </c>
      <c r="I75" s="388">
        <v>223.6</v>
      </c>
      <c r="J75" s="65">
        <v>224.4</v>
      </c>
      <c r="K75" s="391">
        <v>224.1</v>
      </c>
      <c r="L75" s="391">
        <v>224.1</v>
      </c>
      <c r="M75" s="391">
        <v>223.9</v>
      </c>
      <c r="N75" s="391">
        <v>222.8</v>
      </c>
      <c r="O75" s="381">
        <v>11</v>
      </c>
    </row>
    <row r="76" spans="1:15" x14ac:dyDescent="0.2">
      <c r="A76" s="379">
        <v>2010</v>
      </c>
      <c r="B76" s="388">
        <v>224.9</v>
      </c>
      <c r="C76" s="388">
        <v>224.9</v>
      </c>
      <c r="D76" s="388">
        <v>225</v>
      </c>
      <c r="E76" s="388">
        <v>224.9</v>
      </c>
      <c r="F76" s="388">
        <v>225.1</v>
      </c>
      <c r="G76" s="388">
        <v>225.1</v>
      </c>
      <c r="H76" s="388">
        <v>225.5</v>
      </c>
      <c r="I76" s="388">
        <v>229.9</v>
      </c>
      <c r="J76" s="65">
        <v>229.8</v>
      </c>
      <c r="K76" s="391">
        <v>229.9</v>
      </c>
      <c r="L76" s="391">
        <v>230.1</v>
      </c>
      <c r="M76" s="391">
        <v>230.4</v>
      </c>
      <c r="N76" s="391">
        <v>227.1</v>
      </c>
      <c r="O76" s="381">
        <v>12</v>
      </c>
    </row>
    <row r="77" spans="1:15" x14ac:dyDescent="0.2">
      <c r="A77" s="379">
        <v>2011</v>
      </c>
      <c r="B77">
        <v>230.5</v>
      </c>
      <c r="C77" s="388">
        <v>230.4</v>
      </c>
      <c r="D77" s="385">
        <v>230.8</v>
      </c>
      <c r="E77" s="389">
        <v>231.5</v>
      </c>
      <c r="F77" s="389">
        <v>231.9</v>
      </c>
      <c r="G77" s="389">
        <v>238.1</v>
      </c>
      <c r="H77" s="389">
        <v>237.6</v>
      </c>
      <c r="I77" s="389"/>
      <c r="J77" s="389"/>
      <c r="K77" s="389"/>
      <c r="L77" s="389"/>
      <c r="M77" s="389"/>
      <c r="N77" s="389"/>
      <c r="O77" s="381">
        <v>13</v>
      </c>
    </row>
    <row r="78" spans="1:15" x14ac:dyDescent="0.2">
      <c r="A78" s="379"/>
      <c r="B78" s="368"/>
      <c r="C78" s="368"/>
      <c r="D78" s="368"/>
      <c r="E78" s="368"/>
      <c r="F78" s="368"/>
      <c r="G78" s="368"/>
      <c r="H78" s="368"/>
      <c r="I78" s="368"/>
      <c r="J78" s="368"/>
      <c r="K78" s="368"/>
      <c r="L78" s="368"/>
      <c r="M78" s="368"/>
      <c r="N78" s="368"/>
      <c r="O78" s="381">
        <v>14</v>
      </c>
    </row>
    <row r="79" spans="1:15" ht="15" x14ac:dyDescent="0.3">
      <c r="B79" s="372" t="s">
        <v>735</v>
      </c>
      <c r="D79" s="372">
        <v>198306</v>
      </c>
    </row>
    <row r="80" spans="1:15" x14ac:dyDescent="0.2">
      <c r="A80" s="27" t="s">
        <v>626</v>
      </c>
      <c r="B80" s="373">
        <v>3353123</v>
      </c>
      <c r="C80" s="27" t="s">
        <v>736</v>
      </c>
      <c r="O80" t="s">
        <v>713</v>
      </c>
    </row>
    <row r="81" spans="1:15" x14ac:dyDescent="0.2">
      <c r="A81" s="27"/>
      <c r="B81" s="359" t="s">
        <v>714</v>
      </c>
      <c r="C81" s="374" t="s">
        <v>715</v>
      </c>
      <c r="D81" s="375" t="s">
        <v>716</v>
      </c>
      <c r="E81" s="375" t="s">
        <v>717</v>
      </c>
      <c r="F81" s="375" t="s">
        <v>718</v>
      </c>
      <c r="G81" s="375" t="s">
        <v>719</v>
      </c>
      <c r="H81" s="375" t="s">
        <v>720</v>
      </c>
      <c r="I81" s="375" t="s">
        <v>721</v>
      </c>
      <c r="J81" s="375" t="s">
        <v>722</v>
      </c>
      <c r="K81" s="375" t="s">
        <v>723</v>
      </c>
      <c r="L81" s="375" t="s">
        <v>724</v>
      </c>
      <c r="M81" s="375" t="s">
        <v>725</v>
      </c>
      <c r="N81" s="375" t="s">
        <v>726</v>
      </c>
    </row>
    <row r="82" spans="1:15" x14ac:dyDescent="0.2">
      <c r="A82" s="376" t="s">
        <v>730</v>
      </c>
      <c r="B82" s="377">
        <v>1</v>
      </c>
      <c r="C82" s="377">
        <v>2</v>
      </c>
      <c r="D82" s="377">
        <v>3</v>
      </c>
      <c r="E82" s="377">
        <v>4</v>
      </c>
      <c r="F82" s="377">
        <v>5</v>
      </c>
      <c r="G82" s="377">
        <v>6</v>
      </c>
      <c r="H82" s="377">
        <v>7</v>
      </c>
      <c r="I82" s="377">
        <v>8</v>
      </c>
      <c r="J82" s="377">
        <v>9</v>
      </c>
      <c r="K82" s="377">
        <v>10</v>
      </c>
      <c r="L82" s="377">
        <v>11</v>
      </c>
      <c r="M82" s="377">
        <v>12</v>
      </c>
      <c r="N82" s="377">
        <v>13</v>
      </c>
      <c r="O82" s="378">
        <v>1</v>
      </c>
    </row>
    <row r="83" spans="1:15" x14ac:dyDescent="0.2">
      <c r="A83" s="379">
        <v>2000</v>
      </c>
      <c r="B83" s="380">
        <v>147.1</v>
      </c>
      <c r="C83" s="380">
        <v>146.80000000000001</v>
      </c>
      <c r="D83" s="380">
        <v>147.30000000000001</v>
      </c>
      <c r="E83" s="380">
        <v>147.6</v>
      </c>
      <c r="F83" s="380">
        <v>147.6</v>
      </c>
      <c r="G83" s="380">
        <v>147.6</v>
      </c>
      <c r="H83" s="380">
        <v>147.6</v>
      </c>
      <c r="I83" s="380">
        <v>147.69999999999999</v>
      </c>
      <c r="J83" s="380">
        <v>147.80000000000001</v>
      </c>
      <c r="K83" s="380">
        <v>147.4</v>
      </c>
      <c r="L83" s="380">
        <v>147.4</v>
      </c>
      <c r="M83" s="380">
        <v>147.4</v>
      </c>
      <c r="N83" s="380">
        <v>147.5</v>
      </c>
      <c r="O83" s="381">
        <v>2</v>
      </c>
    </row>
    <row r="84" spans="1:15" x14ac:dyDescent="0.2">
      <c r="A84" s="379">
        <v>2001</v>
      </c>
      <c r="B84" s="380">
        <v>147.69999999999999</v>
      </c>
      <c r="C84" s="380">
        <v>148</v>
      </c>
      <c r="D84" s="380">
        <v>149.1</v>
      </c>
      <c r="E84" s="380">
        <v>149.1</v>
      </c>
      <c r="F84" s="380">
        <v>149.30000000000001</v>
      </c>
      <c r="G84" s="380">
        <v>149</v>
      </c>
      <c r="H84" s="380">
        <v>149</v>
      </c>
      <c r="I84" s="380">
        <v>149</v>
      </c>
      <c r="J84" s="380">
        <v>148.9</v>
      </c>
      <c r="K84" s="380">
        <v>149</v>
      </c>
      <c r="L84" s="380">
        <v>149.5</v>
      </c>
      <c r="M84" s="380">
        <v>149.69999999999999</v>
      </c>
      <c r="N84" s="380">
        <v>148.9</v>
      </c>
      <c r="O84" s="381">
        <v>3</v>
      </c>
    </row>
    <row r="85" spans="1:15" x14ac:dyDescent="0.2">
      <c r="A85" s="379">
        <v>2002</v>
      </c>
      <c r="B85" s="380">
        <v>150</v>
      </c>
      <c r="C85" s="380">
        <v>149.9</v>
      </c>
      <c r="D85" s="380">
        <v>149.9</v>
      </c>
      <c r="E85" s="380">
        <v>150</v>
      </c>
      <c r="F85" s="380">
        <v>150.30000000000001</v>
      </c>
      <c r="G85" s="380">
        <v>150.30000000000001</v>
      </c>
      <c r="H85" s="380">
        <v>150.30000000000001</v>
      </c>
      <c r="I85" s="380">
        <v>150.30000000000001</v>
      </c>
      <c r="J85" s="380">
        <v>149.6</v>
      </c>
      <c r="K85" s="380">
        <v>149.69999999999999</v>
      </c>
      <c r="L85" s="380">
        <v>149.6</v>
      </c>
      <c r="M85" s="380">
        <v>149.5</v>
      </c>
      <c r="N85" s="380">
        <v>149.9</v>
      </c>
      <c r="O85" s="381">
        <v>4</v>
      </c>
    </row>
    <row r="86" spans="1:15" x14ac:dyDescent="0.2">
      <c r="A86" s="379">
        <v>2003</v>
      </c>
      <c r="B86" s="380">
        <v>149.5</v>
      </c>
      <c r="C86" s="380">
        <v>149.30000000000001</v>
      </c>
      <c r="D86" s="380">
        <v>149.4</v>
      </c>
      <c r="E86" s="380">
        <v>149.30000000000001</v>
      </c>
      <c r="F86" s="380">
        <v>149.19999999999999</v>
      </c>
      <c r="G86" s="380">
        <v>149.19999999999999</v>
      </c>
      <c r="H86" s="380">
        <v>149.19999999999999</v>
      </c>
      <c r="I86" s="380">
        <v>149.19999999999999</v>
      </c>
      <c r="J86" s="380">
        <v>149.19999999999999</v>
      </c>
      <c r="K86" s="380">
        <v>149.1</v>
      </c>
      <c r="L86" s="380">
        <v>149.1</v>
      </c>
      <c r="M86" s="380">
        <v>149.4</v>
      </c>
      <c r="N86" s="380">
        <v>149.30000000000001</v>
      </c>
      <c r="O86" s="381">
        <v>5</v>
      </c>
    </row>
    <row r="87" spans="1:15" x14ac:dyDescent="0.2">
      <c r="A87" s="379">
        <v>2004</v>
      </c>
      <c r="B87" s="380">
        <v>149.4</v>
      </c>
      <c r="C87" s="380">
        <v>149.4</v>
      </c>
      <c r="D87" s="380">
        <v>150.19999999999999</v>
      </c>
      <c r="E87" s="380">
        <v>150.5</v>
      </c>
      <c r="F87" s="380">
        <v>150.69999999999999</v>
      </c>
      <c r="G87" s="380">
        <v>153.5</v>
      </c>
      <c r="H87" s="380">
        <v>153.9</v>
      </c>
      <c r="I87" s="380">
        <v>153.9</v>
      </c>
      <c r="J87" s="380">
        <v>153.9</v>
      </c>
      <c r="K87" s="380">
        <v>154</v>
      </c>
      <c r="L87" s="380">
        <v>154</v>
      </c>
      <c r="M87" s="380">
        <v>157.30000000000001</v>
      </c>
      <c r="N87" s="380">
        <v>152.6</v>
      </c>
      <c r="O87" s="381">
        <v>6</v>
      </c>
    </row>
    <row r="88" spans="1:15" x14ac:dyDescent="0.2">
      <c r="A88" s="379">
        <v>2005</v>
      </c>
      <c r="B88" s="380">
        <v>160.5</v>
      </c>
      <c r="C88" s="380">
        <v>160.5</v>
      </c>
      <c r="D88" s="382">
        <v>160.9</v>
      </c>
      <c r="E88" s="382">
        <v>160.9</v>
      </c>
      <c r="F88" s="382">
        <v>161.1</v>
      </c>
      <c r="G88" s="382">
        <v>161.9</v>
      </c>
      <c r="H88" s="382">
        <v>162.5</v>
      </c>
      <c r="I88" s="382">
        <v>162.80000000000001</v>
      </c>
      <c r="J88" s="382">
        <v>162.5</v>
      </c>
      <c r="K88" s="382">
        <v>163.6</v>
      </c>
      <c r="L88" s="382">
        <v>167.4</v>
      </c>
      <c r="M88" s="382">
        <v>169.1</v>
      </c>
      <c r="N88" s="382">
        <v>162.80000000000001</v>
      </c>
      <c r="O88" s="381">
        <v>7</v>
      </c>
    </row>
    <row r="89" spans="1:15" x14ac:dyDescent="0.2">
      <c r="A89" s="379">
        <v>2006</v>
      </c>
      <c r="B89" s="382">
        <v>168.5</v>
      </c>
      <c r="C89" s="383">
        <v>168.5</v>
      </c>
      <c r="D89" s="384">
        <v>168.6</v>
      </c>
      <c r="E89" s="384">
        <v>171</v>
      </c>
      <c r="F89" s="384">
        <v>171</v>
      </c>
      <c r="G89" s="384">
        <v>171</v>
      </c>
      <c r="H89" s="384">
        <v>171.8</v>
      </c>
      <c r="I89" s="385">
        <v>179</v>
      </c>
      <c r="J89" s="385">
        <v>180.3</v>
      </c>
      <c r="K89" s="385">
        <v>181.7</v>
      </c>
      <c r="L89" s="385">
        <v>181.7</v>
      </c>
      <c r="M89" s="385">
        <v>181.8</v>
      </c>
      <c r="N89" s="385">
        <v>174.6</v>
      </c>
      <c r="O89" s="381">
        <v>8</v>
      </c>
    </row>
    <row r="90" spans="1:15" x14ac:dyDescent="0.2">
      <c r="A90" s="379">
        <v>2007</v>
      </c>
      <c r="B90" s="386">
        <v>183.8</v>
      </c>
      <c r="C90" s="386">
        <v>183.8</v>
      </c>
      <c r="D90" s="384">
        <v>183.8</v>
      </c>
      <c r="E90" s="384">
        <v>185.7</v>
      </c>
      <c r="F90" s="384">
        <v>186</v>
      </c>
      <c r="G90" s="384">
        <v>188.8</v>
      </c>
      <c r="H90" s="384">
        <v>188.9</v>
      </c>
      <c r="I90" s="385">
        <v>189</v>
      </c>
      <c r="J90" s="385">
        <v>189.1</v>
      </c>
      <c r="K90" s="385">
        <v>190.6</v>
      </c>
      <c r="L90" s="385">
        <v>191.9</v>
      </c>
      <c r="M90" s="385">
        <v>192.6</v>
      </c>
      <c r="N90" s="385">
        <v>187.8</v>
      </c>
      <c r="O90" s="381">
        <v>9</v>
      </c>
    </row>
    <row r="91" spans="1:15" x14ac:dyDescent="0.2">
      <c r="A91" s="379">
        <v>2008</v>
      </c>
      <c r="B91" s="387">
        <v>193.4</v>
      </c>
      <c r="C91" s="396">
        <v>193.8</v>
      </c>
      <c r="D91" s="397">
        <v>194.8</v>
      </c>
      <c r="E91" s="397">
        <v>197.8</v>
      </c>
      <c r="F91" s="397">
        <v>200.3</v>
      </c>
      <c r="G91" s="397">
        <v>202.4</v>
      </c>
      <c r="H91" s="397">
        <v>209.6</v>
      </c>
      <c r="I91" s="398">
        <v>210.4</v>
      </c>
      <c r="J91" s="398">
        <v>211.8</v>
      </c>
      <c r="K91" s="398">
        <v>213.1</v>
      </c>
      <c r="L91" s="398">
        <v>214</v>
      </c>
      <c r="M91" s="398">
        <v>214</v>
      </c>
      <c r="N91" s="398">
        <v>204.6</v>
      </c>
      <c r="O91" s="381">
        <v>10</v>
      </c>
    </row>
    <row r="92" spans="1:15" x14ac:dyDescent="0.2">
      <c r="A92" s="379">
        <v>2009</v>
      </c>
      <c r="B92" s="388">
        <v>213.7</v>
      </c>
      <c r="C92" s="388">
        <v>214.4</v>
      </c>
      <c r="D92" s="388">
        <v>214.1</v>
      </c>
      <c r="E92" s="388">
        <v>210.9</v>
      </c>
      <c r="F92" s="388">
        <v>210.3</v>
      </c>
      <c r="G92" s="388">
        <v>209.3</v>
      </c>
      <c r="H92" s="388">
        <v>208.8</v>
      </c>
      <c r="I92" s="388">
        <v>208.9</v>
      </c>
      <c r="J92" s="460">
        <v>208.4</v>
      </c>
      <c r="K92" s="460">
        <v>207.5</v>
      </c>
      <c r="L92" s="460">
        <v>207.5</v>
      </c>
      <c r="M92" s="460">
        <v>207.7</v>
      </c>
      <c r="N92" s="460">
        <v>210.1</v>
      </c>
      <c r="O92" s="381">
        <v>11</v>
      </c>
    </row>
    <row r="93" spans="1:15" x14ac:dyDescent="0.2">
      <c r="A93" s="379">
        <v>2010</v>
      </c>
      <c r="B93" s="388">
        <v>207.4</v>
      </c>
      <c r="C93" s="388">
        <v>206.4</v>
      </c>
      <c r="D93" s="388">
        <v>206.9</v>
      </c>
      <c r="E93" s="388">
        <v>207.3</v>
      </c>
      <c r="F93" s="388">
        <v>207.5</v>
      </c>
      <c r="G93" s="388">
        <v>221.5</v>
      </c>
      <c r="H93" s="388">
        <v>221.8</v>
      </c>
      <c r="I93" s="388">
        <v>222.5</v>
      </c>
      <c r="J93" s="65">
        <v>222.9</v>
      </c>
      <c r="K93" s="391">
        <v>223.3</v>
      </c>
      <c r="L93" s="391">
        <v>223.3</v>
      </c>
      <c r="M93" s="391">
        <v>223.4</v>
      </c>
      <c r="N93" s="391">
        <v>216.2</v>
      </c>
      <c r="O93" s="381">
        <v>12</v>
      </c>
    </row>
    <row r="94" spans="1:15" x14ac:dyDescent="0.2">
      <c r="A94" s="379">
        <v>2011</v>
      </c>
      <c r="B94">
        <v>231.9</v>
      </c>
      <c r="C94" s="388">
        <v>233</v>
      </c>
      <c r="D94" s="385">
        <v>234.1</v>
      </c>
      <c r="E94" s="389">
        <v>233.2</v>
      </c>
      <c r="F94" s="389">
        <v>234.8</v>
      </c>
      <c r="G94" s="389">
        <v>245.1</v>
      </c>
      <c r="H94" s="389">
        <v>245.3</v>
      </c>
      <c r="I94" s="389"/>
      <c r="J94" s="389"/>
      <c r="K94" s="389"/>
      <c r="L94" s="389"/>
      <c r="M94" s="389"/>
      <c r="N94" s="389"/>
      <c r="O94" s="381">
        <v>13</v>
      </c>
    </row>
    <row r="95" spans="1:15" x14ac:dyDescent="0.2">
      <c r="A95" s="379"/>
      <c r="B95" s="368"/>
      <c r="C95" s="368"/>
      <c r="D95" s="368"/>
      <c r="E95" s="368"/>
      <c r="F95" s="368"/>
      <c r="G95" s="368"/>
      <c r="H95" s="368"/>
      <c r="I95" s="368"/>
      <c r="J95" s="368"/>
      <c r="K95" s="368"/>
      <c r="L95" s="368"/>
      <c r="M95" s="368"/>
      <c r="N95" s="368"/>
      <c r="O95" s="381">
        <v>14</v>
      </c>
    </row>
    <row r="96" spans="1:15" ht="15" x14ac:dyDescent="0.3">
      <c r="B96" s="372" t="s">
        <v>737</v>
      </c>
      <c r="D96" s="372">
        <v>198312</v>
      </c>
    </row>
    <row r="97" spans="1:15" x14ac:dyDescent="0.2">
      <c r="A97" s="27" t="s">
        <v>626</v>
      </c>
      <c r="B97" s="373" t="s">
        <v>650</v>
      </c>
      <c r="C97" s="27" t="s">
        <v>738</v>
      </c>
      <c r="O97" t="s">
        <v>713</v>
      </c>
    </row>
    <row r="98" spans="1:15" x14ac:dyDescent="0.2">
      <c r="A98" s="27"/>
      <c r="B98" s="359" t="s">
        <v>714</v>
      </c>
      <c r="C98" s="374" t="s">
        <v>715</v>
      </c>
      <c r="D98" s="375" t="s">
        <v>716</v>
      </c>
      <c r="E98" s="375" t="s">
        <v>717</v>
      </c>
      <c r="F98" s="375" t="s">
        <v>718</v>
      </c>
      <c r="G98" s="375" t="s">
        <v>719</v>
      </c>
      <c r="H98" s="375" t="s">
        <v>720</v>
      </c>
      <c r="I98" s="375" t="s">
        <v>721</v>
      </c>
      <c r="J98" s="375" t="s">
        <v>722</v>
      </c>
      <c r="K98" s="375" t="s">
        <v>723</v>
      </c>
      <c r="L98" s="375" t="s">
        <v>724</v>
      </c>
      <c r="M98" s="375" t="s">
        <v>725</v>
      </c>
      <c r="N98" s="375" t="s">
        <v>726</v>
      </c>
    </row>
    <row r="99" spans="1:15" x14ac:dyDescent="0.2">
      <c r="A99" s="376" t="s">
        <v>730</v>
      </c>
      <c r="B99" s="377">
        <v>1</v>
      </c>
      <c r="C99" s="377">
        <v>2</v>
      </c>
      <c r="D99" s="377">
        <v>3</v>
      </c>
      <c r="E99" s="377">
        <v>4</v>
      </c>
      <c r="F99" s="377">
        <v>5</v>
      </c>
      <c r="G99" s="377">
        <v>6</v>
      </c>
      <c r="H99" s="377">
        <v>7</v>
      </c>
      <c r="I99" s="377">
        <v>8</v>
      </c>
      <c r="J99" s="377">
        <v>9</v>
      </c>
      <c r="K99" s="377">
        <v>10</v>
      </c>
      <c r="L99" s="377">
        <v>11</v>
      </c>
      <c r="M99" s="377">
        <v>12</v>
      </c>
      <c r="N99" s="377">
        <v>13</v>
      </c>
      <c r="O99" s="378">
        <v>1</v>
      </c>
    </row>
    <row r="100" spans="1:15" x14ac:dyDescent="0.2">
      <c r="A100" s="379">
        <v>2000</v>
      </c>
      <c r="B100" s="380">
        <v>159.30000000000001</v>
      </c>
      <c r="C100" s="380">
        <v>159.4</v>
      </c>
      <c r="D100" s="380">
        <v>159.69999999999999</v>
      </c>
      <c r="E100" s="380">
        <v>159.69999999999999</v>
      </c>
      <c r="F100" s="380">
        <v>160.30000000000001</v>
      </c>
      <c r="G100" s="380">
        <v>160.30000000000001</v>
      </c>
      <c r="H100" s="380">
        <v>160.30000000000001</v>
      </c>
      <c r="I100" s="380">
        <v>160.4</v>
      </c>
      <c r="J100" s="380">
        <v>160.4</v>
      </c>
      <c r="K100" s="380">
        <v>160.80000000000001</v>
      </c>
      <c r="L100" s="380">
        <v>161.1</v>
      </c>
      <c r="M100" s="380">
        <v>162</v>
      </c>
      <c r="N100" s="380">
        <v>160.30000000000001</v>
      </c>
      <c r="O100" s="381">
        <v>2</v>
      </c>
    </row>
    <row r="101" spans="1:15" x14ac:dyDescent="0.2">
      <c r="A101" s="379">
        <v>2001</v>
      </c>
      <c r="B101" s="380">
        <v>162.9</v>
      </c>
      <c r="C101" s="380">
        <v>163.5</v>
      </c>
      <c r="D101" s="380">
        <v>163.6</v>
      </c>
      <c r="E101" s="380">
        <v>163.6</v>
      </c>
      <c r="F101" s="380">
        <v>163.5</v>
      </c>
      <c r="G101" s="380">
        <v>163.5</v>
      </c>
      <c r="H101" s="380">
        <v>163.6</v>
      </c>
      <c r="I101" s="380">
        <v>163.6</v>
      </c>
      <c r="J101" s="380">
        <v>163.6</v>
      </c>
      <c r="K101" s="380">
        <v>163.5</v>
      </c>
      <c r="L101" s="380">
        <v>164.3</v>
      </c>
      <c r="M101" s="380">
        <v>164.5</v>
      </c>
      <c r="N101" s="380">
        <v>163.69999999999999</v>
      </c>
      <c r="O101" s="381">
        <v>3</v>
      </c>
    </row>
    <row r="102" spans="1:15" x14ac:dyDescent="0.2">
      <c r="A102" s="379">
        <v>2002</v>
      </c>
      <c r="B102" s="380">
        <v>165.4</v>
      </c>
      <c r="C102" s="380">
        <v>165.4</v>
      </c>
      <c r="D102" s="380">
        <v>165.5</v>
      </c>
      <c r="E102" s="380">
        <v>165.1</v>
      </c>
      <c r="F102" s="380">
        <v>165.1</v>
      </c>
      <c r="G102" s="380">
        <v>165.2</v>
      </c>
      <c r="H102" s="380">
        <v>165.2</v>
      </c>
      <c r="I102" s="380">
        <v>165.2</v>
      </c>
      <c r="J102" s="380">
        <v>165.2</v>
      </c>
      <c r="K102" s="380">
        <v>165.6</v>
      </c>
      <c r="L102" s="380">
        <v>166</v>
      </c>
      <c r="M102" s="380">
        <v>166.1</v>
      </c>
      <c r="N102" s="380">
        <v>165.4</v>
      </c>
      <c r="O102" s="381">
        <v>4</v>
      </c>
    </row>
    <row r="103" spans="1:15" x14ac:dyDescent="0.2">
      <c r="A103" s="379">
        <v>2003</v>
      </c>
      <c r="B103" s="380">
        <v>168.8</v>
      </c>
      <c r="C103" s="380">
        <v>168.6</v>
      </c>
      <c r="D103" s="380">
        <v>168.2</v>
      </c>
      <c r="E103" s="380">
        <v>168.2</v>
      </c>
      <c r="F103" s="380">
        <v>168.2</v>
      </c>
      <c r="G103" s="380">
        <v>168.1</v>
      </c>
      <c r="H103" s="380">
        <v>167</v>
      </c>
      <c r="I103" s="380">
        <v>167</v>
      </c>
      <c r="J103" s="380">
        <v>167</v>
      </c>
      <c r="K103" s="380">
        <v>167.1</v>
      </c>
      <c r="L103" s="380">
        <v>168.3</v>
      </c>
      <c r="M103" s="380">
        <v>169.5</v>
      </c>
      <c r="N103" s="380">
        <v>168</v>
      </c>
      <c r="O103" s="381">
        <v>5</v>
      </c>
    </row>
    <row r="104" spans="1:15" x14ac:dyDescent="0.2">
      <c r="A104" s="379">
        <v>2004</v>
      </c>
      <c r="B104" s="380">
        <v>170.5</v>
      </c>
      <c r="C104" s="380">
        <v>171.3</v>
      </c>
      <c r="D104" s="380">
        <v>171.2</v>
      </c>
      <c r="E104" s="380">
        <v>173.4</v>
      </c>
      <c r="F104" s="380">
        <v>173.5</v>
      </c>
      <c r="G104" s="380">
        <v>175.8</v>
      </c>
      <c r="H104" s="380">
        <v>176.4</v>
      </c>
      <c r="I104" s="380">
        <v>176.5</v>
      </c>
      <c r="J104" s="380">
        <v>176.5</v>
      </c>
      <c r="K104" s="380">
        <v>176.4</v>
      </c>
      <c r="L104" s="380">
        <v>176.6</v>
      </c>
      <c r="M104" s="380">
        <v>177</v>
      </c>
      <c r="N104" s="380">
        <v>174.6</v>
      </c>
      <c r="O104" s="381">
        <v>6</v>
      </c>
    </row>
    <row r="105" spans="1:15" x14ac:dyDescent="0.2">
      <c r="A105" s="379">
        <v>2005</v>
      </c>
      <c r="B105" s="380">
        <v>180.6</v>
      </c>
      <c r="C105" s="380">
        <v>180.4</v>
      </c>
      <c r="D105" s="382">
        <v>184.6</v>
      </c>
      <c r="E105" s="382">
        <v>184.6</v>
      </c>
      <c r="F105" s="382">
        <v>184.6</v>
      </c>
      <c r="G105" s="382">
        <v>184.6</v>
      </c>
      <c r="H105" s="382">
        <v>184.7</v>
      </c>
      <c r="I105" s="382">
        <v>185.5</v>
      </c>
      <c r="J105" s="382">
        <v>185.8</v>
      </c>
      <c r="K105" s="382">
        <v>187.9</v>
      </c>
      <c r="L105" s="382">
        <v>188.7</v>
      </c>
      <c r="M105" s="382">
        <v>188.1</v>
      </c>
      <c r="N105" s="382">
        <v>185</v>
      </c>
      <c r="O105" s="381">
        <v>7</v>
      </c>
    </row>
    <row r="106" spans="1:15" x14ac:dyDescent="0.2">
      <c r="A106" s="379">
        <v>2006</v>
      </c>
      <c r="B106" s="382">
        <v>189.4</v>
      </c>
      <c r="C106" s="383">
        <v>190.4</v>
      </c>
      <c r="D106" s="384">
        <v>190.5</v>
      </c>
      <c r="E106" s="384">
        <v>190.6</v>
      </c>
      <c r="F106" s="384">
        <v>190.9</v>
      </c>
      <c r="G106" s="384">
        <v>190.8</v>
      </c>
      <c r="H106" s="384">
        <v>191.7</v>
      </c>
      <c r="I106" s="385">
        <v>191.9</v>
      </c>
      <c r="J106" s="385">
        <v>192.2</v>
      </c>
      <c r="K106" s="385">
        <v>193.4</v>
      </c>
      <c r="L106" s="385">
        <v>197.2</v>
      </c>
      <c r="M106" s="385">
        <v>197.3</v>
      </c>
      <c r="N106" s="385">
        <v>192.2</v>
      </c>
      <c r="O106" s="381">
        <v>8</v>
      </c>
    </row>
    <row r="107" spans="1:15" x14ac:dyDescent="0.2">
      <c r="A107" s="379">
        <v>2007</v>
      </c>
      <c r="B107" s="386">
        <v>198.5</v>
      </c>
      <c r="C107" s="386">
        <v>199</v>
      </c>
      <c r="D107" s="384">
        <v>200</v>
      </c>
      <c r="E107" s="384">
        <v>200</v>
      </c>
      <c r="F107" s="384">
        <v>199.9</v>
      </c>
      <c r="G107" s="384">
        <v>200.5</v>
      </c>
      <c r="H107" s="384">
        <v>200.9</v>
      </c>
      <c r="I107" s="385">
        <v>201.8</v>
      </c>
      <c r="J107" s="385">
        <v>202.8</v>
      </c>
      <c r="K107" s="385">
        <v>206.2</v>
      </c>
      <c r="L107" s="385">
        <v>207.2</v>
      </c>
      <c r="M107" s="385">
        <v>207.2</v>
      </c>
      <c r="N107" s="385">
        <v>202</v>
      </c>
      <c r="O107" s="381">
        <v>9</v>
      </c>
    </row>
    <row r="108" spans="1:15" x14ac:dyDescent="0.2">
      <c r="A108" s="379">
        <v>2008</v>
      </c>
      <c r="B108" s="387">
        <v>209.5</v>
      </c>
      <c r="C108" s="396">
        <v>209.7</v>
      </c>
      <c r="D108" s="397">
        <v>209.3</v>
      </c>
      <c r="E108" s="397">
        <v>210</v>
      </c>
      <c r="F108" s="397">
        <v>211.5</v>
      </c>
      <c r="G108" s="397">
        <v>212.1</v>
      </c>
      <c r="H108" s="398">
        <v>219.6</v>
      </c>
      <c r="I108" s="398">
        <v>221.6</v>
      </c>
      <c r="J108" s="398">
        <v>221.7</v>
      </c>
      <c r="K108" s="398">
        <v>222</v>
      </c>
      <c r="L108" s="398">
        <v>223.1</v>
      </c>
      <c r="M108" s="398">
        <v>226.4</v>
      </c>
      <c r="N108" s="398">
        <v>216.4</v>
      </c>
      <c r="O108" s="381">
        <v>10</v>
      </c>
    </row>
    <row r="109" spans="1:15" x14ac:dyDescent="0.2">
      <c r="A109" s="379">
        <v>2009</v>
      </c>
      <c r="B109" s="388">
        <v>225.3</v>
      </c>
      <c r="C109" s="388">
        <v>225.4</v>
      </c>
      <c r="D109" s="388">
        <v>225.3</v>
      </c>
      <c r="E109" s="388">
        <v>224.2</v>
      </c>
      <c r="F109" s="388">
        <v>223.6</v>
      </c>
      <c r="G109" s="388">
        <v>222.8</v>
      </c>
      <c r="H109" s="388">
        <v>223.6</v>
      </c>
      <c r="I109" s="388">
        <v>222</v>
      </c>
      <c r="J109" s="460">
        <v>222.1</v>
      </c>
      <c r="K109" s="460">
        <v>222.3</v>
      </c>
      <c r="L109" s="460">
        <v>220.5</v>
      </c>
      <c r="M109" s="460">
        <v>220.3</v>
      </c>
      <c r="N109" s="460">
        <v>223.1</v>
      </c>
      <c r="O109" s="381">
        <v>11</v>
      </c>
    </row>
    <row r="110" spans="1:15" x14ac:dyDescent="0.2">
      <c r="A110" s="379">
        <v>2010</v>
      </c>
      <c r="B110" s="388">
        <v>220.8</v>
      </c>
      <c r="C110" s="388">
        <v>220.7</v>
      </c>
      <c r="D110" s="388">
        <v>220.8</v>
      </c>
      <c r="E110" s="388">
        <v>221.2</v>
      </c>
      <c r="F110" s="388">
        <v>221.5</v>
      </c>
      <c r="G110" s="388">
        <v>220.1</v>
      </c>
      <c r="H110" s="388">
        <v>222.4</v>
      </c>
      <c r="I110" s="388">
        <v>223.2</v>
      </c>
      <c r="J110" s="65">
        <v>223.2</v>
      </c>
      <c r="K110" s="391">
        <v>223.3</v>
      </c>
      <c r="L110" s="391">
        <v>223.5</v>
      </c>
      <c r="M110" s="391">
        <v>226.9</v>
      </c>
      <c r="N110" s="391">
        <v>222.3</v>
      </c>
      <c r="O110" s="381">
        <v>12</v>
      </c>
    </row>
    <row r="111" spans="1:15" x14ac:dyDescent="0.2">
      <c r="A111" s="379">
        <v>2011</v>
      </c>
      <c r="B111">
        <v>229</v>
      </c>
      <c r="C111" s="388">
        <v>229.3</v>
      </c>
      <c r="D111" s="385">
        <v>229.6</v>
      </c>
      <c r="E111" s="389">
        <v>232.7</v>
      </c>
      <c r="F111" s="389">
        <v>232.8</v>
      </c>
      <c r="G111" s="389">
        <v>233.7</v>
      </c>
      <c r="H111" s="389">
        <v>234.7</v>
      </c>
      <c r="I111" s="389"/>
      <c r="J111" s="389"/>
      <c r="K111" s="389"/>
      <c r="L111" s="389"/>
      <c r="M111" s="389"/>
      <c r="N111" s="389"/>
      <c r="O111" s="381">
        <v>13</v>
      </c>
    </row>
    <row r="112" spans="1:15" x14ac:dyDescent="0.2">
      <c r="A112" s="379"/>
      <c r="B112" s="368"/>
      <c r="C112" s="368"/>
      <c r="D112" s="368"/>
      <c r="E112" s="368"/>
      <c r="F112" s="368"/>
      <c r="G112" s="368"/>
      <c r="H112" s="368"/>
      <c r="I112" s="368"/>
      <c r="J112" s="368"/>
      <c r="K112" s="368"/>
      <c r="L112" s="368"/>
      <c r="M112" s="368"/>
      <c r="N112" s="368"/>
      <c r="O112" s="381">
        <v>14</v>
      </c>
    </row>
    <row r="113" spans="1:15" ht="15" x14ac:dyDescent="0.3">
      <c r="B113" s="372" t="s">
        <v>739</v>
      </c>
      <c r="D113" s="372">
        <v>198306</v>
      </c>
    </row>
    <row r="114" spans="1:15" x14ac:dyDescent="0.2">
      <c r="A114" s="27" t="s">
        <v>626</v>
      </c>
      <c r="B114" s="373">
        <v>334513</v>
      </c>
      <c r="C114" s="27" t="s">
        <v>740</v>
      </c>
      <c r="O114" t="s">
        <v>713</v>
      </c>
    </row>
    <row r="115" spans="1:15" x14ac:dyDescent="0.2">
      <c r="A115" s="27"/>
      <c r="B115" s="359" t="s">
        <v>714</v>
      </c>
      <c r="C115" s="374" t="s">
        <v>715</v>
      </c>
      <c r="D115" s="375" t="s">
        <v>716</v>
      </c>
      <c r="E115" s="375" t="s">
        <v>717</v>
      </c>
      <c r="F115" s="375" t="s">
        <v>718</v>
      </c>
      <c r="G115" s="375" t="s">
        <v>719</v>
      </c>
      <c r="H115" s="375" t="s">
        <v>720</v>
      </c>
      <c r="I115" s="375" t="s">
        <v>721</v>
      </c>
      <c r="J115" s="375" t="s">
        <v>722</v>
      </c>
      <c r="K115" s="375" t="s">
        <v>723</v>
      </c>
      <c r="L115" s="375" t="s">
        <v>724</v>
      </c>
      <c r="M115" s="375" t="s">
        <v>725</v>
      </c>
      <c r="N115" s="375" t="s">
        <v>726</v>
      </c>
    </row>
    <row r="116" spans="1:15" x14ac:dyDescent="0.2">
      <c r="A116" s="376" t="s">
        <v>730</v>
      </c>
      <c r="B116" s="377">
        <v>1</v>
      </c>
      <c r="C116" s="377">
        <v>2</v>
      </c>
      <c r="D116" s="377">
        <v>3</v>
      </c>
      <c r="E116" s="377">
        <v>4</v>
      </c>
      <c r="F116" s="377">
        <v>5</v>
      </c>
      <c r="G116" s="377">
        <v>6</v>
      </c>
      <c r="H116" s="377">
        <v>7</v>
      </c>
      <c r="I116" s="377">
        <v>8</v>
      </c>
      <c r="J116" s="377">
        <v>9</v>
      </c>
      <c r="K116" s="377">
        <v>10</v>
      </c>
      <c r="L116" s="377">
        <v>11</v>
      </c>
      <c r="M116" s="377">
        <v>12</v>
      </c>
      <c r="N116" s="377">
        <v>13</v>
      </c>
      <c r="O116" s="378">
        <v>1</v>
      </c>
    </row>
    <row r="117" spans="1:15" x14ac:dyDescent="0.2">
      <c r="A117" s="379">
        <v>2000</v>
      </c>
      <c r="B117" s="380">
        <v>152.19999999999999</v>
      </c>
      <c r="C117" s="380">
        <v>152.30000000000001</v>
      </c>
      <c r="D117" s="380">
        <v>152.19999999999999</v>
      </c>
      <c r="E117" s="380">
        <v>152.1</v>
      </c>
      <c r="F117" s="380">
        <v>152.4</v>
      </c>
      <c r="G117" s="380">
        <v>152.4</v>
      </c>
      <c r="H117" s="380">
        <v>152.30000000000001</v>
      </c>
      <c r="I117" s="380">
        <v>152.30000000000001</v>
      </c>
      <c r="J117" s="380">
        <v>152.30000000000001</v>
      </c>
      <c r="K117" s="380">
        <v>152.5</v>
      </c>
      <c r="L117" s="380">
        <v>152.5</v>
      </c>
      <c r="M117" s="380">
        <v>152.5</v>
      </c>
      <c r="N117" s="380">
        <v>152.30000000000001</v>
      </c>
      <c r="O117" s="381">
        <v>2</v>
      </c>
    </row>
    <row r="118" spans="1:15" x14ac:dyDescent="0.2">
      <c r="A118" s="379">
        <v>2001</v>
      </c>
      <c r="B118" s="380">
        <v>153.69999999999999</v>
      </c>
      <c r="C118" s="380">
        <v>153.9</v>
      </c>
      <c r="D118" s="380">
        <v>154</v>
      </c>
      <c r="E118" s="380">
        <v>154.19999999999999</v>
      </c>
      <c r="F118" s="380">
        <v>154.19999999999999</v>
      </c>
      <c r="G118" s="380">
        <v>154.30000000000001</v>
      </c>
      <c r="H118" s="380">
        <v>154.19999999999999</v>
      </c>
      <c r="I118" s="380">
        <v>154.4</v>
      </c>
      <c r="J118" s="380">
        <v>154.30000000000001</v>
      </c>
      <c r="K118" s="380">
        <v>154.5</v>
      </c>
      <c r="L118" s="380">
        <v>155.1</v>
      </c>
      <c r="M118" s="380">
        <v>155.1</v>
      </c>
      <c r="N118" s="380">
        <v>154.30000000000001</v>
      </c>
      <c r="O118" s="381">
        <v>3</v>
      </c>
    </row>
    <row r="119" spans="1:15" x14ac:dyDescent="0.2">
      <c r="A119" s="379">
        <v>2002</v>
      </c>
      <c r="B119" s="380">
        <v>155.19999999999999</v>
      </c>
      <c r="C119" s="380">
        <v>156.6</v>
      </c>
      <c r="D119" s="380">
        <v>156.69999999999999</v>
      </c>
      <c r="E119" s="380">
        <v>156.69999999999999</v>
      </c>
      <c r="F119" s="380">
        <v>156.4</v>
      </c>
      <c r="G119" s="380">
        <v>156.5</v>
      </c>
      <c r="H119" s="380">
        <v>156.5</v>
      </c>
      <c r="I119" s="380">
        <v>157</v>
      </c>
      <c r="J119" s="380">
        <v>157.1</v>
      </c>
      <c r="K119" s="380">
        <v>157.19999999999999</v>
      </c>
      <c r="L119" s="380">
        <v>157.30000000000001</v>
      </c>
      <c r="M119" s="380">
        <v>158.19999999999999</v>
      </c>
      <c r="N119" s="380">
        <v>156.80000000000001</v>
      </c>
      <c r="O119" s="381">
        <v>4</v>
      </c>
    </row>
    <row r="120" spans="1:15" x14ac:dyDescent="0.2">
      <c r="A120" s="379">
        <v>2003</v>
      </c>
      <c r="B120" s="380">
        <v>159.1</v>
      </c>
      <c r="C120" s="380">
        <v>159.1</v>
      </c>
      <c r="D120" s="380">
        <v>159.19999999999999</v>
      </c>
      <c r="E120" s="380">
        <v>160.1</v>
      </c>
      <c r="F120" s="380">
        <v>160</v>
      </c>
      <c r="G120" s="380">
        <v>160</v>
      </c>
      <c r="H120" s="380">
        <v>160</v>
      </c>
      <c r="I120" s="380">
        <v>160.9</v>
      </c>
      <c r="J120" s="380">
        <v>160.9</v>
      </c>
      <c r="K120" s="380">
        <v>161</v>
      </c>
      <c r="L120" s="380">
        <v>161</v>
      </c>
      <c r="M120" s="380">
        <v>161</v>
      </c>
      <c r="N120" s="380">
        <v>160.19999999999999</v>
      </c>
      <c r="O120" s="381">
        <v>5</v>
      </c>
    </row>
    <row r="121" spans="1:15" x14ac:dyDescent="0.2">
      <c r="A121" s="379">
        <v>2004</v>
      </c>
      <c r="B121" s="380">
        <v>161.1</v>
      </c>
      <c r="C121" s="380">
        <v>161.1</v>
      </c>
      <c r="D121" s="380">
        <v>161.1</v>
      </c>
      <c r="E121" s="380">
        <v>162.9</v>
      </c>
      <c r="F121" s="380">
        <v>164</v>
      </c>
      <c r="G121" s="380">
        <v>164.2</v>
      </c>
      <c r="H121" s="380">
        <v>164.4</v>
      </c>
      <c r="I121" s="380">
        <v>164.4</v>
      </c>
      <c r="J121" s="380">
        <v>164.4</v>
      </c>
      <c r="K121" s="380">
        <v>164.4</v>
      </c>
      <c r="L121" s="380">
        <v>164.3</v>
      </c>
      <c r="M121" s="380">
        <v>166.9</v>
      </c>
      <c r="N121" s="380">
        <v>163.6</v>
      </c>
      <c r="O121" s="381">
        <v>6</v>
      </c>
    </row>
    <row r="122" spans="1:15" x14ac:dyDescent="0.2">
      <c r="A122" s="379">
        <v>2005</v>
      </c>
      <c r="B122" s="380">
        <v>166.8</v>
      </c>
      <c r="C122" s="380">
        <v>167.3</v>
      </c>
      <c r="D122" s="382">
        <v>167</v>
      </c>
      <c r="E122" s="382">
        <v>167.3</v>
      </c>
      <c r="F122" s="382">
        <v>168.8</v>
      </c>
      <c r="G122" s="382">
        <v>169.2</v>
      </c>
      <c r="H122" s="382">
        <v>169.3</v>
      </c>
      <c r="I122" s="382">
        <v>168.7</v>
      </c>
      <c r="J122" s="382">
        <v>168.6</v>
      </c>
      <c r="K122" s="382">
        <v>169.4</v>
      </c>
      <c r="L122" s="382">
        <v>169.5</v>
      </c>
      <c r="M122" s="382">
        <v>169.7</v>
      </c>
      <c r="N122" s="382">
        <v>168.5</v>
      </c>
      <c r="O122" s="381">
        <v>7</v>
      </c>
    </row>
    <row r="123" spans="1:15" x14ac:dyDescent="0.2">
      <c r="A123" s="379">
        <v>2006</v>
      </c>
      <c r="B123" s="382">
        <v>171.1</v>
      </c>
      <c r="C123" s="383">
        <v>171.9</v>
      </c>
      <c r="D123" s="384">
        <v>172</v>
      </c>
      <c r="E123" s="384">
        <v>173.6</v>
      </c>
      <c r="F123" s="384">
        <v>173.5</v>
      </c>
      <c r="G123" s="384">
        <v>173.7</v>
      </c>
      <c r="H123" s="384">
        <v>174.2</v>
      </c>
      <c r="I123" s="385">
        <v>173.9</v>
      </c>
      <c r="J123" s="385">
        <v>174</v>
      </c>
      <c r="K123" s="385">
        <v>174.3</v>
      </c>
      <c r="L123" s="385">
        <v>174.4</v>
      </c>
      <c r="M123" s="385">
        <v>175.6</v>
      </c>
      <c r="N123" s="385">
        <v>173.5</v>
      </c>
      <c r="O123" s="381">
        <v>8</v>
      </c>
    </row>
    <row r="124" spans="1:15" x14ac:dyDescent="0.2">
      <c r="A124" s="379">
        <v>2007</v>
      </c>
      <c r="B124" s="386">
        <v>177.9</v>
      </c>
      <c r="C124" s="386">
        <v>178.1</v>
      </c>
      <c r="D124" s="384">
        <v>177.9</v>
      </c>
      <c r="E124" s="384">
        <v>178.8</v>
      </c>
      <c r="F124" s="384">
        <v>180.6</v>
      </c>
      <c r="G124" s="384">
        <v>181.3</v>
      </c>
      <c r="H124" s="384">
        <v>182.3</v>
      </c>
      <c r="I124" s="385">
        <v>181.9</v>
      </c>
      <c r="J124" s="385">
        <v>181.7</v>
      </c>
      <c r="K124" s="385">
        <v>182.2</v>
      </c>
      <c r="L124" s="385">
        <v>182</v>
      </c>
      <c r="M124" s="385">
        <v>182.5</v>
      </c>
      <c r="N124" s="385">
        <v>180.6</v>
      </c>
      <c r="O124" s="381">
        <v>9</v>
      </c>
    </row>
    <row r="125" spans="1:15" x14ac:dyDescent="0.2">
      <c r="A125" s="379">
        <v>2008</v>
      </c>
      <c r="B125" s="387">
        <v>183.9</v>
      </c>
      <c r="C125" s="396">
        <v>183.9</v>
      </c>
      <c r="D125" s="397">
        <v>183.8</v>
      </c>
      <c r="E125" s="397">
        <v>184.8</v>
      </c>
      <c r="F125" s="397">
        <v>185.1</v>
      </c>
      <c r="G125" s="397">
        <v>185.1</v>
      </c>
      <c r="H125" s="398">
        <v>185.8</v>
      </c>
      <c r="I125" s="398">
        <v>187</v>
      </c>
      <c r="J125" s="398">
        <v>187.8</v>
      </c>
      <c r="K125" s="398">
        <v>188.4</v>
      </c>
      <c r="L125" s="398">
        <v>189</v>
      </c>
      <c r="M125" s="398">
        <v>189.1</v>
      </c>
      <c r="N125" s="398">
        <v>186.1</v>
      </c>
      <c r="O125" s="381">
        <v>10</v>
      </c>
    </row>
    <row r="126" spans="1:15" x14ac:dyDescent="0.2">
      <c r="A126" s="379">
        <v>2009</v>
      </c>
      <c r="B126" s="388">
        <v>191.1</v>
      </c>
      <c r="C126" s="388">
        <v>191.6</v>
      </c>
      <c r="D126" s="388">
        <v>191.7</v>
      </c>
      <c r="E126" s="388">
        <v>192</v>
      </c>
      <c r="F126" s="388">
        <v>192</v>
      </c>
      <c r="G126" s="388">
        <v>191.9</v>
      </c>
      <c r="H126" s="388">
        <v>192.3</v>
      </c>
      <c r="I126" s="388">
        <v>192.4</v>
      </c>
      <c r="J126" s="460">
        <v>192.6</v>
      </c>
      <c r="K126" s="460">
        <v>192.4</v>
      </c>
      <c r="L126" s="460">
        <v>192.7</v>
      </c>
      <c r="M126" s="460">
        <v>193.5</v>
      </c>
      <c r="N126" s="460">
        <v>192.2</v>
      </c>
      <c r="O126" s="381">
        <v>11</v>
      </c>
    </row>
    <row r="127" spans="1:15" x14ac:dyDescent="0.2">
      <c r="A127" s="379">
        <v>2010</v>
      </c>
      <c r="B127" s="388">
        <v>193.9</v>
      </c>
      <c r="C127" s="388">
        <v>193.9</v>
      </c>
      <c r="D127" s="388">
        <v>194.1</v>
      </c>
      <c r="E127" s="388">
        <v>193.6</v>
      </c>
      <c r="F127" s="388">
        <v>193.4</v>
      </c>
      <c r="G127" s="388">
        <v>193.5</v>
      </c>
      <c r="H127" s="388">
        <v>193.3</v>
      </c>
      <c r="I127" s="388">
        <v>193.9</v>
      </c>
      <c r="J127" s="65">
        <v>194</v>
      </c>
      <c r="K127" s="391">
        <v>193.8</v>
      </c>
      <c r="L127" s="391">
        <v>194.5</v>
      </c>
      <c r="M127" s="391">
        <v>195.8</v>
      </c>
      <c r="N127" s="391">
        <v>194</v>
      </c>
      <c r="O127" s="381">
        <v>12</v>
      </c>
    </row>
    <row r="128" spans="1:15" x14ac:dyDescent="0.2">
      <c r="A128" s="379">
        <v>2011</v>
      </c>
      <c r="B128">
        <v>197</v>
      </c>
      <c r="C128" s="388">
        <v>199</v>
      </c>
      <c r="D128" s="385">
        <v>199</v>
      </c>
      <c r="E128" s="389">
        <v>200.6</v>
      </c>
      <c r="F128" s="389">
        <v>200.8</v>
      </c>
      <c r="G128" s="389">
        <v>200.9</v>
      </c>
      <c r="H128" s="389">
        <v>202.7</v>
      </c>
      <c r="I128" s="389"/>
      <c r="J128" s="389"/>
      <c r="K128" s="389"/>
      <c r="L128" s="389"/>
      <c r="M128" s="389"/>
      <c r="N128" s="389"/>
      <c r="O128" s="381">
        <v>13</v>
      </c>
    </row>
    <row r="129" spans="1:15" x14ac:dyDescent="0.2">
      <c r="A129" s="379"/>
      <c r="B129" s="368"/>
      <c r="C129" s="368"/>
      <c r="D129" s="368"/>
      <c r="E129" s="368"/>
      <c r="F129" s="368"/>
      <c r="G129" s="368"/>
      <c r="H129" s="368"/>
      <c r="I129" s="368"/>
      <c r="J129" s="368"/>
      <c r="K129" s="368"/>
      <c r="L129" s="368"/>
      <c r="M129" s="368"/>
      <c r="N129" s="368"/>
      <c r="O129" s="381">
        <v>14</v>
      </c>
    </row>
    <row r="130" spans="1:15" ht="15" x14ac:dyDescent="0.3">
      <c r="B130" s="372" t="s">
        <v>741</v>
      </c>
      <c r="D130" s="372">
        <v>198106</v>
      </c>
    </row>
    <row r="131" spans="1:15" x14ac:dyDescent="0.2">
      <c r="A131" s="27" t="s">
        <v>626</v>
      </c>
      <c r="B131" s="373">
        <v>3315131</v>
      </c>
      <c r="C131" s="27" t="s">
        <v>653</v>
      </c>
      <c r="O131" t="s">
        <v>713</v>
      </c>
    </row>
    <row r="132" spans="1:15" x14ac:dyDescent="0.2">
      <c r="A132" s="27"/>
      <c r="B132" s="359" t="s">
        <v>714</v>
      </c>
      <c r="C132" s="374" t="s">
        <v>715</v>
      </c>
      <c r="D132" s="375" t="s">
        <v>716</v>
      </c>
      <c r="E132" s="375" t="s">
        <v>717</v>
      </c>
      <c r="F132" s="375" t="s">
        <v>718</v>
      </c>
      <c r="G132" s="375" t="s">
        <v>719</v>
      </c>
      <c r="H132" s="375" t="s">
        <v>720</v>
      </c>
      <c r="I132" s="375" t="s">
        <v>721</v>
      </c>
      <c r="J132" s="375" t="s">
        <v>722</v>
      </c>
      <c r="K132" s="375" t="s">
        <v>723</v>
      </c>
      <c r="L132" s="375" t="s">
        <v>724</v>
      </c>
      <c r="M132" s="375" t="s">
        <v>725</v>
      </c>
      <c r="N132" s="375" t="s">
        <v>726</v>
      </c>
    </row>
    <row r="133" spans="1:15" x14ac:dyDescent="0.2">
      <c r="A133" s="376" t="s">
        <v>730</v>
      </c>
      <c r="B133" s="377">
        <v>1</v>
      </c>
      <c r="C133" s="377">
        <v>2</v>
      </c>
      <c r="D133" s="377">
        <v>3</v>
      </c>
      <c r="E133" s="377">
        <v>4</v>
      </c>
      <c r="F133" s="377">
        <v>5</v>
      </c>
      <c r="G133" s="377">
        <v>6</v>
      </c>
      <c r="H133" s="377">
        <v>7</v>
      </c>
      <c r="I133" s="377">
        <v>8</v>
      </c>
      <c r="J133" s="377">
        <v>9</v>
      </c>
      <c r="K133" s="377">
        <v>10</v>
      </c>
      <c r="L133" s="377">
        <v>11</v>
      </c>
      <c r="M133" s="377">
        <v>12</v>
      </c>
      <c r="N133" s="377">
        <v>13</v>
      </c>
      <c r="O133" s="378">
        <v>1</v>
      </c>
    </row>
    <row r="134" spans="1:15" x14ac:dyDescent="0.2">
      <c r="A134" s="379">
        <v>2000</v>
      </c>
      <c r="B134" s="380">
        <v>146.4</v>
      </c>
      <c r="C134" s="380">
        <v>146.5</v>
      </c>
      <c r="D134" s="380">
        <v>146.1</v>
      </c>
      <c r="E134" s="380">
        <v>145.6</v>
      </c>
      <c r="F134" s="380">
        <v>145.5</v>
      </c>
      <c r="G134" s="380">
        <v>144.6</v>
      </c>
      <c r="H134" s="380">
        <v>144.1</v>
      </c>
      <c r="I134" s="380">
        <v>144.19999999999999</v>
      </c>
      <c r="J134" s="380">
        <v>143.9</v>
      </c>
      <c r="K134" s="380">
        <v>143.9</v>
      </c>
      <c r="L134" s="380">
        <v>143</v>
      </c>
      <c r="M134" s="380">
        <v>142.9</v>
      </c>
      <c r="N134" s="380">
        <v>144.69999999999999</v>
      </c>
      <c r="O134" s="381">
        <v>2</v>
      </c>
    </row>
    <row r="135" spans="1:15" x14ac:dyDescent="0.2">
      <c r="A135" s="379">
        <v>2001</v>
      </c>
      <c r="B135" s="380">
        <v>142.4</v>
      </c>
      <c r="C135" s="380">
        <v>142.69999999999999</v>
      </c>
      <c r="D135" s="380">
        <v>142.19999999999999</v>
      </c>
      <c r="E135" s="380">
        <v>142.19999999999999</v>
      </c>
      <c r="F135" s="380">
        <v>142.69999999999999</v>
      </c>
      <c r="G135" s="380">
        <v>142.5</v>
      </c>
      <c r="H135" s="380">
        <v>142.9</v>
      </c>
      <c r="I135" s="380">
        <v>142.80000000000001</v>
      </c>
      <c r="J135" s="380">
        <v>143.19999999999999</v>
      </c>
      <c r="K135" s="380">
        <v>142.80000000000001</v>
      </c>
      <c r="L135" s="380">
        <v>143.5</v>
      </c>
      <c r="M135" s="380">
        <v>143.5</v>
      </c>
      <c r="N135" s="380">
        <v>142.80000000000001</v>
      </c>
      <c r="O135" s="381">
        <v>3</v>
      </c>
    </row>
    <row r="136" spans="1:15" x14ac:dyDescent="0.2">
      <c r="A136" s="379">
        <v>2002</v>
      </c>
      <c r="B136" s="380">
        <v>143.5</v>
      </c>
      <c r="C136" s="380">
        <v>143.6</v>
      </c>
      <c r="D136" s="380">
        <v>142.5</v>
      </c>
      <c r="E136" s="380">
        <v>142.19999999999999</v>
      </c>
      <c r="F136" s="380">
        <v>142.69999999999999</v>
      </c>
      <c r="G136" s="380">
        <v>142.69999999999999</v>
      </c>
      <c r="H136" s="380">
        <v>142.80000000000001</v>
      </c>
      <c r="I136" s="380">
        <v>142.80000000000001</v>
      </c>
      <c r="J136" s="380">
        <v>142.9</v>
      </c>
      <c r="K136" s="380">
        <v>144.69999999999999</v>
      </c>
      <c r="L136" s="380">
        <v>145</v>
      </c>
      <c r="M136" s="380">
        <v>144.6</v>
      </c>
      <c r="N136" s="380">
        <v>143.30000000000001</v>
      </c>
      <c r="O136" s="381">
        <v>4</v>
      </c>
    </row>
    <row r="137" spans="1:15" x14ac:dyDescent="0.2">
      <c r="A137" s="379">
        <v>2003</v>
      </c>
      <c r="B137" s="380">
        <v>144.4</v>
      </c>
      <c r="C137" s="380">
        <v>145.5</v>
      </c>
      <c r="D137" s="380">
        <v>145.9</v>
      </c>
      <c r="E137" s="380">
        <v>146.1</v>
      </c>
      <c r="F137" s="380">
        <v>147.4</v>
      </c>
      <c r="G137" s="380">
        <v>147.9</v>
      </c>
      <c r="H137" s="380">
        <v>148.6</v>
      </c>
      <c r="I137" s="380">
        <v>149.5</v>
      </c>
      <c r="J137" s="380">
        <v>150.5</v>
      </c>
      <c r="K137" s="380">
        <v>152.19999999999999</v>
      </c>
      <c r="L137" s="380">
        <v>152.6</v>
      </c>
      <c r="M137" s="380">
        <v>151.19999999999999</v>
      </c>
      <c r="N137" s="380">
        <v>148.5</v>
      </c>
      <c r="O137" s="381">
        <v>5</v>
      </c>
    </row>
    <row r="138" spans="1:15" x14ac:dyDescent="0.2">
      <c r="A138" s="379">
        <v>2004</v>
      </c>
      <c r="B138" s="380">
        <v>152.9</v>
      </c>
      <c r="C138" s="380">
        <v>155.30000000000001</v>
      </c>
      <c r="D138" s="380">
        <v>157</v>
      </c>
      <c r="E138" s="380">
        <v>159.6</v>
      </c>
      <c r="F138" s="380">
        <v>160.6</v>
      </c>
      <c r="G138" s="380">
        <v>160.6</v>
      </c>
      <c r="H138" s="380">
        <v>160.6</v>
      </c>
      <c r="I138" s="380">
        <v>161.4</v>
      </c>
      <c r="J138" s="380">
        <v>171.6</v>
      </c>
      <c r="K138" s="380">
        <v>175.1</v>
      </c>
      <c r="L138" s="380">
        <v>176.8</v>
      </c>
      <c r="M138" s="380">
        <v>179.6</v>
      </c>
      <c r="N138" s="380">
        <v>164.2</v>
      </c>
      <c r="O138" s="381">
        <v>6</v>
      </c>
    </row>
    <row r="139" spans="1:15" x14ac:dyDescent="0.2">
      <c r="A139" s="379">
        <v>2005</v>
      </c>
      <c r="B139" s="380">
        <v>180.3</v>
      </c>
      <c r="C139" s="380">
        <v>182.5</v>
      </c>
      <c r="D139" s="382">
        <v>182.2</v>
      </c>
      <c r="E139" s="382">
        <v>184.1</v>
      </c>
      <c r="F139" s="382">
        <v>184.4</v>
      </c>
      <c r="G139" s="382">
        <v>185.3</v>
      </c>
      <c r="H139" s="382">
        <v>187.3</v>
      </c>
      <c r="I139" s="382">
        <v>191.1</v>
      </c>
      <c r="J139" s="382">
        <v>191.5</v>
      </c>
      <c r="K139" s="382">
        <v>193</v>
      </c>
      <c r="L139" s="382">
        <v>193</v>
      </c>
      <c r="M139" s="382">
        <v>195.4</v>
      </c>
      <c r="N139" s="382">
        <v>187.5</v>
      </c>
      <c r="O139" s="381">
        <v>7</v>
      </c>
    </row>
    <row r="140" spans="1:15" x14ac:dyDescent="0.2">
      <c r="A140" s="379">
        <v>2006</v>
      </c>
      <c r="B140" s="382">
        <v>197.4</v>
      </c>
      <c r="C140" s="383">
        <v>198.1</v>
      </c>
      <c r="D140" s="384">
        <v>198.2</v>
      </c>
      <c r="E140" s="384">
        <v>198.9</v>
      </c>
      <c r="F140" s="384">
        <v>198.6</v>
      </c>
      <c r="G140" s="384">
        <v>199</v>
      </c>
      <c r="H140" s="384">
        <v>198.8</v>
      </c>
      <c r="I140" s="385">
        <v>198.4</v>
      </c>
      <c r="J140" s="385">
        <v>198.3</v>
      </c>
      <c r="K140" s="385">
        <v>198.3</v>
      </c>
      <c r="L140" s="385">
        <v>198.3</v>
      </c>
      <c r="M140" s="385">
        <v>198.3</v>
      </c>
      <c r="N140" s="385">
        <v>198.4</v>
      </c>
      <c r="O140" s="381">
        <v>8</v>
      </c>
    </row>
    <row r="141" spans="1:15" x14ac:dyDescent="0.2">
      <c r="A141" s="379">
        <v>2007</v>
      </c>
      <c r="B141" s="386">
        <v>200.4</v>
      </c>
      <c r="C141" s="386">
        <v>200.3</v>
      </c>
      <c r="D141" s="384">
        <v>200.2</v>
      </c>
      <c r="E141" s="384">
        <v>200.5</v>
      </c>
      <c r="F141" s="384">
        <v>202.2</v>
      </c>
      <c r="G141" s="384">
        <v>201.4</v>
      </c>
      <c r="H141" s="384">
        <v>201.7</v>
      </c>
      <c r="I141" s="385">
        <v>202.2</v>
      </c>
      <c r="J141" s="385">
        <v>202.1</v>
      </c>
      <c r="K141" s="385">
        <v>202</v>
      </c>
      <c r="L141" s="385">
        <v>202.7</v>
      </c>
      <c r="M141" s="385">
        <v>203.3</v>
      </c>
      <c r="N141" s="385">
        <v>201.6</v>
      </c>
      <c r="O141" s="381">
        <v>9</v>
      </c>
    </row>
    <row r="142" spans="1:15" x14ac:dyDescent="0.2">
      <c r="A142" s="379">
        <v>2008</v>
      </c>
      <c r="B142" s="387">
        <v>203.7</v>
      </c>
      <c r="C142" s="396">
        <v>211.8</v>
      </c>
      <c r="D142" s="397">
        <v>213.6</v>
      </c>
      <c r="E142" s="397">
        <v>218.5</v>
      </c>
      <c r="F142" s="397">
        <v>218.7</v>
      </c>
      <c r="G142" s="397">
        <v>218.7</v>
      </c>
      <c r="H142" s="398">
        <v>221</v>
      </c>
      <c r="I142" s="398">
        <v>221.4</v>
      </c>
      <c r="J142" s="398">
        <v>221.4</v>
      </c>
      <c r="K142" s="398">
        <v>221.4</v>
      </c>
      <c r="L142" s="398">
        <v>220.9</v>
      </c>
      <c r="M142" s="398">
        <v>220</v>
      </c>
      <c r="N142" s="398">
        <v>217.6</v>
      </c>
      <c r="O142" s="381">
        <v>10</v>
      </c>
    </row>
    <row r="143" spans="1:15" x14ac:dyDescent="0.2">
      <c r="A143" s="379">
        <v>2009</v>
      </c>
      <c r="B143" s="388">
        <v>220.2</v>
      </c>
      <c r="C143" s="388">
        <v>221.6</v>
      </c>
      <c r="D143" s="388">
        <v>221.6</v>
      </c>
      <c r="E143" s="388">
        <v>222.1</v>
      </c>
      <c r="F143" s="388">
        <v>221.1</v>
      </c>
      <c r="G143" s="388">
        <v>220.5</v>
      </c>
      <c r="H143" s="388">
        <v>220.8</v>
      </c>
      <c r="I143" s="388">
        <v>220.8</v>
      </c>
      <c r="J143" s="460">
        <v>220.8</v>
      </c>
      <c r="K143" s="460">
        <v>221</v>
      </c>
      <c r="L143" s="460">
        <v>220.9</v>
      </c>
      <c r="M143" s="460">
        <v>220.9</v>
      </c>
      <c r="N143" s="460">
        <v>221</v>
      </c>
      <c r="O143" s="381">
        <v>11</v>
      </c>
    </row>
    <row r="144" spans="1:15" x14ac:dyDescent="0.2">
      <c r="A144" s="379">
        <v>2010</v>
      </c>
      <c r="B144" s="388">
        <v>221.1</v>
      </c>
      <c r="C144" s="388">
        <v>221.1</v>
      </c>
      <c r="D144" s="388">
        <v>221.1</v>
      </c>
      <c r="E144" s="388">
        <v>223.4</v>
      </c>
      <c r="F144" s="388">
        <v>223.4</v>
      </c>
      <c r="G144" s="388">
        <v>223.3</v>
      </c>
      <c r="H144" s="388">
        <v>223.6</v>
      </c>
      <c r="I144" s="388">
        <v>223.6</v>
      </c>
      <c r="J144" s="65">
        <v>223.6</v>
      </c>
      <c r="K144" s="391">
        <v>224.4</v>
      </c>
      <c r="L144" s="391">
        <v>224.8</v>
      </c>
      <c r="M144" s="391">
        <v>225.3</v>
      </c>
      <c r="N144" s="391">
        <v>223.2</v>
      </c>
      <c r="O144" s="381">
        <v>12</v>
      </c>
    </row>
    <row r="145" spans="1:15" x14ac:dyDescent="0.2">
      <c r="A145" s="379">
        <v>2011</v>
      </c>
      <c r="B145">
        <v>225.4</v>
      </c>
      <c r="C145" s="388">
        <v>226.6</v>
      </c>
      <c r="D145" s="385">
        <v>226</v>
      </c>
      <c r="E145" s="389">
        <v>224.9</v>
      </c>
      <c r="F145" s="389">
        <v>230.3</v>
      </c>
      <c r="G145" s="389">
        <v>228.8</v>
      </c>
      <c r="H145" s="389">
        <v>228.8</v>
      </c>
      <c r="I145" s="389"/>
      <c r="J145" s="389"/>
      <c r="K145" s="389"/>
      <c r="L145" s="389"/>
      <c r="M145" s="389"/>
      <c r="N145" s="389"/>
      <c r="O145" s="381">
        <v>13</v>
      </c>
    </row>
    <row r="146" spans="1:15" x14ac:dyDescent="0.2">
      <c r="A146" s="379"/>
      <c r="B146" s="368"/>
      <c r="C146" s="368"/>
      <c r="D146" s="368"/>
      <c r="E146" s="368"/>
      <c r="F146" s="368"/>
      <c r="G146" s="368"/>
      <c r="H146" s="368"/>
      <c r="I146" s="368"/>
      <c r="J146" s="368"/>
      <c r="K146" s="368"/>
      <c r="L146" s="368"/>
      <c r="M146" s="368"/>
      <c r="N146" s="368"/>
      <c r="O146" s="381">
        <v>14</v>
      </c>
    </row>
    <row r="147" spans="1:15" ht="15" x14ac:dyDescent="0.3">
      <c r="B147" s="372" t="s">
        <v>742</v>
      </c>
      <c r="D147" s="372">
        <v>198306</v>
      </c>
    </row>
    <row r="148" spans="1:15" x14ac:dyDescent="0.2">
      <c r="A148" s="27" t="s">
        <v>626</v>
      </c>
      <c r="B148" s="373" t="s">
        <v>660</v>
      </c>
      <c r="C148" s="27" t="s">
        <v>743</v>
      </c>
      <c r="O148" t="s">
        <v>713</v>
      </c>
    </row>
    <row r="149" spans="1:15" x14ac:dyDescent="0.2">
      <c r="A149" s="27"/>
      <c r="B149" s="359" t="s">
        <v>714</v>
      </c>
      <c r="C149" s="374" t="s">
        <v>715</v>
      </c>
      <c r="D149" s="375" t="s">
        <v>716</v>
      </c>
      <c r="E149" s="375" t="s">
        <v>717</v>
      </c>
      <c r="F149" s="375" t="s">
        <v>718</v>
      </c>
      <c r="G149" s="375" t="s">
        <v>719</v>
      </c>
      <c r="H149" s="375" t="s">
        <v>720</v>
      </c>
      <c r="I149" s="375" t="s">
        <v>721</v>
      </c>
      <c r="J149" s="375" t="s">
        <v>722</v>
      </c>
      <c r="K149" s="375" t="s">
        <v>723</v>
      </c>
      <c r="L149" s="375" t="s">
        <v>724</v>
      </c>
      <c r="M149" s="375" t="s">
        <v>725</v>
      </c>
      <c r="N149" s="375" t="s">
        <v>726</v>
      </c>
    </row>
    <row r="150" spans="1:15" x14ac:dyDescent="0.2">
      <c r="A150" s="376" t="s">
        <v>730</v>
      </c>
      <c r="B150" s="377">
        <v>1</v>
      </c>
      <c r="C150" s="377">
        <v>2</v>
      </c>
      <c r="D150" s="377">
        <v>3</v>
      </c>
      <c r="E150" s="377">
        <v>4</v>
      </c>
      <c r="F150" s="377">
        <v>5</v>
      </c>
      <c r="G150" s="377">
        <v>6</v>
      </c>
      <c r="H150" s="377">
        <v>7</v>
      </c>
      <c r="I150" s="377">
        <v>8</v>
      </c>
      <c r="J150" s="377">
        <v>9</v>
      </c>
      <c r="K150" s="377">
        <v>10</v>
      </c>
      <c r="L150" s="377">
        <v>11</v>
      </c>
      <c r="M150" s="377">
        <v>12</v>
      </c>
      <c r="N150" s="377">
        <v>13</v>
      </c>
      <c r="O150" s="378">
        <v>1</v>
      </c>
    </row>
    <row r="151" spans="1:15" x14ac:dyDescent="0.2">
      <c r="A151" s="379">
        <v>2000</v>
      </c>
      <c r="B151" s="380">
        <v>139.19999999999999</v>
      </c>
      <c r="C151" s="380">
        <v>139.30000000000001</v>
      </c>
      <c r="D151" s="380">
        <v>139.4</v>
      </c>
      <c r="E151" s="380">
        <v>139</v>
      </c>
      <c r="F151" s="380">
        <v>139.1</v>
      </c>
      <c r="G151" s="380">
        <v>139</v>
      </c>
      <c r="H151" s="380">
        <v>139.30000000000001</v>
      </c>
      <c r="I151" s="380">
        <v>139.5</v>
      </c>
      <c r="J151" s="380">
        <v>139.5</v>
      </c>
      <c r="K151" s="380">
        <v>139.4</v>
      </c>
      <c r="L151" s="380">
        <v>139.4</v>
      </c>
      <c r="M151" s="380">
        <v>139.5</v>
      </c>
      <c r="N151" s="380">
        <v>139.30000000000001</v>
      </c>
      <c r="O151" s="381">
        <v>2</v>
      </c>
    </row>
    <row r="152" spans="1:15" x14ac:dyDescent="0.2">
      <c r="A152" s="379">
        <v>2001</v>
      </c>
      <c r="B152" s="380">
        <v>139.6</v>
      </c>
      <c r="C152" s="380">
        <v>139.69999999999999</v>
      </c>
      <c r="D152" s="380">
        <v>140.1</v>
      </c>
      <c r="E152" s="380">
        <v>140</v>
      </c>
      <c r="F152" s="380">
        <v>140</v>
      </c>
      <c r="G152" s="380">
        <v>140</v>
      </c>
      <c r="H152" s="380">
        <v>140.30000000000001</v>
      </c>
      <c r="I152" s="380">
        <v>140.30000000000001</v>
      </c>
      <c r="J152" s="380">
        <v>140.19999999999999</v>
      </c>
      <c r="K152" s="380">
        <v>139.4</v>
      </c>
      <c r="L152" s="380">
        <v>139.4</v>
      </c>
      <c r="M152" s="380">
        <v>139.5</v>
      </c>
      <c r="N152" s="380">
        <v>139.9</v>
      </c>
      <c r="O152" s="381">
        <v>3</v>
      </c>
    </row>
    <row r="153" spans="1:15" x14ac:dyDescent="0.2">
      <c r="A153" s="379">
        <v>2002</v>
      </c>
      <c r="B153" s="380">
        <v>139.69999999999999</v>
      </c>
      <c r="C153" s="380">
        <v>139.69999999999999</v>
      </c>
      <c r="D153" s="380">
        <v>139.6</v>
      </c>
      <c r="E153" s="380">
        <v>139.9</v>
      </c>
      <c r="F153" s="380">
        <v>140</v>
      </c>
      <c r="G153" s="380">
        <v>139.9</v>
      </c>
      <c r="H153" s="380">
        <v>139.9</v>
      </c>
      <c r="I153" s="380">
        <v>140</v>
      </c>
      <c r="J153" s="380">
        <v>139.9</v>
      </c>
      <c r="K153" s="380">
        <v>139.5</v>
      </c>
      <c r="L153" s="380">
        <v>140.4</v>
      </c>
      <c r="M153" s="380">
        <v>140.5</v>
      </c>
      <c r="N153" s="380">
        <v>139.9</v>
      </c>
      <c r="O153" s="381">
        <v>4</v>
      </c>
    </row>
    <row r="154" spans="1:15" x14ac:dyDescent="0.2">
      <c r="A154" s="379">
        <v>2003</v>
      </c>
      <c r="B154" s="380">
        <v>140.6</v>
      </c>
      <c r="C154" s="380">
        <v>140.6</v>
      </c>
      <c r="D154" s="380">
        <v>140.6</v>
      </c>
      <c r="E154" s="380">
        <v>140.5</v>
      </c>
      <c r="F154" s="380">
        <v>140.69999999999999</v>
      </c>
      <c r="G154" s="380">
        <v>140.5</v>
      </c>
      <c r="H154" s="380">
        <v>140.5</v>
      </c>
      <c r="I154" s="380">
        <v>140.5</v>
      </c>
      <c r="J154" s="380">
        <v>140.6</v>
      </c>
      <c r="K154" s="380">
        <v>140.5</v>
      </c>
      <c r="L154" s="380">
        <v>140.5</v>
      </c>
      <c r="M154" s="380">
        <v>140.6</v>
      </c>
      <c r="N154" s="380">
        <v>140.6</v>
      </c>
      <c r="O154" s="381">
        <v>5</v>
      </c>
    </row>
    <row r="155" spans="1:15" x14ac:dyDescent="0.2">
      <c r="A155" s="379">
        <v>2004</v>
      </c>
      <c r="B155" s="380">
        <v>140.6</v>
      </c>
      <c r="C155" s="380">
        <v>140.80000000000001</v>
      </c>
      <c r="D155" s="380">
        <v>141.30000000000001</v>
      </c>
      <c r="E155" s="380">
        <v>141.69999999999999</v>
      </c>
      <c r="F155" s="380">
        <v>141.69999999999999</v>
      </c>
      <c r="G155" s="380">
        <v>143.30000000000001</v>
      </c>
      <c r="H155" s="380">
        <v>143.69999999999999</v>
      </c>
      <c r="I155" s="380">
        <v>144.19999999999999</v>
      </c>
      <c r="J155" s="380">
        <v>144.1</v>
      </c>
      <c r="K155" s="380">
        <v>144.19999999999999</v>
      </c>
      <c r="L155" s="380">
        <v>144.5</v>
      </c>
      <c r="M155" s="380">
        <v>147.19999999999999</v>
      </c>
      <c r="N155" s="380">
        <v>143.1</v>
      </c>
      <c r="O155" s="381">
        <v>6</v>
      </c>
    </row>
    <row r="156" spans="1:15" x14ac:dyDescent="0.2">
      <c r="A156" s="379">
        <v>2005</v>
      </c>
      <c r="B156" s="380">
        <v>150.19999999999999</v>
      </c>
      <c r="C156" s="380">
        <v>150.30000000000001</v>
      </c>
      <c r="D156" s="382">
        <v>150.4</v>
      </c>
      <c r="E156" s="382">
        <v>150.6</v>
      </c>
      <c r="F156" s="382">
        <v>150.69999999999999</v>
      </c>
      <c r="G156" s="382">
        <v>150.80000000000001</v>
      </c>
      <c r="H156" s="382">
        <v>151.30000000000001</v>
      </c>
      <c r="I156" s="382">
        <v>151.30000000000001</v>
      </c>
      <c r="J156" s="382">
        <v>151.1</v>
      </c>
      <c r="K156" s="382">
        <v>152.30000000000001</v>
      </c>
      <c r="L156" s="382">
        <v>153.6</v>
      </c>
      <c r="M156" s="382">
        <v>153.9</v>
      </c>
      <c r="N156" s="382">
        <v>151.4</v>
      </c>
      <c r="O156" s="381">
        <v>7</v>
      </c>
    </row>
    <row r="157" spans="1:15" x14ac:dyDescent="0.2">
      <c r="A157" s="379">
        <v>2006</v>
      </c>
      <c r="B157" s="382">
        <v>154.5</v>
      </c>
      <c r="C157" s="383">
        <v>154.6</v>
      </c>
      <c r="D157" s="384">
        <v>154.69999999999999</v>
      </c>
      <c r="E157" s="384">
        <v>156</v>
      </c>
      <c r="F157" s="384">
        <v>156</v>
      </c>
      <c r="G157" s="384">
        <v>157.5</v>
      </c>
      <c r="H157" s="384">
        <v>158.9</v>
      </c>
      <c r="I157" s="385">
        <v>161.80000000000001</v>
      </c>
      <c r="J157" s="385">
        <v>162</v>
      </c>
      <c r="K157" s="385">
        <v>162.30000000000001</v>
      </c>
      <c r="L157" s="385">
        <v>162.6</v>
      </c>
      <c r="M157" s="385">
        <v>162.6</v>
      </c>
      <c r="N157" s="385">
        <v>158.6</v>
      </c>
      <c r="O157" s="381">
        <v>8</v>
      </c>
    </row>
    <row r="158" spans="1:15" x14ac:dyDescent="0.2">
      <c r="A158" s="379">
        <v>2007</v>
      </c>
      <c r="B158" s="386">
        <v>163.80000000000001</v>
      </c>
      <c r="C158" s="386">
        <v>164.9</v>
      </c>
      <c r="D158" s="384">
        <v>164.9</v>
      </c>
      <c r="E158" s="384">
        <v>165.9</v>
      </c>
      <c r="F158" s="384">
        <v>165.6</v>
      </c>
      <c r="G158" s="384">
        <v>166.4</v>
      </c>
      <c r="H158" s="384">
        <v>167.2</v>
      </c>
      <c r="I158" s="385">
        <v>167.3</v>
      </c>
      <c r="J158" s="385">
        <v>167.3</v>
      </c>
      <c r="K158" s="385">
        <v>167.6</v>
      </c>
      <c r="L158" s="385">
        <v>167.9</v>
      </c>
      <c r="M158" s="385">
        <v>168.1</v>
      </c>
      <c r="N158" s="385">
        <v>166.4</v>
      </c>
      <c r="O158" s="381">
        <v>9</v>
      </c>
    </row>
    <row r="159" spans="1:15" x14ac:dyDescent="0.2">
      <c r="A159" s="379">
        <v>2008</v>
      </c>
      <c r="B159" s="387">
        <v>170</v>
      </c>
      <c r="C159" s="396">
        <v>170.5</v>
      </c>
      <c r="D159" s="397">
        <v>171.1</v>
      </c>
      <c r="E159" s="397">
        <v>172.1</v>
      </c>
      <c r="F159" s="397">
        <v>173.4</v>
      </c>
      <c r="G159" s="397">
        <v>174</v>
      </c>
      <c r="H159" s="398">
        <v>176.6</v>
      </c>
      <c r="I159" s="398">
        <v>178.2</v>
      </c>
      <c r="J159" s="398">
        <v>178.2</v>
      </c>
      <c r="K159" s="398">
        <v>178.5</v>
      </c>
      <c r="L159" s="398">
        <v>178.6</v>
      </c>
      <c r="M159" s="398">
        <v>178.6</v>
      </c>
      <c r="N159" s="398">
        <v>175</v>
      </c>
      <c r="O159" s="381">
        <v>10</v>
      </c>
    </row>
    <row r="160" spans="1:15" x14ac:dyDescent="0.2">
      <c r="A160" s="379">
        <v>2009</v>
      </c>
      <c r="B160" s="388">
        <v>179.4</v>
      </c>
      <c r="C160" s="388">
        <v>179.9</v>
      </c>
      <c r="D160" s="388">
        <v>180.1</v>
      </c>
      <c r="E160" s="388">
        <v>179.5</v>
      </c>
      <c r="F160" s="388">
        <v>179.8</v>
      </c>
      <c r="G160" s="388">
        <v>179.6</v>
      </c>
      <c r="H160" s="388">
        <v>179.4</v>
      </c>
      <c r="I160" s="388">
        <v>180.1</v>
      </c>
      <c r="J160" s="461">
        <v>180</v>
      </c>
      <c r="K160" s="461">
        <v>180</v>
      </c>
      <c r="L160" s="461">
        <v>180</v>
      </c>
      <c r="M160" s="461">
        <v>180</v>
      </c>
      <c r="N160" s="461">
        <v>179.8</v>
      </c>
      <c r="O160" s="381">
        <v>11</v>
      </c>
    </row>
    <row r="161" spans="1:15" x14ac:dyDescent="0.2">
      <c r="A161" s="379">
        <v>2010</v>
      </c>
      <c r="B161" s="388">
        <v>180.1</v>
      </c>
      <c r="C161" s="388">
        <v>179.9</v>
      </c>
      <c r="D161" s="388">
        <v>180.7</v>
      </c>
      <c r="E161" s="388">
        <v>181</v>
      </c>
      <c r="F161" s="388">
        <v>181.5</v>
      </c>
      <c r="G161" s="388">
        <v>185.2</v>
      </c>
      <c r="H161" s="388">
        <v>185.3</v>
      </c>
      <c r="I161" s="388">
        <v>185.4</v>
      </c>
      <c r="J161" s="65">
        <v>185.3</v>
      </c>
      <c r="K161" s="391">
        <v>185.6</v>
      </c>
      <c r="L161" s="391">
        <v>185.7</v>
      </c>
      <c r="M161" s="391">
        <v>186.9</v>
      </c>
      <c r="N161" s="391">
        <v>183.6</v>
      </c>
      <c r="O161" s="381">
        <v>12</v>
      </c>
    </row>
    <row r="162" spans="1:15" x14ac:dyDescent="0.2">
      <c r="A162" s="379">
        <v>2011</v>
      </c>
      <c r="B162">
        <v>190.9</v>
      </c>
      <c r="C162" s="388">
        <v>191.1</v>
      </c>
      <c r="D162" s="385">
        <v>192.6</v>
      </c>
      <c r="E162" s="389">
        <v>192.4</v>
      </c>
      <c r="F162" s="389">
        <v>193.1</v>
      </c>
      <c r="G162" s="389">
        <v>196.3</v>
      </c>
      <c r="H162" s="389">
        <v>196.3</v>
      </c>
      <c r="I162" s="389"/>
      <c r="J162" s="389"/>
      <c r="K162" s="389"/>
      <c r="L162" s="389"/>
      <c r="M162" s="389"/>
      <c r="N162" s="389"/>
      <c r="O162" s="381">
        <v>13</v>
      </c>
    </row>
    <row r="163" spans="1:15" x14ac:dyDescent="0.2">
      <c r="A163" s="379"/>
      <c r="B163" s="368"/>
      <c r="C163" s="368"/>
      <c r="D163" s="368"/>
      <c r="E163" s="368"/>
      <c r="F163" s="368"/>
      <c r="G163" s="368"/>
      <c r="H163" s="368"/>
      <c r="I163" s="368"/>
      <c r="J163" s="368"/>
      <c r="K163" s="368"/>
      <c r="L163" s="368"/>
      <c r="M163" s="368"/>
      <c r="N163" s="368"/>
      <c r="O163" s="381">
        <v>14</v>
      </c>
    </row>
    <row r="164" spans="1:15" ht="15" x14ac:dyDescent="0.3">
      <c r="B164" s="372" t="s">
        <v>744</v>
      </c>
      <c r="D164" s="372">
        <v>198506</v>
      </c>
      <c r="O164" s="390"/>
    </row>
    <row r="165" spans="1:15" x14ac:dyDescent="0.2">
      <c r="A165" s="27" t="s">
        <v>626</v>
      </c>
      <c r="B165" s="373" t="s">
        <v>663</v>
      </c>
      <c r="C165" s="27" t="s">
        <v>745</v>
      </c>
      <c r="O165" t="s">
        <v>713</v>
      </c>
    </row>
    <row r="166" spans="1:15" x14ac:dyDescent="0.2">
      <c r="A166" s="27"/>
      <c r="B166" s="359" t="s">
        <v>714</v>
      </c>
      <c r="C166" s="374" t="s">
        <v>715</v>
      </c>
      <c r="D166" s="375" t="s">
        <v>716</v>
      </c>
      <c r="E166" s="375" t="s">
        <v>717</v>
      </c>
      <c r="F166" s="375" t="s">
        <v>718</v>
      </c>
      <c r="G166" s="375" t="s">
        <v>719</v>
      </c>
      <c r="H166" s="375" t="s">
        <v>720</v>
      </c>
      <c r="I166" s="375" t="s">
        <v>721</v>
      </c>
      <c r="J166" s="375" t="s">
        <v>722</v>
      </c>
      <c r="K166" s="375" t="s">
        <v>723</v>
      </c>
      <c r="L166" s="375" t="s">
        <v>724</v>
      </c>
      <c r="M166" s="375" t="s">
        <v>725</v>
      </c>
      <c r="N166" s="375" t="s">
        <v>726</v>
      </c>
    </row>
    <row r="167" spans="1:15" x14ac:dyDescent="0.2">
      <c r="A167" s="376" t="s">
        <v>730</v>
      </c>
      <c r="B167" s="377">
        <v>1</v>
      </c>
      <c r="C167" s="377">
        <v>2</v>
      </c>
      <c r="D167" s="377">
        <v>3</v>
      </c>
      <c r="E167" s="377">
        <v>4</v>
      </c>
      <c r="F167" s="377">
        <v>5</v>
      </c>
      <c r="G167" s="377">
        <v>6</v>
      </c>
      <c r="H167" s="377">
        <v>7</v>
      </c>
      <c r="I167" s="377">
        <v>8</v>
      </c>
      <c r="J167" s="377">
        <v>9</v>
      </c>
      <c r="K167" s="377">
        <v>10</v>
      </c>
      <c r="L167" s="377">
        <v>11</v>
      </c>
      <c r="M167" s="377">
        <v>12</v>
      </c>
      <c r="N167" s="377">
        <v>13</v>
      </c>
      <c r="O167" s="378">
        <v>1</v>
      </c>
    </row>
    <row r="168" spans="1:15" x14ac:dyDescent="0.2">
      <c r="A168" s="379">
        <v>2000</v>
      </c>
      <c r="B168" s="380">
        <v>142.9</v>
      </c>
      <c r="C168" s="380">
        <v>143.4</v>
      </c>
      <c r="D168" s="380">
        <v>143.5</v>
      </c>
      <c r="E168" s="380">
        <v>143.69999999999999</v>
      </c>
      <c r="F168" s="380">
        <v>143</v>
      </c>
      <c r="G168" s="380">
        <v>143</v>
      </c>
      <c r="H168" s="380">
        <v>143.1</v>
      </c>
      <c r="I168" s="380">
        <v>144.19999999999999</v>
      </c>
      <c r="J168" s="380">
        <v>144.30000000000001</v>
      </c>
      <c r="K168" s="380">
        <v>144.4</v>
      </c>
      <c r="L168" s="380">
        <v>144.69999999999999</v>
      </c>
      <c r="M168" s="380">
        <v>144.80000000000001</v>
      </c>
      <c r="N168" s="380">
        <v>143.69999999999999</v>
      </c>
      <c r="O168" s="381">
        <v>2</v>
      </c>
    </row>
    <row r="169" spans="1:15" x14ac:dyDescent="0.2">
      <c r="A169" s="379">
        <v>2001</v>
      </c>
      <c r="B169" s="380">
        <v>145.4</v>
      </c>
      <c r="C169" s="380">
        <v>146.4</v>
      </c>
      <c r="D169" s="380">
        <v>146.9</v>
      </c>
      <c r="E169" s="380">
        <v>147.1</v>
      </c>
      <c r="F169" s="380">
        <v>147.1</v>
      </c>
      <c r="G169" s="380">
        <v>147.19999999999999</v>
      </c>
      <c r="H169" s="380">
        <v>146.9</v>
      </c>
      <c r="I169" s="380">
        <v>147</v>
      </c>
      <c r="J169" s="380">
        <v>146.9</v>
      </c>
      <c r="K169" s="380">
        <v>146.9</v>
      </c>
      <c r="L169" s="380">
        <v>147.30000000000001</v>
      </c>
      <c r="M169" s="380">
        <v>149</v>
      </c>
      <c r="N169" s="380">
        <v>147</v>
      </c>
      <c r="O169" s="381">
        <v>3</v>
      </c>
    </row>
    <row r="170" spans="1:15" x14ac:dyDescent="0.2">
      <c r="A170" s="379">
        <v>2002</v>
      </c>
      <c r="B170" s="380">
        <v>149.30000000000001</v>
      </c>
      <c r="C170" s="380">
        <v>148.9</v>
      </c>
      <c r="D170" s="380">
        <v>148.9</v>
      </c>
      <c r="E170" s="380">
        <v>148.80000000000001</v>
      </c>
      <c r="F170" s="380">
        <v>149.19999999999999</v>
      </c>
      <c r="G170" s="380">
        <v>149.19999999999999</v>
      </c>
      <c r="H170" s="380">
        <v>147.4</v>
      </c>
      <c r="I170" s="380">
        <v>147.4</v>
      </c>
      <c r="J170" s="380">
        <v>147.4</v>
      </c>
      <c r="K170" s="380">
        <v>147.9</v>
      </c>
      <c r="L170" s="380">
        <v>149.30000000000001</v>
      </c>
      <c r="M170" s="380">
        <v>149.4</v>
      </c>
      <c r="N170" s="380">
        <v>148.6</v>
      </c>
      <c r="O170" s="381">
        <v>4</v>
      </c>
    </row>
    <row r="171" spans="1:15" x14ac:dyDescent="0.2">
      <c r="A171" s="379">
        <v>2003</v>
      </c>
      <c r="B171" s="380">
        <v>149.6</v>
      </c>
      <c r="C171" s="380">
        <v>149.9</v>
      </c>
      <c r="D171" s="380">
        <v>149.9</v>
      </c>
      <c r="E171" s="380">
        <v>150</v>
      </c>
      <c r="F171" s="380">
        <v>150</v>
      </c>
      <c r="G171" s="380">
        <v>150.5</v>
      </c>
      <c r="H171" s="380">
        <v>150.69999999999999</v>
      </c>
      <c r="I171" s="380">
        <v>150.69999999999999</v>
      </c>
      <c r="J171" s="380">
        <v>151.9</v>
      </c>
      <c r="K171" s="380">
        <v>151.80000000000001</v>
      </c>
      <c r="L171" s="380">
        <v>151.9</v>
      </c>
      <c r="M171" s="380">
        <v>152</v>
      </c>
      <c r="N171" s="380">
        <v>150.69999999999999</v>
      </c>
      <c r="O171" s="381">
        <v>5</v>
      </c>
    </row>
    <row r="172" spans="1:15" x14ac:dyDescent="0.2">
      <c r="A172" s="379">
        <v>2004</v>
      </c>
      <c r="B172" s="380">
        <v>152</v>
      </c>
      <c r="C172" s="380">
        <v>152.1</v>
      </c>
      <c r="D172" s="380">
        <v>153.4</v>
      </c>
      <c r="E172" s="380">
        <v>153.30000000000001</v>
      </c>
      <c r="F172" s="380">
        <v>153.6</v>
      </c>
      <c r="G172" s="380">
        <v>154.1</v>
      </c>
      <c r="H172" s="380">
        <v>154.1</v>
      </c>
      <c r="I172" s="380">
        <v>154.1</v>
      </c>
      <c r="J172" s="380">
        <v>155.5</v>
      </c>
      <c r="K172" s="380">
        <v>155.80000000000001</v>
      </c>
      <c r="L172" s="380">
        <v>155.9</v>
      </c>
      <c r="M172" s="380">
        <v>156.1</v>
      </c>
      <c r="N172" s="380">
        <v>154.19999999999999</v>
      </c>
      <c r="O172" s="381">
        <v>6</v>
      </c>
    </row>
    <row r="173" spans="1:15" x14ac:dyDescent="0.2">
      <c r="A173" s="379">
        <v>2005</v>
      </c>
      <c r="B173" s="380">
        <v>156.6</v>
      </c>
      <c r="C173" s="380">
        <v>157.4</v>
      </c>
      <c r="D173" s="382">
        <v>157.80000000000001</v>
      </c>
      <c r="E173" s="382">
        <v>157.80000000000001</v>
      </c>
      <c r="F173" s="382">
        <v>157.9</v>
      </c>
      <c r="G173" s="382">
        <v>158.19999999999999</v>
      </c>
      <c r="H173" s="382">
        <v>158.4</v>
      </c>
      <c r="I173" s="382">
        <v>158.4</v>
      </c>
      <c r="J173" s="382">
        <v>164.7</v>
      </c>
      <c r="K173" s="382">
        <v>163</v>
      </c>
      <c r="L173" s="382">
        <v>162.80000000000001</v>
      </c>
      <c r="M173" s="382">
        <v>162.9</v>
      </c>
      <c r="N173" s="382">
        <v>159.6</v>
      </c>
      <c r="O173" s="381">
        <v>7</v>
      </c>
    </row>
    <row r="174" spans="1:15" x14ac:dyDescent="0.2">
      <c r="A174" s="379">
        <v>2006</v>
      </c>
      <c r="B174" s="382">
        <v>164.2</v>
      </c>
      <c r="C174" s="383">
        <v>164.4</v>
      </c>
      <c r="D174" s="384">
        <v>165.3</v>
      </c>
      <c r="E174" s="384">
        <v>165.4</v>
      </c>
      <c r="F174" s="384">
        <v>165.5</v>
      </c>
      <c r="G174" s="384">
        <v>165.7</v>
      </c>
      <c r="H174" s="384">
        <v>166.7</v>
      </c>
      <c r="I174" s="385">
        <v>166.7</v>
      </c>
      <c r="J174" s="385">
        <v>171.2</v>
      </c>
      <c r="K174" s="385">
        <v>172.6</v>
      </c>
      <c r="L174" s="385">
        <v>172.5</v>
      </c>
      <c r="M174" s="385">
        <v>172.3</v>
      </c>
      <c r="N174" s="385">
        <v>167.7</v>
      </c>
      <c r="O174" s="381">
        <v>8</v>
      </c>
    </row>
    <row r="175" spans="1:15" x14ac:dyDescent="0.2">
      <c r="A175" s="379">
        <v>2007</v>
      </c>
      <c r="B175" s="386">
        <v>172.3</v>
      </c>
      <c r="C175" s="386">
        <v>172.3</v>
      </c>
      <c r="D175" s="384">
        <v>173.7</v>
      </c>
      <c r="E175" s="384">
        <v>173.8</v>
      </c>
      <c r="F175" s="384">
        <v>172.2</v>
      </c>
      <c r="G175" s="384">
        <v>172.2</v>
      </c>
      <c r="H175" s="384">
        <v>172.2</v>
      </c>
      <c r="I175" s="385">
        <v>172.6</v>
      </c>
      <c r="J175" s="385">
        <v>176.2</v>
      </c>
      <c r="K175" s="385">
        <v>176.3</v>
      </c>
      <c r="L175" s="385">
        <v>176.3</v>
      </c>
      <c r="M175" s="385">
        <v>176.4</v>
      </c>
      <c r="N175" s="385">
        <v>173.9</v>
      </c>
      <c r="O175" s="381">
        <v>9</v>
      </c>
    </row>
    <row r="176" spans="1:15" x14ac:dyDescent="0.2">
      <c r="A176" s="379">
        <v>2008</v>
      </c>
      <c r="B176" s="387">
        <v>177.3</v>
      </c>
      <c r="C176" s="396">
        <v>178.6</v>
      </c>
      <c r="D176" s="397">
        <v>178.8</v>
      </c>
      <c r="E176" s="397">
        <v>178.8</v>
      </c>
      <c r="F176" s="397">
        <v>178.9</v>
      </c>
      <c r="G176" s="397">
        <v>179.2</v>
      </c>
      <c r="H176" s="398">
        <v>179.8</v>
      </c>
      <c r="I176" s="398">
        <v>179.9</v>
      </c>
      <c r="J176" s="398">
        <v>186.7</v>
      </c>
      <c r="K176" s="398">
        <v>186.8</v>
      </c>
      <c r="L176" s="398">
        <v>186.8</v>
      </c>
      <c r="M176" s="398">
        <v>186.9</v>
      </c>
      <c r="N176" s="398">
        <v>181.5</v>
      </c>
      <c r="O176" s="381">
        <v>10</v>
      </c>
    </row>
    <row r="177" spans="1:15" x14ac:dyDescent="0.2">
      <c r="A177" s="379">
        <v>2009</v>
      </c>
      <c r="B177" s="388">
        <v>187.4</v>
      </c>
      <c r="C177" s="388">
        <v>187.4</v>
      </c>
      <c r="D177" s="388">
        <v>187.4</v>
      </c>
      <c r="E177" s="388">
        <v>187.4</v>
      </c>
      <c r="F177" s="388">
        <v>187.5</v>
      </c>
      <c r="G177" s="388">
        <v>187.6</v>
      </c>
      <c r="H177" s="388">
        <v>187.9</v>
      </c>
      <c r="I177" s="388">
        <v>188</v>
      </c>
      <c r="J177" s="460">
        <v>188.1</v>
      </c>
      <c r="K177" s="460">
        <v>188.1</v>
      </c>
      <c r="L177" s="460">
        <v>188.4</v>
      </c>
      <c r="M177" s="460">
        <v>188.5</v>
      </c>
      <c r="N177" s="460">
        <v>187.8</v>
      </c>
      <c r="O177" s="381">
        <v>11</v>
      </c>
    </row>
    <row r="178" spans="1:15" x14ac:dyDescent="0.2">
      <c r="A178" s="379">
        <v>2010</v>
      </c>
      <c r="B178" s="388">
        <v>188.7</v>
      </c>
      <c r="C178" s="388">
        <v>192.6</v>
      </c>
      <c r="D178" s="388">
        <v>193.7</v>
      </c>
      <c r="E178" s="388">
        <v>193.9</v>
      </c>
      <c r="F178" s="388">
        <v>194.3</v>
      </c>
      <c r="G178" s="388">
        <v>194.2</v>
      </c>
      <c r="H178" s="388">
        <v>194.9</v>
      </c>
      <c r="I178" s="388">
        <v>194.9</v>
      </c>
      <c r="J178" s="65">
        <v>194.9</v>
      </c>
      <c r="K178" s="391">
        <v>195</v>
      </c>
      <c r="L178" s="391">
        <v>197.1</v>
      </c>
      <c r="M178" s="391">
        <v>197</v>
      </c>
      <c r="N178" s="391">
        <v>194.3</v>
      </c>
      <c r="O178" s="381">
        <v>12</v>
      </c>
    </row>
    <row r="179" spans="1:15" x14ac:dyDescent="0.2">
      <c r="A179" s="379">
        <v>2011</v>
      </c>
      <c r="B179">
        <v>197.2</v>
      </c>
      <c r="C179" s="388">
        <v>197.8</v>
      </c>
      <c r="D179" s="385">
        <v>198.6</v>
      </c>
      <c r="E179" s="389">
        <v>198.1</v>
      </c>
      <c r="F179" s="389">
        <v>198.2</v>
      </c>
      <c r="G179" s="389">
        <v>200.4</v>
      </c>
      <c r="H179" s="389">
        <v>200.7</v>
      </c>
      <c r="I179" s="389"/>
      <c r="J179" s="389"/>
      <c r="K179" s="389"/>
      <c r="L179" s="389"/>
      <c r="M179" s="389"/>
      <c r="N179" s="389"/>
      <c r="O179" s="381">
        <v>13</v>
      </c>
    </row>
    <row r="180" spans="1:15" x14ac:dyDescent="0.2">
      <c r="A180" s="379"/>
      <c r="B180" s="368"/>
      <c r="C180" s="368"/>
      <c r="D180" s="368"/>
      <c r="E180" s="368"/>
      <c r="F180" s="368"/>
      <c r="G180" s="368"/>
      <c r="H180" s="368"/>
      <c r="I180" s="368"/>
      <c r="J180" s="368"/>
      <c r="K180" s="368"/>
      <c r="L180" s="368"/>
      <c r="M180" s="368"/>
      <c r="N180" s="368"/>
      <c r="O180" s="381">
        <v>14</v>
      </c>
    </row>
    <row r="181" spans="1:15" ht="15" x14ac:dyDescent="0.3">
      <c r="B181" s="372" t="s">
        <v>746</v>
      </c>
      <c r="D181" s="372">
        <v>198812</v>
      </c>
    </row>
    <row r="182" spans="1:15" x14ac:dyDescent="0.2">
      <c r="A182" s="27" t="s">
        <v>626</v>
      </c>
      <c r="B182" s="373">
        <v>3363401</v>
      </c>
      <c r="C182" s="27" t="s">
        <v>747</v>
      </c>
      <c r="O182" t="s">
        <v>713</v>
      </c>
    </row>
    <row r="183" spans="1:15" x14ac:dyDescent="0.2">
      <c r="A183" s="27"/>
      <c r="B183" s="359" t="s">
        <v>714</v>
      </c>
      <c r="C183" s="374" t="s">
        <v>715</v>
      </c>
      <c r="D183" s="375" t="s">
        <v>716</v>
      </c>
      <c r="E183" s="375" t="s">
        <v>717</v>
      </c>
      <c r="F183" s="375" t="s">
        <v>718</v>
      </c>
      <c r="G183" s="375" t="s">
        <v>719</v>
      </c>
      <c r="H183" s="375" t="s">
        <v>720</v>
      </c>
      <c r="I183" s="375" t="s">
        <v>721</v>
      </c>
      <c r="J183" s="375" t="s">
        <v>722</v>
      </c>
      <c r="K183" s="375" t="s">
        <v>723</v>
      </c>
      <c r="L183" s="375" t="s">
        <v>724</v>
      </c>
      <c r="M183" s="375" t="s">
        <v>725</v>
      </c>
      <c r="N183" s="375" t="s">
        <v>726</v>
      </c>
    </row>
    <row r="184" spans="1:15" x14ac:dyDescent="0.2">
      <c r="A184" s="376" t="s">
        <v>730</v>
      </c>
      <c r="B184" s="377">
        <v>1</v>
      </c>
      <c r="C184" s="377">
        <v>2</v>
      </c>
      <c r="D184" s="377">
        <v>3</v>
      </c>
      <c r="E184" s="377">
        <v>4</v>
      </c>
      <c r="F184" s="377">
        <v>5</v>
      </c>
      <c r="G184" s="377">
        <v>6</v>
      </c>
      <c r="H184" s="377">
        <v>7</v>
      </c>
      <c r="I184" s="377">
        <v>8</v>
      </c>
      <c r="J184" s="377">
        <v>9</v>
      </c>
      <c r="K184" s="377">
        <v>10</v>
      </c>
      <c r="L184" s="377">
        <v>11</v>
      </c>
      <c r="M184" s="377">
        <v>12</v>
      </c>
      <c r="N184" s="377">
        <v>13</v>
      </c>
      <c r="O184" s="378">
        <v>1</v>
      </c>
    </row>
    <row r="185" spans="1:15" x14ac:dyDescent="0.2">
      <c r="A185" s="379">
        <v>2000</v>
      </c>
      <c r="B185" s="380">
        <v>108.8</v>
      </c>
      <c r="C185" s="380">
        <v>108.7</v>
      </c>
      <c r="D185" s="380">
        <v>108.8</v>
      </c>
      <c r="E185" s="380">
        <v>108.8</v>
      </c>
      <c r="F185" s="380">
        <v>108.3</v>
      </c>
      <c r="G185" s="380">
        <v>108.6</v>
      </c>
      <c r="H185" s="380">
        <v>108.7</v>
      </c>
      <c r="I185" s="380">
        <v>108.6</v>
      </c>
      <c r="J185" s="380">
        <v>108.6</v>
      </c>
      <c r="K185" s="380">
        <v>108.5</v>
      </c>
      <c r="L185" s="380">
        <v>108.3</v>
      </c>
      <c r="M185" s="380">
        <v>108.3</v>
      </c>
      <c r="N185" s="380">
        <v>108.6</v>
      </c>
      <c r="O185" s="381">
        <v>2</v>
      </c>
    </row>
    <row r="186" spans="1:15" x14ac:dyDescent="0.2">
      <c r="A186" s="379">
        <v>2001</v>
      </c>
      <c r="B186" s="380">
        <v>108.1</v>
      </c>
      <c r="C186" s="380">
        <v>108.1</v>
      </c>
      <c r="D186" s="380">
        <v>108.1</v>
      </c>
      <c r="E186" s="380">
        <v>107.9</v>
      </c>
      <c r="F186" s="380">
        <v>106.8</v>
      </c>
      <c r="G186" s="380">
        <v>106.8</v>
      </c>
      <c r="H186" s="380">
        <v>106.9</v>
      </c>
      <c r="I186" s="380">
        <v>106.9</v>
      </c>
      <c r="J186" s="380">
        <v>107</v>
      </c>
      <c r="K186" s="380">
        <v>107</v>
      </c>
      <c r="L186" s="380">
        <v>107</v>
      </c>
      <c r="M186" s="380">
        <v>107</v>
      </c>
      <c r="N186" s="380">
        <v>107.3</v>
      </c>
      <c r="O186" s="381">
        <v>3</v>
      </c>
    </row>
    <row r="187" spans="1:15" x14ac:dyDescent="0.2">
      <c r="A187" s="379">
        <v>2002</v>
      </c>
      <c r="B187" s="380">
        <v>106.9</v>
      </c>
      <c r="C187" s="380">
        <v>106.9</v>
      </c>
      <c r="D187" s="380">
        <v>106.9</v>
      </c>
      <c r="E187" s="380">
        <v>106.8</v>
      </c>
      <c r="F187" s="380">
        <v>106.7</v>
      </c>
      <c r="G187" s="380">
        <v>106.7</v>
      </c>
      <c r="H187" s="380">
        <v>106.6</v>
      </c>
      <c r="I187" s="380">
        <v>106.7</v>
      </c>
      <c r="J187" s="380">
        <v>106.7</v>
      </c>
      <c r="K187" s="380">
        <v>106.6</v>
      </c>
      <c r="L187" s="380">
        <v>106.6</v>
      </c>
      <c r="M187" s="380">
        <v>106.4</v>
      </c>
      <c r="N187" s="380">
        <v>106.7</v>
      </c>
      <c r="O187" s="381">
        <v>4</v>
      </c>
    </row>
    <row r="188" spans="1:15" x14ac:dyDescent="0.2">
      <c r="A188" s="379">
        <v>2003</v>
      </c>
      <c r="B188" s="380">
        <v>106.4</v>
      </c>
      <c r="C188" s="380">
        <v>106.2</v>
      </c>
      <c r="D188" s="380">
        <v>106.2</v>
      </c>
      <c r="E188" s="380">
        <v>106.2</v>
      </c>
      <c r="F188" s="380">
        <v>106.2</v>
      </c>
      <c r="G188" s="380">
        <v>106</v>
      </c>
      <c r="H188" s="380">
        <v>107</v>
      </c>
      <c r="I188" s="380">
        <v>107</v>
      </c>
      <c r="J188" s="380">
        <v>107.1</v>
      </c>
      <c r="K188" s="380">
        <v>106.6</v>
      </c>
      <c r="L188" s="380">
        <v>106.4</v>
      </c>
      <c r="M188" s="380">
        <v>106</v>
      </c>
      <c r="N188" s="380">
        <v>106.5</v>
      </c>
      <c r="O188" s="381">
        <v>5</v>
      </c>
    </row>
    <row r="189" spans="1:15" x14ac:dyDescent="0.2">
      <c r="A189" s="379">
        <v>2004</v>
      </c>
      <c r="B189" s="380">
        <v>105.5</v>
      </c>
      <c r="C189" s="380">
        <v>105.5</v>
      </c>
      <c r="D189" s="380">
        <v>105.7</v>
      </c>
      <c r="E189" s="380">
        <v>105.7</v>
      </c>
      <c r="F189" s="380">
        <v>105.7</v>
      </c>
      <c r="G189" s="380">
        <v>105.5</v>
      </c>
      <c r="H189" s="380">
        <v>105.5</v>
      </c>
      <c r="I189" s="380">
        <v>105.2</v>
      </c>
      <c r="J189" s="380">
        <v>105.2</v>
      </c>
      <c r="K189" s="380">
        <v>105.2</v>
      </c>
      <c r="L189" s="380">
        <v>105.2</v>
      </c>
      <c r="M189" s="380">
        <v>105.5</v>
      </c>
      <c r="N189" s="380">
        <v>105.4</v>
      </c>
      <c r="O189" s="381">
        <v>6</v>
      </c>
    </row>
    <row r="190" spans="1:15" x14ac:dyDescent="0.2">
      <c r="A190" s="379">
        <v>2005</v>
      </c>
      <c r="B190" s="380">
        <v>106.2</v>
      </c>
      <c r="C190" s="380">
        <v>106.2</v>
      </c>
      <c r="D190" s="382">
        <v>106.2</v>
      </c>
      <c r="E190" s="382">
        <v>106.2</v>
      </c>
      <c r="F190" s="382">
        <v>106.2</v>
      </c>
      <c r="G190" s="382">
        <v>106.2</v>
      </c>
      <c r="H190" s="382">
        <v>106.5</v>
      </c>
      <c r="I190" s="382">
        <v>106.6</v>
      </c>
      <c r="J190" s="382">
        <v>106.3</v>
      </c>
      <c r="K190" s="382">
        <v>106.3</v>
      </c>
      <c r="L190" s="382">
        <v>106.8</v>
      </c>
      <c r="M190" s="382">
        <v>106.8</v>
      </c>
      <c r="N190" s="382">
        <v>106.4</v>
      </c>
      <c r="O190" s="381">
        <v>7</v>
      </c>
    </row>
    <row r="191" spans="1:15" x14ac:dyDescent="0.2">
      <c r="A191" s="379">
        <v>2006</v>
      </c>
      <c r="B191" s="382">
        <v>107</v>
      </c>
      <c r="C191" s="383">
        <v>107.2</v>
      </c>
      <c r="D191" s="384">
        <v>107.2</v>
      </c>
      <c r="E191" s="384">
        <v>107.3</v>
      </c>
      <c r="F191" s="384">
        <v>107.2</v>
      </c>
      <c r="G191" s="384">
        <v>107.2</v>
      </c>
      <c r="H191" s="384">
        <v>107</v>
      </c>
      <c r="I191" s="385">
        <v>106.9</v>
      </c>
      <c r="J191" s="385">
        <v>106.9</v>
      </c>
      <c r="K191" s="385">
        <v>106.9</v>
      </c>
      <c r="L191" s="385">
        <v>106.9</v>
      </c>
      <c r="M191" s="385">
        <v>106.9</v>
      </c>
      <c r="N191" s="385">
        <v>107</v>
      </c>
      <c r="O191" s="381">
        <v>8</v>
      </c>
    </row>
    <row r="192" spans="1:15" x14ac:dyDescent="0.2">
      <c r="A192" s="379">
        <v>2007</v>
      </c>
      <c r="B192" s="386">
        <v>107</v>
      </c>
      <c r="C192" s="386">
        <v>107.4</v>
      </c>
      <c r="D192" s="384">
        <v>107.4</v>
      </c>
      <c r="E192" s="384">
        <v>107.5</v>
      </c>
      <c r="F192" s="384">
        <v>107.5</v>
      </c>
      <c r="G192" s="384">
        <v>107.5</v>
      </c>
      <c r="H192" s="384">
        <v>107.1</v>
      </c>
      <c r="I192" s="385">
        <v>107.1</v>
      </c>
      <c r="J192" s="385">
        <v>107.1</v>
      </c>
      <c r="K192" s="385">
        <v>107</v>
      </c>
      <c r="L192" s="385">
        <v>107</v>
      </c>
      <c r="M192" s="385">
        <v>107</v>
      </c>
      <c r="N192" s="385">
        <v>107.2</v>
      </c>
      <c r="O192" s="381">
        <v>9</v>
      </c>
    </row>
    <row r="193" spans="1:15" x14ac:dyDescent="0.2">
      <c r="A193" s="379">
        <v>2008</v>
      </c>
      <c r="B193" s="387">
        <v>107.1</v>
      </c>
      <c r="C193" s="396">
        <v>107</v>
      </c>
      <c r="D193" s="397">
        <v>106.4</v>
      </c>
      <c r="E193" s="397">
        <v>106.7</v>
      </c>
      <c r="F193" s="397">
        <v>106.7</v>
      </c>
      <c r="G193" s="397">
        <v>107.5</v>
      </c>
      <c r="H193" s="398">
        <v>107.2</v>
      </c>
      <c r="I193" s="398">
        <v>109.5</v>
      </c>
      <c r="J193" s="398">
        <v>110.7</v>
      </c>
      <c r="K193" s="398">
        <v>111.6</v>
      </c>
      <c r="L193" s="398">
        <v>111.9</v>
      </c>
      <c r="M193" s="398">
        <v>111.2</v>
      </c>
      <c r="N193" s="398">
        <v>108.6</v>
      </c>
      <c r="O193" s="381">
        <v>10</v>
      </c>
    </row>
    <row r="194" spans="1:15" x14ac:dyDescent="0.2">
      <c r="A194" s="379">
        <v>2009</v>
      </c>
      <c r="B194" s="388">
        <v>110.6</v>
      </c>
      <c r="C194" s="388">
        <v>110.6</v>
      </c>
      <c r="D194" s="388">
        <v>110.5</v>
      </c>
      <c r="E194" s="388">
        <v>110.5</v>
      </c>
      <c r="F194" s="388">
        <v>110.4</v>
      </c>
      <c r="G194" s="388">
        <v>109.9</v>
      </c>
      <c r="H194" s="388">
        <v>109.8</v>
      </c>
      <c r="I194" s="388">
        <v>108.6</v>
      </c>
      <c r="J194" s="460">
        <v>108.9</v>
      </c>
      <c r="K194" s="460">
        <v>108.8</v>
      </c>
      <c r="L194" s="460">
        <v>108.8</v>
      </c>
      <c r="M194" s="460">
        <v>108.8</v>
      </c>
      <c r="N194" s="460">
        <v>109.7</v>
      </c>
      <c r="O194" s="381">
        <v>11</v>
      </c>
    </row>
    <row r="195" spans="1:15" x14ac:dyDescent="0.2">
      <c r="A195" s="379">
        <v>2010</v>
      </c>
      <c r="B195" s="388">
        <v>108.7</v>
      </c>
      <c r="C195" s="388">
        <v>108.6</v>
      </c>
      <c r="D195" s="388">
        <v>108.8</v>
      </c>
      <c r="E195" s="388">
        <v>109.4</v>
      </c>
      <c r="F195" s="388">
        <v>109.7</v>
      </c>
      <c r="G195" s="388">
        <v>109.8</v>
      </c>
      <c r="H195" s="388">
        <v>109.8</v>
      </c>
      <c r="I195" s="388">
        <v>109.8</v>
      </c>
      <c r="J195" s="65">
        <v>109.8</v>
      </c>
      <c r="K195" s="391">
        <v>109.6</v>
      </c>
      <c r="L195" s="391">
        <v>109.6</v>
      </c>
      <c r="M195" s="391">
        <v>110.1</v>
      </c>
      <c r="N195" s="391">
        <v>109.5</v>
      </c>
      <c r="O195" s="381">
        <v>12</v>
      </c>
    </row>
    <row r="196" spans="1:15" x14ac:dyDescent="0.2">
      <c r="A196" s="379">
        <v>2011</v>
      </c>
      <c r="B196">
        <v>110.2</v>
      </c>
      <c r="C196" s="388">
        <v>110.7</v>
      </c>
      <c r="D196" s="385">
        <v>111.5</v>
      </c>
      <c r="E196" s="389">
        <v>111.1</v>
      </c>
      <c r="F196" s="389">
        <v>111.3</v>
      </c>
      <c r="G196" s="389">
        <v>111.9</v>
      </c>
      <c r="H196" s="389">
        <v>112</v>
      </c>
      <c r="I196" s="389"/>
      <c r="J196" s="389"/>
      <c r="K196" s="389"/>
      <c r="L196" s="389"/>
      <c r="M196" s="389"/>
      <c r="N196" s="389"/>
      <c r="O196" s="381">
        <v>13</v>
      </c>
    </row>
    <row r="197" spans="1:15" x14ac:dyDescent="0.2">
      <c r="A197" s="379"/>
      <c r="B197" s="368"/>
      <c r="C197" s="368"/>
      <c r="D197" s="368"/>
      <c r="E197" s="368"/>
      <c r="F197" s="368"/>
      <c r="G197" s="368"/>
      <c r="H197" s="368"/>
      <c r="I197" s="368"/>
      <c r="J197" s="368"/>
      <c r="K197" s="368"/>
      <c r="L197" s="368"/>
      <c r="M197" s="368"/>
      <c r="N197" s="368"/>
      <c r="O197" s="381">
        <v>14</v>
      </c>
    </row>
    <row r="198" spans="1:15" ht="15" x14ac:dyDescent="0.3">
      <c r="B198" s="372" t="s">
        <v>748</v>
      </c>
      <c r="D198" s="372">
        <v>198506</v>
      </c>
    </row>
    <row r="199" spans="1:15" x14ac:dyDescent="0.2">
      <c r="A199" s="27" t="s">
        <v>626</v>
      </c>
      <c r="B199" s="373" t="s">
        <v>670</v>
      </c>
      <c r="C199" s="27" t="s">
        <v>749</v>
      </c>
      <c r="O199" t="s">
        <v>713</v>
      </c>
    </row>
    <row r="200" spans="1:15" x14ac:dyDescent="0.2">
      <c r="A200" s="27"/>
      <c r="B200" s="359" t="s">
        <v>714</v>
      </c>
      <c r="C200" s="374" t="s">
        <v>715</v>
      </c>
      <c r="D200" s="375" t="s">
        <v>716</v>
      </c>
      <c r="E200" s="375" t="s">
        <v>717</v>
      </c>
      <c r="F200" s="375" t="s">
        <v>718</v>
      </c>
      <c r="G200" s="375" t="s">
        <v>719</v>
      </c>
      <c r="H200" s="375" t="s">
        <v>720</v>
      </c>
      <c r="I200" s="375" t="s">
        <v>721</v>
      </c>
      <c r="J200" s="375" t="s">
        <v>722</v>
      </c>
      <c r="K200" s="375" t="s">
        <v>723</v>
      </c>
      <c r="L200" s="375" t="s">
        <v>724</v>
      </c>
      <c r="M200" s="375" t="s">
        <v>725</v>
      </c>
      <c r="N200" s="375" t="s">
        <v>726</v>
      </c>
    </row>
    <row r="201" spans="1:15" x14ac:dyDescent="0.2">
      <c r="A201" s="376" t="s">
        <v>730</v>
      </c>
      <c r="B201" s="377">
        <v>1</v>
      </c>
      <c r="C201" s="377">
        <v>2</v>
      </c>
      <c r="D201" s="377">
        <v>3</v>
      </c>
      <c r="E201" s="377">
        <v>4</v>
      </c>
      <c r="F201" s="377">
        <v>5</v>
      </c>
      <c r="G201" s="377">
        <v>6</v>
      </c>
      <c r="H201" s="377">
        <v>7</v>
      </c>
      <c r="I201" s="377">
        <v>8</v>
      </c>
      <c r="J201" s="377">
        <v>9</v>
      </c>
      <c r="K201" s="377">
        <v>10</v>
      </c>
      <c r="L201" s="377">
        <v>11</v>
      </c>
      <c r="M201" s="377">
        <v>12</v>
      </c>
      <c r="N201" s="377">
        <v>13</v>
      </c>
      <c r="O201" s="378">
        <v>1</v>
      </c>
    </row>
    <row r="202" spans="1:15" x14ac:dyDescent="0.2">
      <c r="A202" s="379">
        <v>2000</v>
      </c>
      <c r="B202" s="380">
        <v>143.4</v>
      </c>
      <c r="C202" s="380">
        <v>143.9</v>
      </c>
      <c r="D202" s="380">
        <v>143.80000000000001</v>
      </c>
      <c r="E202" s="380">
        <v>144.5</v>
      </c>
      <c r="F202" s="380">
        <v>145.1</v>
      </c>
      <c r="G202" s="380">
        <v>144.30000000000001</v>
      </c>
      <c r="H202" s="380">
        <v>144.5</v>
      </c>
      <c r="I202" s="380">
        <v>144</v>
      </c>
      <c r="J202" s="380">
        <v>144</v>
      </c>
      <c r="K202" s="380">
        <v>143.80000000000001</v>
      </c>
      <c r="L202" s="380">
        <v>143.69999999999999</v>
      </c>
      <c r="M202" s="380">
        <v>144.80000000000001</v>
      </c>
      <c r="N202" s="380">
        <v>144.1</v>
      </c>
      <c r="O202" s="381">
        <v>2</v>
      </c>
    </row>
    <row r="203" spans="1:15" x14ac:dyDescent="0.2">
      <c r="A203" s="379">
        <v>2001</v>
      </c>
      <c r="B203" s="380">
        <v>144.19999999999999</v>
      </c>
      <c r="C203" s="380">
        <v>146.6</v>
      </c>
      <c r="D203" s="380">
        <v>146.69999999999999</v>
      </c>
      <c r="E203" s="380">
        <v>147.9</v>
      </c>
      <c r="F203" s="380">
        <v>149.6</v>
      </c>
      <c r="G203" s="380">
        <v>150.1</v>
      </c>
      <c r="H203" s="380">
        <v>150.9</v>
      </c>
      <c r="I203" s="380">
        <v>149.5</v>
      </c>
      <c r="J203" s="380">
        <v>150.4</v>
      </c>
      <c r="K203" s="380">
        <v>150.6</v>
      </c>
      <c r="L203" s="380">
        <v>149.80000000000001</v>
      </c>
      <c r="M203" s="380">
        <v>148.1</v>
      </c>
      <c r="N203" s="380">
        <v>148.69999999999999</v>
      </c>
      <c r="O203" s="381">
        <v>3</v>
      </c>
    </row>
    <row r="204" spans="1:15" x14ac:dyDescent="0.2">
      <c r="A204" s="379">
        <v>2002</v>
      </c>
      <c r="B204" s="380">
        <v>149.6</v>
      </c>
      <c r="C204" s="380">
        <v>150.4</v>
      </c>
      <c r="D204" s="380">
        <v>150.30000000000001</v>
      </c>
      <c r="E204" s="380">
        <v>151.69999999999999</v>
      </c>
      <c r="F204" s="380">
        <v>150.1</v>
      </c>
      <c r="G204" s="380">
        <v>151.19999999999999</v>
      </c>
      <c r="H204" s="380">
        <v>149.69999999999999</v>
      </c>
      <c r="I204" s="380">
        <v>150.80000000000001</v>
      </c>
      <c r="J204" s="380">
        <v>150.4</v>
      </c>
      <c r="K204" s="380">
        <v>151.5</v>
      </c>
      <c r="L204" s="380">
        <v>151.69999999999999</v>
      </c>
      <c r="M204" s="380">
        <v>154</v>
      </c>
      <c r="N204" s="380">
        <v>151</v>
      </c>
      <c r="O204" s="381">
        <v>4</v>
      </c>
    </row>
    <row r="205" spans="1:15" x14ac:dyDescent="0.2">
      <c r="A205" s="379">
        <v>2003</v>
      </c>
      <c r="B205" s="380">
        <v>154</v>
      </c>
      <c r="C205" s="380">
        <v>153.30000000000001</v>
      </c>
      <c r="D205" s="380">
        <v>153.30000000000001</v>
      </c>
      <c r="E205" s="380">
        <v>153.69999999999999</v>
      </c>
      <c r="F205" s="380">
        <v>151.6</v>
      </c>
      <c r="G205" s="380">
        <v>153.69999999999999</v>
      </c>
      <c r="H205" s="380">
        <v>150.6</v>
      </c>
      <c r="I205" s="380">
        <v>151.9</v>
      </c>
      <c r="J205" s="380">
        <v>150.9</v>
      </c>
      <c r="K205" s="380">
        <v>151.1</v>
      </c>
      <c r="L205" s="380">
        <v>151.6</v>
      </c>
      <c r="M205" s="380">
        <v>150.5</v>
      </c>
      <c r="N205" s="380">
        <v>152.19999999999999</v>
      </c>
      <c r="O205" s="381">
        <v>5</v>
      </c>
    </row>
    <row r="206" spans="1:15" x14ac:dyDescent="0.2">
      <c r="A206" s="379">
        <v>2004</v>
      </c>
      <c r="B206" s="380">
        <v>152.1</v>
      </c>
      <c r="C206" s="380">
        <v>150.4</v>
      </c>
      <c r="D206" s="380">
        <v>152</v>
      </c>
      <c r="E206" s="380">
        <v>153.9</v>
      </c>
      <c r="F206" s="380">
        <v>154.5</v>
      </c>
      <c r="G206" s="380">
        <v>154.5</v>
      </c>
      <c r="H206" s="380">
        <v>157.80000000000001</v>
      </c>
      <c r="I206" s="380">
        <v>157.19999999999999</v>
      </c>
      <c r="J206" s="380">
        <v>157.1</v>
      </c>
      <c r="K206" s="380">
        <v>157.30000000000001</v>
      </c>
      <c r="L206" s="380">
        <v>154.69999999999999</v>
      </c>
      <c r="M206" s="380">
        <v>155.80000000000001</v>
      </c>
      <c r="N206" s="380">
        <v>154.80000000000001</v>
      </c>
      <c r="O206" s="381">
        <v>6</v>
      </c>
    </row>
    <row r="207" spans="1:15" x14ac:dyDescent="0.2">
      <c r="A207" s="379">
        <v>2005</v>
      </c>
      <c r="B207" s="380">
        <v>160</v>
      </c>
      <c r="C207" s="380">
        <v>159.80000000000001</v>
      </c>
      <c r="D207" s="382">
        <v>161.9</v>
      </c>
      <c r="E207" s="382">
        <v>163.5</v>
      </c>
      <c r="F207" s="382">
        <v>162.30000000000001</v>
      </c>
      <c r="G207" s="382">
        <v>164</v>
      </c>
      <c r="H207" s="382">
        <v>160.4</v>
      </c>
      <c r="I207" s="382">
        <v>161</v>
      </c>
      <c r="J207" s="382">
        <v>161.30000000000001</v>
      </c>
      <c r="K207" s="382">
        <v>163.9</v>
      </c>
      <c r="L207" s="382">
        <v>163.4</v>
      </c>
      <c r="M207" s="382">
        <v>162</v>
      </c>
      <c r="N207" s="382">
        <v>162</v>
      </c>
      <c r="O207" s="381">
        <v>7</v>
      </c>
    </row>
    <row r="208" spans="1:15" x14ac:dyDescent="0.2">
      <c r="A208" s="379">
        <v>2006</v>
      </c>
      <c r="B208" s="382">
        <v>164.4</v>
      </c>
      <c r="C208" s="383">
        <v>166.6</v>
      </c>
      <c r="D208" s="384">
        <v>167.2</v>
      </c>
      <c r="E208" s="384">
        <v>167.6</v>
      </c>
      <c r="F208" s="384">
        <v>167.3</v>
      </c>
      <c r="G208" s="384">
        <v>168.5</v>
      </c>
      <c r="H208" s="384">
        <v>168</v>
      </c>
      <c r="I208" s="385">
        <v>170.9</v>
      </c>
      <c r="J208" s="385">
        <v>172.1</v>
      </c>
      <c r="K208" s="385">
        <v>172</v>
      </c>
      <c r="L208" s="385">
        <v>171.5</v>
      </c>
      <c r="M208" s="385">
        <v>175.4</v>
      </c>
      <c r="N208" s="385">
        <v>169.3</v>
      </c>
      <c r="O208" s="381">
        <v>8</v>
      </c>
    </row>
    <row r="209" spans="1:15" x14ac:dyDescent="0.2">
      <c r="A209" s="379">
        <v>2007</v>
      </c>
      <c r="B209" s="386">
        <v>177.7</v>
      </c>
      <c r="C209" s="386">
        <v>179.9</v>
      </c>
      <c r="D209" s="384">
        <v>181.3</v>
      </c>
      <c r="E209" s="384">
        <v>182.2</v>
      </c>
      <c r="F209" s="384">
        <v>182.2</v>
      </c>
      <c r="G209" s="384">
        <v>182.3</v>
      </c>
      <c r="H209" s="384">
        <v>182.7</v>
      </c>
      <c r="I209" s="385">
        <v>180.6</v>
      </c>
      <c r="J209" s="385">
        <v>185.1</v>
      </c>
      <c r="K209" s="385">
        <v>183.4</v>
      </c>
      <c r="L209" s="385">
        <v>184.3</v>
      </c>
      <c r="M209" s="385">
        <v>184.8</v>
      </c>
      <c r="N209" s="385">
        <v>182.2</v>
      </c>
      <c r="O209" s="381">
        <v>9</v>
      </c>
    </row>
    <row r="210" spans="1:15" x14ac:dyDescent="0.2">
      <c r="A210" s="379">
        <v>2008</v>
      </c>
      <c r="B210" s="387">
        <v>182.9</v>
      </c>
      <c r="C210" s="396">
        <v>185.7</v>
      </c>
      <c r="D210" s="397">
        <v>185.8</v>
      </c>
      <c r="E210" s="397">
        <v>187.7</v>
      </c>
      <c r="F210" s="397">
        <v>187.1</v>
      </c>
      <c r="G210" s="397">
        <v>187.7</v>
      </c>
      <c r="H210" s="398">
        <v>189.8</v>
      </c>
      <c r="I210" s="398">
        <v>192.7</v>
      </c>
      <c r="J210" s="398">
        <v>192.3</v>
      </c>
      <c r="K210" s="398">
        <v>193.5</v>
      </c>
      <c r="L210" s="398">
        <v>192.6</v>
      </c>
      <c r="M210" s="398">
        <v>194.2</v>
      </c>
      <c r="N210" s="398">
        <v>189.3</v>
      </c>
      <c r="O210" s="381">
        <v>10</v>
      </c>
    </row>
    <row r="211" spans="1:15" x14ac:dyDescent="0.2">
      <c r="A211" s="379">
        <v>2009</v>
      </c>
      <c r="B211" s="388">
        <v>196</v>
      </c>
      <c r="C211" s="388">
        <v>192</v>
      </c>
      <c r="D211" s="388">
        <v>195.2</v>
      </c>
      <c r="E211" s="388">
        <v>196.9</v>
      </c>
      <c r="F211" s="388">
        <v>192.2</v>
      </c>
      <c r="G211" s="388">
        <v>193.4</v>
      </c>
      <c r="H211" s="388">
        <v>193.4</v>
      </c>
      <c r="I211" s="388">
        <v>195.8</v>
      </c>
      <c r="J211" s="460">
        <v>195.6</v>
      </c>
      <c r="K211" s="460">
        <v>196.3</v>
      </c>
      <c r="L211" s="460">
        <v>196.8</v>
      </c>
      <c r="M211" s="460">
        <v>196.7</v>
      </c>
      <c r="N211" s="460">
        <v>195</v>
      </c>
      <c r="O211" s="381">
        <v>11</v>
      </c>
    </row>
    <row r="212" spans="1:15" x14ac:dyDescent="0.2">
      <c r="A212" s="379">
        <v>2010</v>
      </c>
      <c r="B212" s="388">
        <v>196.4</v>
      </c>
      <c r="C212" s="388">
        <v>195.4</v>
      </c>
      <c r="D212" s="388">
        <v>196.7</v>
      </c>
      <c r="E212" s="388">
        <v>196.9</v>
      </c>
      <c r="F212" s="388">
        <v>196.4</v>
      </c>
      <c r="G212" s="388">
        <v>198.2</v>
      </c>
      <c r="H212" s="388">
        <v>197.1</v>
      </c>
      <c r="I212" s="388">
        <v>198.1</v>
      </c>
      <c r="J212" s="65">
        <v>197.5</v>
      </c>
      <c r="K212" s="391">
        <v>198.5</v>
      </c>
      <c r="L212" s="391">
        <v>197.9</v>
      </c>
      <c r="M212" s="391">
        <v>198.9</v>
      </c>
      <c r="N212" s="391">
        <v>197.3</v>
      </c>
      <c r="O212" s="381">
        <v>12</v>
      </c>
    </row>
    <row r="213" spans="1:15" x14ac:dyDescent="0.2">
      <c r="A213" s="379">
        <v>2011</v>
      </c>
      <c r="B213">
        <v>196.6</v>
      </c>
      <c r="C213" s="388">
        <v>197</v>
      </c>
      <c r="D213" s="385">
        <v>200.3</v>
      </c>
      <c r="E213" s="389">
        <v>201.4</v>
      </c>
      <c r="F213" s="389">
        <v>199.5</v>
      </c>
      <c r="G213" s="389">
        <v>200.1</v>
      </c>
      <c r="H213" s="389">
        <v>201.6</v>
      </c>
      <c r="I213" s="389"/>
      <c r="J213" s="389"/>
      <c r="K213" s="389"/>
      <c r="L213" s="389"/>
      <c r="M213" s="389"/>
      <c r="N213" s="389"/>
      <c r="O213" s="381">
        <v>13</v>
      </c>
    </row>
    <row r="214" spans="1:15" x14ac:dyDescent="0.2">
      <c r="A214" s="379"/>
      <c r="B214" s="368"/>
      <c r="C214" s="368"/>
      <c r="D214" s="368"/>
      <c r="E214" s="368"/>
      <c r="F214" s="368"/>
      <c r="G214" s="368"/>
      <c r="H214" s="368"/>
      <c r="I214" s="368"/>
      <c r="J214" s="368"/>
      <c r="K214" s="368"/>
      <c r="L214" s="368"/>
      <c r="M214" s="368"/>
      <c r="N214" s="368"/>
      <c r="O214" s="381">
        <v>14</v>
      </c>
    </row>
    <row r="215" spans="1:15" ht="15" x14ac:dyDescent="0.3">
      <c r="B215" s="372" t="s">
        <v>750</v>
      </c>
      <c r="D215" s="372">
        <v>198212</v>
      </c>
    </row>
    <row r="216" spans="1:15" x14ac:dyDescent="0.2">
      <c r="A216" s="27" t="s">
        <v>626</v>
      </c>
      <c r="B216" s="373">
        <v>3359291</v>
      </c>
      <c r="C216" s="27" t="s">
        <v>751</v>
      </c>
      <c r="O216" t="s">
        <v>713</v>
      </c>
    </row>
    <row r="217" spans="1:15" x14ac:dyDescent="0.2">
      <c r="A217" s="27"/>
      <c r="B217" s="359" t="s">
        <v>714</v>
      </c>
      <c r="C217" s="374" t="s">
        <v>715</v>
      </c>
      <c r="D217" s="375" t="s">
        <v>716</v>
      </c>
      <c r="E217" s="375" t="s">
        <v>717</v>
      </c>
      <c r="F217" s="375" t="s">
        <v>718</v>
      </c>
      <c r="G217" s="375" t="s">
        <v>719</v>
      </c>
      <c r="H217" s="375" t="s">
        <v>720</v>
      </c>
      <c r="I217" s="375" t="s">
        <v>721</v>
      </c>
      <c r="J217" s="375" t="s">
        <v>722</v>
      </c>
      <c r="K217" s="375" t="s">
        <v>723</v>
      </c>
      <c r="L217" s="375" t="s">
        <v>724</v>
      </c>
      <c r="M217" s="375" t="s">
        <v>725</v>
      </c>
      <c r="N217" s="375" t="s">
        <v>726</v>
      </c>
    </row>
    <row r="218" spans="1:15" x14ac:dyDescent="0.2">
      <c r="A218" s="376" t="s">
        <v>730</v>
      </c>
      <c r="B218" s="377">
        <v>1</v>
      </c>
      <c r="C218" s="377">
        <v>2</v>
      </c>
      <c r="D218" s="377">
        <v>3</v>
      </c>
      <c r="E218" s="377">
        <v>4</v>
      </c>
      <c r="F218" s="377">
        <v>5</v>
      </c>
      <c r="G218" s="377">
        <v>6</v>
      </c>
      <c r="H218" s="377">
        <v>7</v>
      </c>
      <c r="I218" s="377">
        <v>8</v>
      </c>
      <c r="J218" s="377">
        <v>9</v>
      </c>
      <c r="K218" s="377">
        <v>10</v>
      </c>
      <c r="L218" s="377">
        <v>11</v>
      </c>
      <c r="M218" s="377">
        <v>12</v>
      </c>
      <c r="N218" s="377">
        <v>13</v>
      </c>
      <c r="O218" s="378">
        <v>1</v>
      </c>
    </row>
    <row r="219" spans="1:15" x14ac:dyDescent="0.2">
      <c r="A219" s="379">
        <v>2000</v>
      </c>
      <c r="B219" s="380">
        <v>113.6</v>
      </c>
      <c r="C219" s="380">
        <v>115.9</v>
      </c>
      <c r="D219" s="380">
        <v>120.7</v>
      </c>
      <c r="E219" s="380">
        <v>122.3</v>
      </c>
      <c r="F219" s="380">
        <v>124</v>
      </c>
      <c r="G219" s="380">
        <v>120.9</v>
      </c>
      <c r="H219" s="380">
        <v>118.3</v>
      </c>
      <c r="I219" s="380">
        <v>118.4</v>
      </c>
      <c r="J219" s="380">
        <v>118.9</v>
      </c>
      <c r="K219" s="380">
        <v>118.1</v>
      </c>
      <c r="L219" s="380">
        <v>118.8</v>
      </c>
      <c r="M219" s="380">
        <v>117.3</v>
      </c>
      <c r="N219" s="380">
        <v>118.9</v>
      </c>
      <c r="O219" s="381">
        <v>2</v>
      </c>
    </row>
    <row r="220" spans="1:15" x14ac:dyDescent="0.2">
      <c r="A220" s="379">
        <v>2001</v>
      </c>
      <c r="B220" s="380">
        <v>117.7</v>
      </c>
      <c r="C220" s="380">
        <v>117.8</v>
      </c>
      <c r="D220" s="380">
        <v>116.5</v>
      </c>
      <c r="E220" s="380">
        <v>114.5</v>
      </c>
      <c r="F220" s="380">
        <v>113.2</v>
      </c>
      <c r="G220" s="380">
        <v>113.8</v>
      </c>
      <c r="H220" s="380">
        <v>109.6</v>
      </c>
      <c r="I220" s="380">
        <v>112.3</v>
      </c>
      <c r="J220" s="380">
        <v>111.5</v>
      </c>
      <c r="K220" s="380">
        <v>110.2</v>
      </c>
      <c r="L220" s="380">
        <v>109.9</v>
      </c>
      <c r="M220" s="380">
        <v>108.8</v>
      </c>
      <c r="N220" s="380">
        <v>113</v>
      </c>
      <c r="O220" s="381">
        <v>3</v>
      </c>
    </row>
    <row r="221" spans="1:15" x14ac:dyDescent="0.2">
      <c r="A221" s="379">
        <v>2002</v>
      </c>
      <c r="B221" s="380">
        <v>110.4</v>
      </c>
      <c r="C221" s="380">
        <v>110.2</v>
      </c>
      <c r="D221" s="380">
        <v>111.2</v>
      </c>
      <c r="E221" s="380">
        <v>110.4</v>
      </c>
      <c r="F221" s="380">
        <v>112.4</v>
      </c>
      <c r="G221" s="380">
        <v>111.9</v>
      </c>
      <c r="H221" s="380">
        <v>110</v>
      </c>
      <c r="I221" s="380">
        <v>109.4</v>
      </c>
      <c r="J221" s="380">
        <v>108.6</v>
      </c>
      <c r="K221" s="380">
        <v>107.6</v>
      </c>
      <c r="L221" s="380">
        <v>106.4</v>
      </c>
      <c r="M221" s="380">
        <v>108.1</v>
      </c>
      <c r="N221" s="380">
        <v>109.7</v>
      </c>
      <c r="O221" s="381">
        <v>4</v>
      </c>
    </row>
    <row r="222" spans="1:15" x14ac:dyDescent="0.2">
      <c r="A222" s="379">
        <v>2003</v>
      </c>
      <c r="B222" s="380">
        <v>110.6</v>
      </c>
      <c r="C222" s="380">
        <v>108.2</v>
      </c>
      <c r="D222" s="380">
        <v>110.8</v>
      </c>
      <c r="E222" s="380">
        <v>110.2</v>
      </c>
      <c r="F222" s="380">
        <v>116.9</v>
      </c>
      <c r="G222" s="380">
        <v>118.3</v>
      </c>
      <c r="H222" s="380">
        <v>114.2</v>
      </c>
      <c r="I222" s="380">
        <v>119.5</v>
      </c>
      <c r="J222" s="380">
        <v>119.2</v>
      </c>
      <c r="K222" s="380">
        <v>116.4</v>
      </c>
      <c r="L222" s="380">
        <v>116.8</v>
      </c>
      <c r="M222" s="380">
        <v>115.5</v>
      </c>
      <c r="N222" s="380">
        <v>114.7</v>
      </c>
      <c r="O222" s="381">
        <v>5</v>
      </c>
    </row>
    <row r="223" spans="1:15" x14ac:dyDescent="0.2">
      <c r="A223" s="379">
        <v>2004</v>
      </c>
      <c r="B223" s="380">
        <v>118.6</v>
      </c>
      <c r="C223" s="380">
        <v>120.1</v>
      </c>
      <c r="D223" s="380">
        <v>119.6</v>
      </c>
      <c r="E223" s="380">
        <v>128.30000000000001</v>
      </c>
      <c r="F223" s="380">
        <v>123.7</v>
      </c>
      <c r="G223" s="380">
        <v>122.8</v>
      </c>
      <c r="H223" s="380">
        <v>122.5</v>
      </c>
      <c r="I223" s="380">
        <v>122</v>
      </c>
      <c r="J223" s="380">
        <v>125</v>
      </c>
      <c r="K223" s="380">
        <v>134.1</v>
      </c>
      <c r="L223" s="380">
        <v>137.30000000000001</v>
      </c>
      <c r="M223" s="380">
        <v>132.80000000000001</v>
      </c>
      <c r="N223" s="380">
        <v>125.6</v>
      </c>
      <c r="O223" s="381">
        <v>6</v>
      </c>
    </row>
    <row r="224" spans="1:15" x14ac:dyDescent="0.2">
      <c r="A224" s="379">
        <v>2005</v>
      </c>
      <c r="B224" s="380">
        <v>132.9</v>
      </c>
      <c r="C224" s="380">
        <v>137.69999999999999</v>
      </c>
      <c r="D224" s="382">
        <v>139.5</v>
      </c>
      <c r="E224" s="382">
        <v>139.30000000000001</v>
      </c>
      <c r="F224" s="382">
        <v>137.1</v>
      </c>
      <c r="G224" s="382">
        <v>142.19999999999999</v>
      </c>
      <c r="H224" s="382">
        <v>151.9</v>
      </c>
      <c r="I224" s="382">
        <v>146.4</v>
      </c>
      <c r="J224" s="382">
        <v>148.30000000000001</v>
      </c>
      <c r="K224" s="382">
        <v>150.19999999999999</v>
      </c>
      <c r="L224" s="382">
        <v>162.5</v>
      </c>
      <c r="M224" s="382">
        <v>180</v>
      </c>
      <c r="N224" s="382">
        <v>147.30000000000001</v>
      </c>
      <c r="O224" s="381">
        <v>7</v>
      </c>
    </row>
    <row r="225" spans="1:15" x14ac:dyDescent="0.2">
      <c r="A225" s="379">
        <v>2006</v>
      </c>
      <c r="B225" s="382">
        <v>176.1</v>
      </c>
      <c r="C225" s="383">
        <v>171.3</v>
      </c>
      <c r="D225" s="384">
        <v>174.9</v>
      </c>
      <c r="E225" s="384">
        <v>191.4</v>
      </c>
      <c r="F225" s="384">
        <v>215.6</v>
      </c>
      <c r="G225" s="384">
        <v>211.7</v>
      </c>
      <c r="H225" s="384">
        <v>221.2</v>
      </c>
      <c r="I225" s="385">
        <v>231.1</v>
      </c>
      <c r="J225" s="385">
        <v>225</v>
      </c>
      <c r="K225" s="385">
        <v>224.6</v>
      </c>
      <c r="L225" s="385">
        <v>215.4</v>
      </c>
      <c r="M225" s="385">
        <v>209</v>
      </c>
      <c r="N225" s="385">
        <v>205.6</v>
      </c>
      <c r="O225" s="381">
        <v>8</v>
      </c>
    </row>
    <row r="226" spans="1:15" x14ac:dyDescent="0.2">
      <c r="A226" s="379">
        <v>2007</v>
      </c>
      <c r="B226" s="386">
        <v>207.2</v>
      </c>
      <c r="C226" s="386">
        <v>198.7</v>
      </c>
      <c r="D226" s="384">
        <v>194.2</v>
      </c>
      <c r="E226" s="384">
        <v>213.4</v>
      </c>
      <c r="F226" s="384">
        <v>223.3</v>
      </c>
      <c r="G226" s="384">
        <v>213.5</v>
      </c>
      <c r="H226" s="384">
        <v>212.9</v>
      </c>
      <c r="I226" s="385">
        <v>234</v>
      </c>
      <c r="J226" s="385">
        <v>230.8</v>
      </c>
      <c r="K226" s="385">
        <v>227.4</v>
      </c>
      <c r="L226" s="385">
        <v>229</v>
      </c>
      <c r="M226" s="385">
        <v>241.1</v>
      </c>
      <c r="N226" s="385">
        <v>218.8</v>
      </c>
      <c r="O226" s="381">
        <v>9</v>
      </c>
    </row>
    <row r="227" spans="1:15" x14ac:dyDescent="0.2">
      <c r="A227" s="379">
        <v>2008</v>
      </c>
      <c r="B227" s="387">
        <v>245.5</v>
      </c>
      <c r="C227" s="396">
        <v>232.9</v>
      </c>
      <c r="D227" s="397">
        <v>246.2</v>
      </c>
      <c r="E227" s="397">
        <v>225.5</v>
      </c>
      <c r="F227" s="397">
        <v>234.3</v>
      </c>
      <c r="G227" s="397">
        <v>226.2</v>
      </c>
      <c r="H227" s="398">
        <v>229.1</v>
      </c>
      <c r="I227" s="398">
        <v>220.6</v>
      </c>
      <c r="J227" s="398">
        <v>227.7</v>
      </c>
      <c r="K227" s="398">
        <v>211.2</v>
      </c>
      <c r="L227" s="398">
        <v>198.3</v>
      </c>
      <c r="M227" s="398">
        <v>188.6</v>
      </c>
      <c r="N227" s="398">
        <v>223.8</v>
      </c>
      <c r="O227" s="381">
        <v>10</v>
      </c>
    </row>
    <row r="228" spans="1:15" x14ac:dyDescent="0.2">
      <c r="A228" s="379">
        <v>2009</v>
      </c>
      <c r="B228" s="388">
        <v>186.1</v>
      </c>
      <c r="C228" s="388">
        <v>184</v>
      </c>
      <c r="D228" s="388">
        <v>166</v>
      </c>
      <c r="E228" s="388">
        <v>173.4</v>
      </c>
      <c r="F228" s="388">
        <v>177.6</v>
      </c>
      <c r="G228" s="388">
        <v>185.6</v>
      </c>
      <c r="H228" s="388">
        <v>183.5</v>
      </c>
      <c r="I228" s="388">
        <v>191.9</v>
      </c>
      <c r="J228" s="460">
        <v>187.8</v>
      </c>
      <c r="K228" s="460">
        <v>201.4</v>
      </c>
      <c r="L228" s="460">
        <v>200.7</v>
      </c>
      <c r="M228" s="460">
        <v>217.1</v>
      </c>
      <c r="N228" s="460">
        <v>187.9</v>
      </c>
      <c r="O228" s="381">
        <v>11</v>
      </c>
    </row>
    <row r="229" spans="1:15" x14ac:dyDescent="0.2">
      <c r="A229" s="379">
        <v>2010</v>
      </c>
      <c r="B229" s="388">
        <v>219.4</v>
      </c>
      <c r="C229" s="388">
        <v>218.6</v>
      </c>
      <c r="D229" s="388">
        <v>222.5</v>
      </c>
      <c r="E229" s="388">
        <v>226.5</v>
      </c>
      <c r="F229" s="388">
        <v>225.2</v>
      </c>
      <c r="G229" s="388">
        <v>223.2</v>
      </c>
      <c r="H229" s="388">
        <v>222.7</v>
      </c>
      <c r="I229" s="388">
        <v>226.2</v>
      </c>
      <c r="J229" s="65">
        <v>232.3</v>
      </c>
      <c r="K229" s="391">
        <v>234.8</v>
      </c>
      <c r="L229" s="391">
        <v>238.2</v>
      </c>
      <c r="M229" s="391">
        <v>235.3</v>
      </c>
      <c r="N229" s="391">
        <v>227.1</v>
      </c>
      <c r="O229" s="381">
        <v>12</v>
      </c>
    </row>
    <row r="230" spans="1:15" x14ac:dyDescent="0.2">
      <c r="A230" s="379">
        <v>2011</v>
      </c>
      <c r="B230">
        <v>245.4</v>
      </c>
      <c r="C230" s="388">
        <v>252.4</v>
      </c>
      <c r="D230" s="385">
        <v>260.10000000000002</v>
      </c>
      <c r="E230" s="389">
        <v>257.7</v>
      </c>
      <c r="F230" s="389">
        <v>257.39999999999998</v>
      </c>
      <c r="G230" s="389">
        <v>252.7</v>
      </c>
      <c r="H230" s="389">
        <v>254.5</v>
      </c>
      <c r="I230" s="389"/>
      <c r="J230" s="389"/>
      <c r="K230" s="389"/>
      <c r="L230" s="389"/>
      <c r="M230" s="389"/>
      <c r="N230" s="389"/>
      <c r="O230" s="381">
        <v>13</v>
      </c>
    </row>
    <row r="231" spans="1:15" x14ac:dyDescent="0.2">
      <c r="A231" s="379"/>
      <c r="B231" s="368"/>
      <c r="C231" s="368"/>
      <c r="D231" s="368"/>
      <c r="E231" s="368"/>
      <c r="F231" s="368"/>
      <c r="G231" s="368"/>
      <c r="H231" s="368"/>
      <c r="I231" s="368"/>
      <c r="J231" s="368"/>
      <c r="K231" s="368"/>
      <c r="L231" s="368"/>
      <c r="M231" s="368"/>
      <c r="N231" s="368"/>
      <c r="O231" s="381">
        <v>14</v>
      </c>
    </row>
    <row r="232" spans="1:15" ht="15" x14ac:dyDescent="0.3">
      <c r="B232" s="399" t="s">
        <v>752</v>
      </c>
      <c r="D232" s="372">
        <v>199912</v>
      </c>
    </row>
    <row r="233" spans="1:15" x14ac:dyDescent="0.2">
      <c r="A233" s="27" t="s">
        <v>626</v>
      </c>
      <c r="B233" s="373">
        <v>3353119</v>
      </c>
      <c r="C233" s="27" t="s">
        <v>692</v>
      </c>
      <c r="O233" t="s">
        <v>713</v>
      </c>
    </row>
    <row r="234" spans="1:15" x14ac:dyDescent="0.2">
      <c r="A234" s="27"/>
      <c r="B234" s="359" t="s">
        <v>714</v>
      </c>
      <c r="C234" s="374" t="s">
        <v>715</v>
      </c>
      <c r="D234" s="375" t="s">
        <v>716</v>
      </c>
      <c r="E234" s="375" t="s">
        <v>717</v>
      </c>
      <c r="F234" s="375" t="s">
        <v>718</v>
      </c>
      <c r="G234" s="375" t="s">
        <v>719</v>
      </c>
      <c r="H234" s="375" t="s">
        <v>720</v>
      </c>
      <c r="I234" s="375" t="s">
        <v>721</v>
      </c>
      <c r="J234" s="375" t="s">
        <v>722</v>
      </c>
      <c r="K234" s="375" t="s">
        <v>723</v>
      </c>
      <c r="L234" s="375" t="s">
        <v>724</v>
      </c>
      <c r="M234" s="375" t="s">
        <v>725</v>
      </c>
      <c r="N234" s="375" t="s">
        <v>726</v>
      </c>
    </row>
    <row r="235" spans="1:15" x14ac:dyDescent="0.2">
      <c r="A235" s="376" t="s">
        <v>730</v>
      </c>
      <c r="B235" s="377">
        <v>1</v>
      </c>
      <c r="C235" s="377">
        <v>2</v>
      </c>
      <c r="D235" s="377">
        <v>3</v>
      </c>
      <c r="E235" s="377">
        <v>4</v>
      </c>
      <c r="F235" s="377">
        <v>5</v>
      </c>
      <c r="G235" s="377">
        <v>6</v>
      </c>
      <c r="H235" s="377">
        <v>7</v>
      </c>
      <c r="I235" s="377">
        <v>8</v>
      </c>
      <c r="J235" s="377">
        <v>9</v>
      </c>
      <c r="K235" s="377">
        <v>10</v>
      </c>
      <c r="L235" s="377">
        <v>11</v>
      </c>
      <c r="M235" s="377">
        <v>12</v>
      </c>
      <c r="N235" s="377">
        <v>13</v>
      </c>
      <c r="O235" s="378">
        <v>1</v>
      </c>
    </row>
    <row r="236" spans="1:15" x14ac:dyDescent="0.2">
      <c r="A236" s="379">
        <v>2000</v>
      </c>
      <c r="B236" s="380">
        <v>100.3</v>
      </c>
      <c r="C236" s="380">
        <v>100.8</v>
      </c>
      <c r="D236" s="380">
        <v>101.5</v>
      </c>
      <c r="E236" s="380">
        <v>101.7</v>
      </c>
      <c r="F236" s="380">
        <v>101.7</v>
      </c>
      <c r="G236" s="380">
        <v>101.6</v>
      </c>
      <c r="H236" s="380">
        <v>100.8</v>
      </c>
      <c r="I236" s="380">
        <v>100.5</v>
      </c>
      <c r="J236" s="380">
        <v>99.9</v>
      </c>
      <c r="K236" s="380">
        <v>100.2</v>
      </c>
      <c r="L236" s="380">
        <v>99.2</v>
      </c>
      <c r="M236" s="380">
        <v>99.2</v>
      </c>
      <c r="N236" s="380">
        <v>100.6</v>
      </c>
      <c r="O236" s="381">
        <v>2</v>
      </c>
    </row>
    <row r="237" spans="1:15" x14ac:dyDescent="0.2">
      <c r="A237" s="379">
        <v>2001</v>
      </c>
      <c r="B237" s="380">
        <v>99.8</v>
      </c>
      <c r="C237" s="380">
        <v>99.6</v>
      </c>
      <c r="D237" s="380">
        <v>99.5</v>
      </c>
      <c r="E237" s="380">
        <v>99.8</v>
      </c>
      <c r="F237" s="380">
        <v>99.2</v>
      </c>
      <c r="G237" s="380">
        <v>99.1</v>
      </c>
      <c r="H237" s="380">
        <v>99.1</v>
      </c>
      <c r="I237" s="380">
        <v>98.9</v>
      </c>
      <c r="J237" s="380">
        <v>98.9</v>
      </c>
      <c r="K237" s="380">
        <v>98.8</v>
      </c>
      <c r="L237" s="380">
        <v>98.5</v>
      </c>
      <c r="M237" s="380">
        <v>98.4</v>
      </c>
      <c r="N237" s="380">
        <v>99.1</v>
      </c>
      <c r="O237" s="381">
        <v>3</v>
      </c>
    </row>
    <row r="238" spans="1:15" x14ac:dyDescent="0.2">
      <c r="A238" s="379">
        <v>2002</v>
      </c>
      <c r="B238" s="380">
        <v>97.9</v>
      </c>
      <c r="C238" s="380">
        <v>97.9</v>
      </c>
      <c r="D238" s="380">
        <v>97.5</v>
      </c>
      <c r="E238" s="380">
        <v>97.8</v>
      </c>
      <c r="F238" s="380">
        <v>98.1</v>
      </c>
      <c r="G238" s="380">
        <v>98.2</v>
      </c>
      <c r="H238" s="380">
        <v>98.2</v>
      </c>
      <c r="I238" s="380">
        <v>98.2</v>
      </c>
      <c r="J238" s="380">
        <v>98.2</v>
      </c>
      <c r="K238" s="380">
        <v>98.2</v>
      </c>
      <c r="L238" s="380">
        <v>98.3</v>
      </c>
      <c r="M238" s="380">
        <v>98.3</v>
      </c>
      <c r="N238" s="380">
        <v>98.1</v>
      </c>
      <c r="O238" s="381">
        <v>4</v>
      </c>
    </row>
    <row r="239" spans="1:15" x14ac:dyDescent="0.2">
      <c r="A239" s="379">
        <v>2003</v>
      </c>
      <c r="B239" s="380">
        <v>98.1</v>
      </c>
      <c r="C239" s="380">
        <v>96.9</v>
      </c>
      <c r="D239" s="380">
        <v>96.7</v>
      </c>
      <c r="E239" s="380">
        <v>96.8</v>
      </c>
      <c r="F239" s="380">
        <v>96.7</v>
      </c>
      <c r="G239" s="380">
        <v>96.6</v>
      </c>
      <c r="H239" s="380">
        <v>97.8</v>
      </c>
      <c r="I239" s="380">
        <v>97.9</v>
      </c>
      <c r="J239" s="380">
        <v>97.9</v>
      </c>
      <c r="K239" s="380">
        <v>97.6</v>
      </c>
      <c r="L239" s="380">
        <v>97.5</v>
      </c>
      <c r="M239" s="380">
        <v>97.6</v>
      </c>
      <c r="N239" s="380">
        <v>97.3</v>
      </c>
      <c r="O239" s="381">
        <v>5</v>
      </c>
    </row>
    <row r="240" spans="1:15" x14ac:dyDescent="0.2">
      <c r="A240" s="379">
        <v>2004</v>
      </c>
      <c r="B240" s="380">
        <v>97.8</v>
      </c>
      <c r="C240" s="380">
        <v>98.1</v>
      </c>
      <c r="D240" s="380">
        <v>98.8</v>
      </c>
      <c r="E240" s="380">
        <v>100</v>
      </c>
      <c r="F240" s="380">
        <v>99.9</v>
      </c>
      <c r="G240" s="380">
        <v>100</v>
      </c>
      <c r="H240" s="380">
        <v>101</v>
      </c>
      <c r="I240" s="380">
        <v>101.7</v>
      </c>
      <c r="J240" s="380">
        <v>103.1</v>
      </c>
      <c r="K240" s="380">
        <v>104.2</v>
      </c>
      <c r="L240" s="380">
        <v>105.2</v>
      </c>
      <c r="M240" s="380">
        <v>108.3</v>
      </c>
      <c r="N240" s="380">
        <v>101.5</v>
      </c>
      <c r="O240" s="381">
        <v>6</v>
      </c>
    </row>
    <row r="241" spans="1:15" x14ac:dyDescent="0.2">
      <c r="A241" s="379">
        <v>2005</v>
      </c>
      <c r="B241" s="380">
        <v>110.8</v>
      </c>
      <c r="C241" s="380">
        <v>110.6</v>
      </c>
      <c r="D241" s="382">
        <v>113.5</v>
      </c>
      <c r="E241" s="382">
        <v>114.4</v>
      </c>
      <c r="F241" s="382">
        <v>114.4</v>
      </c>
      <c r="G241" s="382">
        <v>114.4</v>
      </c>
      <c r="H241" s="382">
        <v>114.9</v>
      </c>
      <c r="I241" s="382">
        <v>115.1</v>
      </c>
      <c r="J241" s="382">
        <v>118.5</v>
      </c>
      <c r="K241" s="382">
        <v>118.4</v>
      </c>
      <c r="L241" s="382">
        <v>125.2</v>
      </c>
      <c r="M241" s="382">
        <v>128.5</v>
      </c>
      <c r="N241" s="382">
        <v>116.6</v>
      </c>
      <c r="O241" s="381">
        <v>7</v>
      </c>
    </row>
    <row r="242" spans="1:15" x14ac:dyDescent="0.2">
      <c r="A242" s="379">
        <v>2006</v>
      </c>
      <c r="B242" s="382">
        <v>127.6</v>
      </c>
      <c r="C242" s="383">
        <v>128.30000000000001</v>
      </c>
      <c r="D242" s="384">
        <v>128.4</v>
      </c>
      <c r="E242" s="384">
        <v>130.4</v>
      </c>
      <c r="F242" s="384">
        <v>131.19999999999999</v>
      </c>
      <c r="G242" s="384">
        <v>133.9</v>
      </c>
      <c r="H242" s="384">
        <v>137.80000000000001</v>
      </c>
      <c r="I242" s="385">
        <v>141.5</v>
      </c>
      <c r="J242" s="385">
        <v>145</v>
      </c>
      <c r="K242" s="385">
        <v>145.30000000000001</v>
      </c>
      <c r="L242" s="385">
        <v>145.1</v>
      </c>
      <c r="M242" s="385">
        <v>146.1</v>
      </c>
      <c r="N242" s="385">
        <v>136.69999999999999</v>
      </c>
      <c r="O242" s="381">
        <v>8</v>
      </c>
    </row>
    <row r="243" spans="1:15" x14ac:dyDescent="0.2">
      <c r="A243" s="379">
        <v>2007</v>
      </c>
      <c r="B243" s="386">
        <v>149.6</v>
      </c>
      <c r="C243" s="386">
        <v>157.1</v>
      </c>
      <c r="D243" s="384">
        <v>158.9</v>
      </c>
      <c r="E243" s="384">
        <v>159.4</v>
      </c>
      <c r="F243" s="384">
        <v>162.5</v>
      </c>
      <c r="G243" s="384">
        <v>161.5</v>
      </c>
      <c r="H243" s="384">
        <v>163</v>
      </c>
      <c r="I243" s="385">
        <v>165</v>
      </c>
      <c r="J243" s="385">
        <v>162.9</v>
      </c>
      <c r="K243" s="385">
        <v>164</v>
      </c>
      <c r="L243" s="385">
        <v>165.3</v>
      </c>
      <c r="M243" s="385">
        <v>164.2</v>
      </c>
      <c r="N243" s="385">
        <v>161.1</v>
      </c>
      <c r="O243" s="381">
        <v>9</v>
      </c>
    </row>
    <row r="244" spans="1:15" x14ac:dyDescent="0.2">
      <c r="A244" s="379">
        <v>2008</v>
      </c>
      <c r="B244" s="387">
        <v>170.2</v>
      </c>
      <c r="C244" s="396">
        <v>170.9</v>
      </c>
      <c r="D244" s="397">
        <v>178.4</v>
      </c>
      <c r="E244" s="397">
        <v>179.9</v>
      </c>
      <c r="F244" s="397">
        <v>183.7</v>
      </c>
      <c r="G244" s="397">
        <v>189.9</v>
      </c>
      <c r="H244" s="398">
        <v>195.4</v>
      </c>
      <c r="I244" s="398">
        <v>194.3</v>
      </c>
      <c r="J244" s="398">
        <v>194.6</v>
      </c>
      <c r="K244" s="398">
        <v>194</v>
      </c>
      <c r="L244" s="398">
        <v>178.3</v>
      </c>
      <c r="M244" s="398">
        <v>174.4</v>
      </c>
      <c r="N244" s="398">
        <v>183.7</v>
      </c>
      <c r="O244" s="381">
        <v>10</v>
      </c>
    </row>
    <row r="245" spans="1:15" x14ac:dyDescent="0.2">
      <c r="A245" s="379">
        <v>2009</v>
      </c>
      <c r="B245" s="388">
        <v>165.7</v>
      </c>
      <c r="C245" s="388">
        <v>169.5</v>
      </c>
      <c r="D245" s="388">
        <v>171.9</v>
      </c>
      <c r="E245" s="388">
        <v>171.1</v>
      </c>
      <c r="F245" s="388">
        <v>171</v>
      </c>
      <c r="G245" s="388">
        <v>173.4</v>
      </c>
      <c r="H245" s="388">
        <v>172.9</v>
      </c>
      <c r="I245" s="388">
        <v>177.1</v>
      </c>
      <c r="J245" s="460">
        <v>180.2</v>
      </c>
      <c r="K245" s="460">
        <v>181.4</v>
      </c>
      <c r="L245" s="460">
        <v>185.6</v>
      </c>
      <c r="M245" s="460">
        <v>187.7</v>
      </c>
      <c r="N245" s="460">
        <v>175.6</v>
      </c>
      <c r="O245" s="381">
        <v>11</v>
      </c>
    </row>
    <row r="246" spans="1:15" x14ac:dyDescent="0.2">
      <c r="A246" s="379">
        <v>2010</v>
      </c>
      <c r="B246" s="388">
        <v>190.5</v>
      </c>
      <c r="C246" s="388">
        <v>190.7</v>
      </c>
      <c r="D246" s="388">
        <v>190.5</v>
      </c>
      <c r="E246" s="388">
        <v>191.1</v>
      </c>
      <c r="F246" s="388">
        <v>194</v>
      </c>
      <c r="G246" s="388">
        <v>192.4</v>
      </c>
      <c r="H246" s="388">
        <v>191.6</v>
      </c>
      <c r="I246" s="388">
        <v>191.8</v>
      </c>
      <c r="J246" s="65">
        <v>191.8</v>
      </c>
      <c r="K246" s="391">
        <v>192.6</v>
      </c>
      <c r="L246" s="391">
        <v>193.7</v>
      </c>
      <c r="M246" s="391">
        <v>193.7</v>
      </c>
      <c r="N246" s="391">
        <v>192</v>
      </c>
      <c r="O246" s="381">
        <v>12</v>
      </c>
    </row>
    <row r="247" spans="1:15" x14ac:dyDescent="0.2">
      <c r="A247" s="379">
        <v>2011</v>
      </c>
      <c r="B247">
        <v>195.5</v>
      </c>
      <c r="C247" s="388">
        <v>198.4</v>
      </c>
      <c r="D247" s="385">
        <v>199.9</v>
      </c>
      <c r="E247" s="389">
        <v>200.6</v>
      </c>
      <c r="F247" s="389">
        <v>203.8</v>
      </c>
      <c r="G247" s="389">
        <v>201.4</v>
      </c>
      <c r="H247" s="389">
        <v>201.2</v>
      </c>
      <c r="I247" s="389"/>
      <c r="J247" s="389"/>
      <c r="K247" s="389"/>
      <c r="L247" s="389"/>
      <c r="M247" s="389"/>
      <c r="N247" s="389"/>
      <c r="O247" s="381">
        <v>13</v>
      </c>
    </row>
    <row r="248" spans="1:15" x14ac:dyDescent="0.2">
      <c r="A248" s="379"/>
      <c r="B248" s="368"/>
      <c r="C248" s="368"/>
      <c r="D248" s="368"/>
      <c r="E248" s="368"/>
      <c r="F248" s="368"/>
      <c r="G248" s="368"/>
      <c r="H248" s="368"/>
      <c r="I248" s="368"/>
      <c r="J248" s="368"/>
      <c r="K248" s="368"/>
      <c r="L248" s="368"/>
      <c r="M248" s="368"/>
      <c r="N248" s="368"/>
      <c r="O248" s="381">
        <v>14</v>
      </c>
    </row>
    <row r="249" spans="1:15" ht="15" x14ac:dyDescent="0.3">
      <c r="B249" s="399" t="s">
        <v>753</v>
      </c>
      <c r="D249" s="372">
        <v>199006</v>
      </c>
    </row>
    <row r="250" spans="1:15" x14ac:dyDescent="0.2">
      <c r="A250" s="27" t="s">
        <v>626</v>
      </c>
      <c r="B250" s="373">
        <v>3339954</v>
      </c>
      <c r="C250" s="27" t="s">
        <v>754</v>
      </c>
      <c r="O250" t="s">
        <v>713</v>
      </c>
    </row>
    <row r="251" spans="1:15" x14ac:dyDescent="0.2">
      <c r="A251" s="27"/>
      <c r="B251" s="359" t="s">
        <v>714</v>
      </c>
      <c r="C251" s="374" t="s">
        <v>715</v>
      </c>
      <c r="D251" s="375" t="s">
        <v>716</v>
      </c>
      <c r="E251" s="375" t="s">
        <v>717</v>
      </c>
      <c r="F251" s="375" t="s">
        <v>718</v>
      </c>
      <c r="G251" s="375" t="s">
        <v>719</v>
      </c>
      <c r="H251" s="375" t="s">
        <v>720</v>
      </c>
      <c r="I251" s="375" t="s">
        <v>721</v>
      </c>
      <c r="J251" s="375" t="s">
        <v>722</v>
      </c>
      <c r="K251" s="375" t="s">
        <v>723</v>
      </c>
      <c r="L251" s="375" t="s">
        <v>724</v>
      </c>
      <c r="M251" s="375" t="s">
        <v>725</v>
      </c>
      <c r="N251" s="375" t="s">
        <v>726</v>
      </c>
    </row>
    <row r="252" spans="1:15" x14ac:dyDescent="0.2">
      <c r="A252" s="376" t="s">
        <v>730</v>
      </c>
      <c r="B252" s="377">
        <v>1</v>
      </c>
      <c r="C252" s="377">
        <v>2</v>
      </c>
      <c r="D252" s="377">
        <v>3</v>
      </c>
      <c r="E252" s="377">
        <v>4</v>
      </c>
      <c r="F252" s="377">
        <v>5</v>
      </c>
      <c r="G252" s="377">
        <v>6</v>
      </c>
      <c r="H252" s="377">
        <v>7</v>
      </c>
      <c r="I252" s="377">
        <v>8</v>
      </c>
      <c r="J252" s="377">
        <v>9</v>
      </c>
      <c r="K252" s="377">
        <v>10</v>
      </c>
      <c r="L252" s="377">
        <v>11</v>
      </c>
      <c r="M252" s="377">
        <v>12</v>
      </c>
      <c r="N252" s="377">
        <v>13</v>
      </c>
      <c r="O252" s="378">
        <v>1</v>
      </c>
    </row>
    <row r="253" spans="1:15" x14ac:dyDescent="0.2">
      <c r="A253" s="379">
        <v>2000</v>
      </c>
      <c r="B253" s="380">
        <v>119.6</v>
      </c>
      <c r="C253" s="380">
        <v>120.2</v>
      </c>
      <c r="D253" s="380">
        <v>120.2</v>
      </c>
      <c r="E253" s="380">
        <v>120.3</v>
      </c>
      <c r="F253" s="380">
        <v>120.3</v>
      </c>
      <c r="G253" s="380">
        <v>120.3</v>
      </c>
      <c r="H253" s="380">
        <v>120.3</v>
      </c>
      <c r="I253" s="380">
        <v>120.6</v>
      </c>
      <c r="J253" s="380">
        <v>120.5</v>
      </c>
      <c r="K253" s="380">
        <v>120.5</v>
      </c>
      <c r="L253" s="380">
        <v>120.5</v>
      </c>
      <c r="M253" s="380">
        <v>120.5</v>
      </c>
      <c r="N253" s="380">
        <v>120.3</v>
      </c>
      <c r="O253" s="381">
        <v>2</v>
      </c>
    </row>
    <row r="254" spans="1:15" x14ac:dyDescent="0.2">
      <c r="A254" s="379">
        <v>2001</v>
      </c>
      <c r="B254" s="380">
        <v>121.6</v>
      </c>
      <c r="C254" s="380">
        <v>120.6</v>
      </c>
      <c r="D254" s="380">
        <v>120.6</v>
      </c>
      <c r="E254" s="380">
        <v>120.7</v>
      </c>
      <c r="F254" s="380">
        <v>122.7</v>
      </c>
      <c r="G254" s="380">
        <v>122.7</v>
      </c>
      <c r="H254" s="380">
        <v>122.7</v>
      </c>
      <c r="I254" s="380">
        <v>122.7</v>
      </c>
      <c r="J254" s="380">
        <v>122.4</v>
      </c>
      <c r="K254" s="380">
        <v>122.4</v>
      </c>
      <c r="L254" s="380">
        <v>122.4</v>
      </c>
      <c r="M254" s="380">
        <v>122.4</v>
      </c>
      <c r="N254" s="380">
        <v>122</v>
      </c>
      <c r="O254" s="381">
        <v>3</v>
      </c>
    </row>
    <row r="255" spans="1:15" x14ac:dyDescent="0.2">
      <c r="A255" s="379">
        <v>2002</v>
      </c>
      <c r="B255" s="380">
        <v>122.4</v>
      </c>
      <c r="C255" s="380">
        <v>122.6</v>
      </c>
      <c r="D255" s="380">
        <v>122.6</v>
      </c>
      <c r="E255" s="380">
        <v>122.6</v>
      </c>
      <c r="F255" s="380">
        <v>122.6</v>
      </c>
      <c r="G255" s="380">
        <v>122.4</v>
      </c>
      <c r="H255" s="380">
        <v>122.4</v>
      </c>
      <c r="I255" s="380">
        <v>122.4</v>
      </c>
      <c r="J255" s="380">
        <v>122.4</v>
      </c>
      <c r="K255" s="380">
        <v>122.4</v>
      </c>
      <c r="L255" s="380">
        <v>122.4</v>
      </c>
      <c r="M255" s="380">
        <v>122.5</v>
      </c>
      <c r="N255" s="380">
        <v>122.5</v>
      </c>
      <c r="O255" s="381">
        <v>4</v>
      </c>
    </row>
    <row r="256" spans="1:15" x14ac:dyDescent="0.2">
      <c r="A256" s="379">
        <v>2003</v>
      </c>
      <c r="B256" s="380">
        <v>123.4</v>
      </c>
      <c r="C256" s="380">
        <v>122.7</v>
      </c>
      <c r="D256" s="380">
        <v>122.7</v>
      </c>
      <c r="E256" s="380">
        <v>122.7</v>
      </c>
      <c r="F256" s="380">
        <v>122.7</v>
      </c>
      <c r="G256" s="380">
        <v>122.7</v>
      </c>
      <c r="H256" s="380">
        <v>124.1</v>
      </c>
      <c r="I256" s="380">
        <v>123.9</v>
      </c>
      <c r="J256" s="380">
        <v>123.9</v>
      </c>
      <c r="K256" s="380">
        <v>123.5</v>
      </c>
      <c r="L256" s="380">
        <v>123.5</v>
      </c>
      <c r="M256" s="380">
        <v>123.5</v>
      </c>
      <c r="N256" s="380">
        <v>123.3</v>
      </c>
      <c r="O256" s="381">
        <v>5</v>
      </c>
    </row>
    <row r="257" spans="1:15" x14ac:dyDescent="0.2">
      <c r="A257" s="379">
        <v>2004</v>
      </c>
      <c r="B257" s="380">
        <v>125.9</v>
      </c>
      <c r="C257" s="380">
        <v>125.9</v>
      </c>
      <c r="D257" s="380">
        <v>126.7</v>
      </c>
      <c r="E257" s="380">
        <v>128.4</v>
      </c>
      <c r="F257" s="380">
        <v>129.6</v>
      </c>
      <c r="G257" s="380">
        <v>130.1</v>
      </c>
      <c r="H257" s="380">
        <v>130.1</v>
      </c>
      <c r="I257" s="380">
        <v>131.69999999999999</v>
      </c>
      <c r="J257" s="380">
        <v>132</v>
      </c>
      <c r="K257" s="380">
        <v>134.19999999999999</v>
      </c>
      <c r="L257" s="380">
        <v>134.19999999999999</v>
      </c>
      <c r="M257" s="380">
        <v>135.30000000000001</v>
      </c>
      <c r="N257" s="380">
        <v>130.30000000000001</v>
      </c>
      <c r="O257" s="381">
        <v>6</v>
      </c>
    </row>
    <row r="258" spans="1:15" x14ac:dyDescent="0.2">
      <c r="A258" s="379">
        <v>2005</v>
      </c>
      <c r="B258" s="380">
        <v>135.30000000000001</v>
      </c>
      <c r="C258" s="380">
        <v>136.69999999999999</v>
      </c>
      <c r="D258" s="382">
        <v>138.1</v>
      </c>
      <c r="E258" s="382">
        <v>138.30000000000001</v>
      </c>
      <c r="F258" s="382">
        <v>138.30000000000001</v>
      </c>
      <c r="G258" s="382">
        <v>139.30000000000001</v>
      </c>
      <c r="H258" s="382">
        <v>141</v>
      </c>
      <c r="I258" s="382">
        <v>141</v>
      </c>
      <c r="J258" s="382">
        <v>141</v>
      </c>
      <c r="K258" s="382">
        <v>141</v>
      </c>
      <c r="L258" s="382">
        <v>141</v>
      </c>
      <c r="M258" s="382">
        <v>141</v>
      </c>
      <c r="N258" s="382">
        <v>139.30000000000001</v>
      </c>
      <c r="O258" s="381">
        <v>7</v>
      </c>
    </row>
    <row r="259" spans="1:15" x14ac:dyDescent="0.2">
      <c r="A259" s="379">
        <v>2006</v>
      </c>
      <c r="B259" s="382">
        <v>142.9</v>
      </c>
      <c r="C259" s="383">
        <v>142.9</v>
      </c>
      <c r="D259" s="384">
        <v>143.19999999999999</v>
      </c>
      <c r="E259" s="384">
        <v>143.4</v>
      </c>
      <c r="F259" s="384">
        <v>143.4</v>
      </c>
      <c r="G259" s="384">
        <v>143.9</v>
      </c>
      <c r="H259" s="384">
        <v>145.1</v>
      </c>
      <c r="I259" s="385">
        <v>145.1</v>
      </c>
      <c r="J259" s="385">
        <v>145.1</v>
      </c>
      <c r="K259" s="385">
        <v>145.1</v>
      </c>
      <c r="L259" s="385">
        <v>145.4</v>
      </c>
      <c r="M259" s="385">
        <v>145.19999999999999</v>
      </c>
      <c r="N259" s="385">
        <v>144.19999999999999</v>
      </c>
      <c r="O259" s="381">
        <v>8</v>
      </c>
    </row>
    <row r="260" spans="1:15" x14ac:dyDescent="0.2">
      <c r="A260" s="379">
        <v>2007</v>
      </c>
      <c r="B260" s="386">
        <v>146.4</v>
      </c>
      <c r="C260" s="386">
        <v>146.4</v>
      </c>
      <c r="D260" s="384">
        <v>146.9</v>
      </c>
      <c r="E260" s="384">
        <v>148.1</v>
      </c>
      <c r="F260" s="384">
        <v>148.1</v>
      </c>
      <c r="G260" s="384">
        <v>148.1</v>
      </c>
      <c r="H260" s="384">
        <v>148.1</v>
      </c>
      <c r="I260" s="385">
        <v>148.1</v>
      </c>
      <c r="J260" s="385">
        <v>148.5</v>
      </c>
      <c r="K260" s="385">
        <v>148.5</v>
      </c>
      <c r="L260" s="385">
        <v>151.30000000000001</v>
      </c>
      <c r="M260" s="385">
        <v>153.80000000000001</v>
      </c>
      <c r="N260" s="385">
        <v>148.5</v>
      </c>
      <c r="O260" s="381">
        <v>9</v>
      </c>
    </row>
    <row r="261" spans="1:15" x14ac:dyDescent="0.2">
      <c r="A261" s="379">
        <v>2008</v>
      </c>
      <c r="B261" s="387">
        <v>154.30000000000001</v>
      </c>
      <c r="C261" s="396">
        <v>154.4</v>
      </c>
      <c r="D261" s="397">
        <v>154.9</v>
      </c>
      <c r="E261" s="397">
        <v>155.9</v>
      </c>
      <c r="F261" s="397">
        <v>156.5</v>
      </c>
      <c r="G261" s="397">
        <v>159.19999999999999</v>
      </c>
      <c r="H261" s="398">
        <v>161</v>
      </c>
      <c r="I261" s="398">
        <v>162.69999999999999</v>
      </c>
      <c r="J261" s="398">
        <v>163.4</v>
      </c>
      <c r="K261" s="398">
        <v>163</v>
      </c>
      <c r="L261" s="398">
        <v>163.30000000000001</v>
      </c>
      <c r="M261" s="398">
        <v>163.30000000000001</v>
      </c>
      <c r="N261" s="398">
        <v>159.30000000000001</v>
      </c>
      <c r="O261" s="381">
        <v>10</v>
      </c>
    </row>
    <row r="262" spans="1:15" x14ac:dyDescent="0.2">
      <c r="A262" s="379">
        <v>2009</v>
      </c>
      <c r="B262" s="388">
        <v>163.69999999999999</v>
      </c>
      <c r="C262" s="388">
        <v>162.4</v>
      </c>
      <c r="D262" s="388">
        <v>162.30000000000001</v>
      </c>
      <c r="E262" s="388">
        <v>162</v>
      </c>
      <c r="F262" s="388">
        <v>161.5</v>
      </c>
      <c r="G262" s="388">
        <v>164.8</v>
      </c>
      <c r="H262" s="388">
        <v>164.8</v>
      </c>
      <c r="I262" s="388">
        <v>164.8</v>
      </c>
      <c r="J262" s="460">
        <v>164.8</v>
      </c>
      <c r="K262" s="460">
        <v>164.9</v>
      </c>
      <c r="L262" s="460">
        <v>164.9</v>
      </c>
      <c r="M262" s="460">
        <v>164.9</v>
      </c>
      <c r="N262" s="460">
        <v>163.80000000000001</v>
      </c>
      <c r="O262" s="381">
        <v>11</v>
      </c>
    </row>
    <row r="263" spans="1:15" x14ac:dyDescent="0.2">
      <c r="A263" s="379">
        <v>2010</v>
      </c>
      <c r="B263" s="388">
        <v>165</v>
      </c>
      <c r="C263" s="388">
        <v>165.1</v>
      </c>
      <c r="D263" s="388">
        <v>165.3</v>
      </c>
      <c r="E263" s="388">
        <v>165.3</v>
      </c>
      <c r="F263" s="388">
        <v>165.7</v>
      </c>
      <c r="G263" s="388">
        <v>165.7</v>
      </c>
      <c r="H263" s="388">
        <v>166.2</v>
      </c>
      <c r="I263" s="388">
        <v>166.8</v>
      </c>
      <c r="J263" s="65">
        <v>166.8</v>
      </c>
      <c r="K263" s="391">
        <v>166.9</v>
      </c>
      <c r="L263" s="391">
        <v>168</v>
      </c>
      <c r="M263" s="391">
        <v>168</v>
      </c>
      <c r="N263" s="391">
        <v>166.2</v>
      </c>
      <c r="O263" s="381">
        <v>12</v>
      </c>
    </row>
    <row r="264" spans="1:15" x14ac:dyDescent="0.2">
      <c r="A264" s="379">
        <v>2011</v>
      </c>
      <c r="B264">
        <v>168</v>
      </c>
      <c r="C264" s="388">
        <v>168.1</v>
      </c>
      <c r="D264" s="385">
        <v>168.1</v>
      </c>
      <c r="E264" s="389">
        <v>169.5</v>
      </c>
      <c r="F264" s="389">
        <v>169.3</v>
      </c>
      <c r="G264" s="389">
        <v>169.6</v>
      </c>
      <c r="H264" s="389">
        <v>169.9</v>
      </c>
      <c r="I264" s="389"/>
      <c r="J264" s="389"/>
      <c r="K264" s="389"/>
      <c r="L264" s="389"/>
      <c r="M264" s="389"/>
      <c r="N264" s="389"/>
      <c r="O264" s="381">
        <v>13</v>
      </c>
    </row>
    <row r="265" spans="1:15" x14ac:dyDescent="0.2">
      <c r="A265" s="379"/>
      <c r="B265" s="368"/>
      <c r="C265" s="368"/>
      <c r="D265" s="368"/>
      <c r="E265" s="368"/>
      <c r="F265" s="368"/>
      <c r="G265" s="368"/>
      <c r="H265" s="368"/>
      <c r="I265" s="368"/>
      <c r="J265" s="368"/>
      <c r="K265" s="368"/>
      <c r="L265" s="368"/>
      <c r="M265" s="368"/>
      <c r="N265" s="368"/>
      <c r="O265" s="381">
        <v>14</v>
      </c>
    </row>
    <row r="266" spans="1:15" ht="15" x14ac:dyDescent="0.3">
      <c r="B266" s="372" t="s">
        <v>755</v>
      </c>
      <c r="D266" s="372">
        <v>198206</v>
      </c>
    </row>
    <row r="267" spans="1:15" x14ac:dyDescent="0.2">
      <c r="A267" s="27" t="s">
        <v>626</v>
      </c>
      <c r="B267" s="373">
        <v>331221</v>
      </c>
      <c r="C267" s="27" t="s">
        <v>756</v>
      </c>
      <c r="O267" t="s">
        <v>713</v>
      </c>
    </row>
    <row r="268" spans="1:15" x14ac:dyDescent="0.2">
      <c r="A268" s="27"/>
      <c r="B268" s="359" t="s">
        <v>714</v>
      </c>
      <c r="C268" s="374" t="s">
        <v>715</v>
      </c>
      <c r="D268" s="375" t="s">
        <v>716</v>
      </c>
      <c r="E268" s="375" t="s">
        <v>717</v>
      </c>
      <c r="F268" s="375" t="s">
        <v>718</v>
      </c>
      <c r="G268" s="375" t="s">
        <v>719</v>
      </c>
      <c r="H268" s="375" t="s">
        <v>720</v>
      </c>
      <c r="I268" s="375" t="s">
        <v>721</v>
      </c>
      <c r="J268" s="375" t="s">
        <v>722</v>
      </c>
      <c r="K268" s="375" t="s">
        <v>723</v>
      </c>
      <c r="L268" s="375" t="s">
        <v>724</v>
      </c>
      <c r="M268" s="375" t="s">
        <v>725</v>
      </c>
      <c r="N268" s="375" t="s">
        <v>726</v>
      </c>
    </row>
    <row r="269" spans="1:15" x14ac:dyDescent="0.2">
      <c r="A269" s="376" t="s">
        <v>730</v>
      </c>
      <c r="B269" s="377">
        <v>1</v>
      </c>
      <c r="C269" s="377">
        <v>2</v>
      </c>
      <c r="D269" s="377">
        <v>3</v>
      </c>
      <c r="E269" s="377">
        <v>4</v>
      </c>
      <c r="F269" s="377">
        <v>5</v>
      </c>
      <c r="G269" s="377">
        <v>6</v>
      </c>
      <c r="H269" s="377">
        <v>7</v>
      </c>
      <c r="I269" s="377">
        <v>8</v>
      </c>
      <c r="J269" s="377">
        <v>9</v>
      </c>
      <c r="K269" s="377">
        <v>10</v>
      </c>
      <c r="L269" s="377">
        <v>11</v>
      </c>
      <c r="M269" s="377">
        <v>12</v>
      </c>
      <c r="N269" s="377">
        <v>13</v>
      </c>
      <c r="O269" s="378">
        <v>1</v>
      </c>
    </row>
    <row r="270" spans="1:15" x14ac:dyDescent="0.2">
      <c r="A270" s="379">
        <v>2000</v>
      </c>
      <c r="B270" s="380">
        <v>111.8</v>
      </c>
      <c r="C270" s="380">
        <v>112.7</v>
      </c>
      <c r="D270" s="380">
        <v>113</v>
      </c>
      <c r="E270" s="380">
        <v>114.3</v>
      </c>
      <c r="F270" s="380">
        <v>115.7</v>
      </c>
      <c r="G270" s="380">
        <v>115.1</v>
      </c>
      <c r="H270" s="380">
        <v>115.2</v>
      </c>
      <c r="I270" s="380">
        <v>115.5</v>
      </c>
      <c r="J270" s="380">
        <v>114.5</v>
      </c>
      <c r="K270" s="380">
        <v>114.6</v>
      </c>
      <c r="L270" s="380">
        <v>111.8</v>
      </c>
      <c r="M270" s="380">
        <v>109.1</v>
      </c>
      <c r="N270" s="380">
        <v>113.6</v>
      </c>
      <c r="O270" s="381">
        <v>2</v>
      </c>
    </row>
    <row r="271" spans="1:15" x14ac:dyDescent="0.2">
      <c r="A271" s="379">
        <v>2001</v>
      </c>
      <c r="B271" s="380">
        <v>108.6</v>
      </c>
      <c r="C271" s="380">
        <v>109.7</v>
      </c>
      <c r="D271" s="380">
        <v>108.8</v>
      </c>
      <c r="E271" s="380">
        <v>108.3</v>
      </c>
      <c r="F271" s="380">
        <v>107.9</v>
      </c>
      <c r="G271" s="380">
        <v>107.3</v>
      </c>
      <c r="H271" s="380">
        <v>107</v>
      </c>
      <c r="I271" s="380">
        <v>106.6</v>
      </c>
      <c r="J271" s="380">
        <v>106.9</v>
      </c>
      <c r="K271" s="380">
        <v>106.5</v>
      </c>
      <c r="L271" s="380">
        <v>106.4</v>
      </c>
      <c r="M271" s="380">
        <v>105.8</v>
      </c>
      <c r="N271" s="380">
        <v>107.5</v>
      </c>
      <c r="O271" s="381">
        <v>3</v>
      </c>
    </row>
    <row r="272" spans="1:15" x14ac:dyDescent="0.2">
      <c r="A272" s="379">
        <v>2002</v>
      </c>
      <c r="B272" s="380">
        <v>105.3</v>
      </c>
      <c r="C272" s="380">
        <v>106.8</v>
      </c>
      <c r="D272" s="380">
        <v>108.2</v>
      </c>
      <c r="E272" s="380">
        <v>111.4</v>
      </c>
      <c r="F272" s="380">
        <v>115.2</v>
      </c>
      <c r="G272" s="380">
        <v>117</v>
      </c>
      <c r="H272" s="380">
        <v>118.5</v>
      </c>
      <c r="I272" s="380">
        <v>119.2</v>
      </c>
      <c r="J272" s="380">
        <v>117.6</v>
      </c>
      <c r="K272" s="380">
        <v>118.3</v>
      </c>
      <c r="L272" s="380">
        <v>118.3</v>
      </c>
      <c r="M272" s="380">
        <v>118.3</v>
      </c>
      <c r="N272" s="380">
        <v>114.5</v>
      </c>
      <c r="O272" s="381">
        <v>4</v>
      </c>
    </row>
    <row r="273" spans="1:15" x14ac:dyDescent="0.2">
      <c r="A273" s="379">
        <v>2003</v>
      </c>
      <c r="B273" s="380">
        <v>118.5</v>
      </c>
      <c r="C273" s="380">
        <v>118.8</v>
      </c>
      <c r="D273" s="380">
        <v>118.5</v>
      </c>
      <c r="E273" s="380">
        <v>117.3</v>
      </c>
      <c r="F273" s="380">
        <v>117</v>
      </c>
      <c r="G273" s="380">
        <v>117.3</v>
      </c>
      <c r="H273" s="380">
        <v>117.5</v>
      </c>
      <c r="I273" s="380">
        <v>117.1</v>
      </c>
      <c r="J273" s="380">
        <v>117.5</v>
      </c>
      <c r="K273" s="380">
        <v>117.6</v>
      </c>
      <c r="L273" s="380">
        <v>119</v>
      </c>
      <c r="M273" s="380">
        <v>119.9</v>
      </c>
      <c r="N273" s="380">
        <v>118</v>
      </c>
      <c r="O273" s="381">
        <v>5</v>
      </c>
    </row>
    <row r="274" spans="1:15" x14ac:dyDescent="0.2">
      <c r="A274" s="379">
        <v>2004</v>
      </c>
      <c r="B274" s="380">
        <v>123.2</v>
      </c>
      <c r="C274" s="380">
        <v>130.6</v>
      </c>
      <c r="D274" s="380">
        <v>137.6</v>
      </c>
      <c r="E274" s="380">
        <v>144</v>
      </c>
      <c r="F274" s="380">
        <v>146.4</v>
      </c>
      <c r="G274" s="380">
        <v>147.1</v>
      </c>
      <c r="H274" s="380">
        <v>148.69999999999999</v>
      </c>
      <c r="I274" s="380">
        <v>155.6</v>
      </c>
      <c r="J274" s="380">
        <v>160.69999999999999</v>
      </c>
      <c r="K274" s="380">
        <v>163.19999999999999</v>
      </c>
      <c r="L274" s="380">
        <v>162.6</v>
      </c>
      <c r="M274" s="380">
        <v>165.7</v>
      </c>
      <c r="N274" s="380">
        <v>148.80000000000001</v>
      </c>
      <c r="O274" s="381">
        <v>6</v>
      </c>
    </row>
    <row r="275" spans="1:15" x14ac:dyDescent="0.2">
      <c r="A275" s="379">
        <v>2005</v>
      </c>
      <c r="B275" s="380">
        <v>176.4</v>
      </c>
      <c r="C275" s="380">
        <v>177.4</v>
      </c>
      <c r="D275" s="382">
        <v>174.9</v>
      </c>
      <c r="E275" s="382">
        <v>174</v>
      </c>
      <c r="F275" s="382">
        <v>174.2</v>
      </c>
      <c r="G275" s="382">
        <v>167.9</v>
      </c>
      <c r="H275" s="382">
        <v>164.6</v>
      </c>
      <c r="I275" s="382">
        <v>159.9</v>
      </c>
      <c r="J275" s="382">
        <v>162.1</v>
      </c>
      <c r="K275" s="382">
        <v>164.5</v>
      </c>
      <c r="L275" s="382">
        <v>165.3</v>
      </c>
      <c r="M275" s="382">
        <v>167.8</v>
      </c>
      <c r="N275" s="382">
        <v>169.1</v>
      </c>
      <c r="O275" s="381">
        <v>7</v>
      </c>
    </row>
    <row r="276" spans="1:15" x14ac:dyDescent="0.2">
      <c r="A276" s="379">
        <v>2006</v>
      </c>
      <c r="B276" s="382">
        <v>164</v>
      </c>
      <c r="C276" s="383">
        <v>163.69999999999999</v>
      </c>
      <c r="D276" s="384">
        <v>164.5</v>
      </c>
      <c r="E276" s="384">
        <v>165.6</v>
      </c>
      <c r="F276" s="384">
        <v>167.9</v>
      </c>
      <c r="G276" s="384">
        <v>171.1</v>
      </c>
      <c r="H276" s="384">
        <v>172.4</v>
      </c>
      <c r="I276" s="384">
        <v>172.5</v>
      </c>
      <c r="J276" s="385">
        <v>171.9</v>
      </c>
      <c r="K276" s="385">
        <v>171.1</v>
      </c>
      <c r="L276" s="385">
        <v>170.9</v>
      </c>
      <c r="M276" s="385">
        <v>171</v>
      </c>
      <c r="N276" s="385">
        <v>168.9</v>
      </c>
      <c r="O276" s="381">
        <v>8</v>
      </c>
    </row>
    <row r="277" spans="1:15" x14ac:dyDescent="0.2">
      <c r="A277" s="379">
        <v>2007</v>
      </c>
      <c r="B277" s="386">
        <v>169</v>
      </c>
      <c r="C277" s="386">
        <v>170.3</v>
      </c>
      <c r="D277" s="384">
        <v>172.4</v>
      </c>
      <c r="E277" s="384">
        <v>175.4</v>
      </c>
      <c r="F277" s="384">
        <v>174.8</v>
      </c>
      <c r="G277" s="384">
        <v>173</v>
      </c>
      <c r="H277" s="384">
        <v>171.9</v>
      </c>
      <c r="I277" s="384">
        <v>171.5</v>
      </c>
      <c r="J277" s="385">
        <v>170.7</v>
      </c>
      <c r="K277" s="385">
        <v>169.6</v>
      </c>
      <c r="L277" s="385">
        <v>169.7</v>
      </c>
      <c r="M277" s="385">
        <v>172</v>
      </c>
      <c r="N277" s="385">
        <v>171.7</v>
      </c>
      <c r="O277" s="381">
        <v>9</v>
      </c>
    </row>
    <row r="278" spans="1:15" x14ac:dyDescent="0.2">
      <c r="A278" s="379">
        <v>2008</v>
      </c>
      <c r="B278" s="387">
        <v>177.4</v>
      </c>
      <c r="C278" s="396">
        <v>183.9</v>
      </c>
      <c r="D278" s="397">
        <v>191.4</v>
      </c>
      <c r="E278" s="397">
        <v>208</v>
      </c>
      <c r="F278" s="397">
        <v>225.5</v>
      </c>
      <c r="G278" s="397">
        <v>240.9</v>
      </c>
      <c r="H278" s="398">
        <v>250.8</v>
      </c>
      <c r="I278" s="398">
        <v>255.4</v>
      </c>
      <c r="J278" s="398">
        <v>251.3</v>
      </c>
      <c r="K278" s="398">
        <v>240.6</v>
      </c>
      <c r="L278" s="398">
        <v>224.9</v>
      </c>
      <c r="M278" s="398">
        <v>213.5</v>
      </c>
      <c r="N278" s="398">
        <v>222</v>
      </c>
      <c r="O278" s="381">
        <v>10</v>
      </c>
    </row>
    <row r="279" spans="1:15" x14ac:dyDescent="0.2">
      <c r="A279" s="379">
        <v>2009</v>
      </c>
      <c r="B279" s="388">
        <v>203.5</v>
      </c>
      <c r="C279" s="388">
        <v>196.3</v>
      </c>
      <c r="D279" s="388">
        <v>189.5</v>
      </c>
      <c r="E279" s="388">
        <v>184.2</v>
      </c>
      <c r="F279" s="388">
        <v>177.3</v>
      </c>
      <c r="G279" s="388">
        <v>174.4</v>
      </c>
      <c r="H279" s="388">
        <v>179</v>
      </c>
      <c r="I279" s="388">
        <v>182.5</v>
      </c>
      <c r="J279" s="460">
        <v>181.5</v>
      </c>
      <c r="K279" s="460">
        <v>180.4</v>
      </c>
      <c r="L279" s="460">
        <v>177.3</v>
      </c>
      <c r="M279" s="460">
        <v>178.1</v>
      </c>
      <c r="N279" s="460">
        <v>183.7</v>
      </c>
      <c r="O279" s="381">
        <v>11</v>
      </c>
    </row>
    <row r="280" spans="1:15" x14ac:dyDescent="0.2">
      <c r="A280" s="379">
        <v>2010</v>
      </c>
      <c r="B280" s="388">
        <v>182.2</v>
      </c>
      <c r="C280" s="388">
        <v>187.4</v>
      </c>
      <c r="D280" s="388">
        <v>188.2</v>
      </c>
      <c r="E280" s="388">
        <v>190</v>
      </c>
      <c r="F280" s="388">
        <v>192.6</v>
      </c>
      <c r="G280" s="388">
        <v>192.2</v>
      </c>
      <c r="H280" s="388">
        <v>190.1</v>
      </c>
      <c r="I280" s="388">
        <v>186.6</v>
      </c>
      <c r="J280" s="65">
        <v>186</v>
      </c>
      <c r="K280" s="391">
        <v>185.2</v>
      </c>
      <c r="L280" s="391">
        <v>183.4</v>
      </c>
      <c r="M280" s="391">
        <v>186.1</v>
      </c>
      <c r="N280" s="391">
        <v>187.5</v>
      </c>
      <c r="O280" s="381">
        <v>12</v>
      </c>
    </row>
    <row r="281" spans="1:15" x14ac:dyDescent="0.2">
      <c r="A281" s="379">
        <v>2011</v>
      </c>
      <c r="B281">
        <v>189.7</v>
      </c>
      <c r="C281" s="388">
        <v>196.9</v>
      </c>
      <c r="D281" s="385">
        <v>205.1</v>
      </c>
      <c r="E281" s="389">
        <v>206.8</v>
      </c>
      <c r="F281" s="389">
        <v>211.8</v>
      </c>
      <c r="G281" s="389">
        <v>209.8</v>
      </c>
      <c r="H281" s="389">
        <v>208.7</v>
      </c>
      <c r="I281" s="389"/>
      <c r="J281" s="389"/>
      <c r="K281" s="389"/>
      <c r="L281" s="389"/>
      <c r="M281" s="389"/>
      <c r="N281" s="389"/>
      <c r="O281" s="381">
        <v>13</v>
      </c>
    </row>
    <row r="282" spans="1:15" x14ac:dyDescent="0.2">
      <c r="A282" s="379"/>
      <c r="B282" s="368"/>
      <c r="C282" s="368"/>
      <c r="D282" s="368"/>
      <c r="E282" s="368"/>
      <c r="F282" s="368"/>
      <c r="G282" s="368"/>
      <c r="H282" s="368"/>
      <c r="I282" s="368"/>
      <c r="J282" s="368"/>
      <c r="K282" s="368"/>
      <c r="L282" s="368"/>
      <c r="M282" s="368"/>
      <c r="N282" s="368"/>
      <c r="O282" s="381">
        <v>14</v>
      </c>
    </row>
    <row r="284" spans="1:15" ht="15" x14ac:dyDescent="0.3">
      <c r="A284" s="27" t="s">
        <v>626</v>
      </c>
      <c r="B284" s="373" t="s">
        <v>787</v>
      </c>
      <c r="C284" s="27" t="s">
        <v>788</v>
      </c>
      <c r="G284" t="s">
        <v>789</v>
      </c>
      <c r="H284" s="372" t="s">
        <v>757</v>
      </c>
      <c r="J284" s="372">
        <v>198606</v>
      </c>
      <c r="O284" t="s">
        <v>713</v>
      </c>
    </row>
    <row r="285" spans="1:15" x14ac:dyDescent="0.2">
      <c r="A285" s="27"/>
      <c r="B285" s="359" t="s">
        <v>714</v>
      </c>
      <c r="C285" s="374" t="s">
        <v>715</v>
      </c>
      <c r="D285" s="375" t="s">
        <v>716</v>
      </c>
      <c r="E285" s="375" t="s">
        <v>717</v>
      </c>
      <c r="F285" s="375" t="s">
        <v>718</v>
      </c>
      <c r="G285" s="375" t="s">
        <v>719</v>
      </c>
      <c r="H285" s="375" t="s">
        <v>720</v>
      </c>
      <c r="I285" s="375" t="s">
        <v>721</v>
      </c>
      <c r="J285" s="375" t="s">
        <v>722</v>
      </c>
      <c r="K285" s="375" t="s">
        <v>723</v>
      </c>
      <c r="L285" s="375" t="s">
        <v>724</v>
      </c>
      <c r="M285" s="375" t="s">
        <v>725</v>
      </c>
      <c r="N285" s="375" t="s">
        <v>726</v>
      </c>
    </row>
    <row r="286" spans="1:15" x14ac:dyDescent="0.2">
      <c r="A286" s="376" t="s">
        <v>730</v>
      </c>
      <c r="B286" s="377">
        <v>1</v>
      </c>
      <c r="C286" s="377">
        <v>2</v>
      </c>
      <c r="D286" s="377">
        <v>3</v>
      </c>
      <c r="E286" s="377">
        <v>4</v>
      </c>
      <c r="F286" s="377">
        <v>5</v>
      </c>
      <c r="G286" s="377">
        <v>6</v>
      </c>
      <c r="H286" s="377">
        <v>7</v>
      </c>
      <c r="I286" s="377">
        <v>8</v>
      </c>
      <c r="J286" s="377">
        <v>9</v>
      </c>
      <c r="K286" s="377">
        <v>10</v>
      </c>
      <c r="L286" s="377">
        <v>11</v>
      </c>
      <c r="M286" s="377">
        <v>12</v>
      </c>
      <c r="N286" s="377">
        <v>13</v>
      </c>
      <c r="O286" s="378">
        <v>1</v>
      </c>
    </row>
    <row r="287" spans="1:15" x14ac:dyDescent="0.2">
      <c r="A287" s="379">
        <v>2000</v>
      </c>
      <c r="B287" s="465">
        <v>61.72270842929526</v>
      </c>
      <c r="C287" s="465">
        <v>62.643942883463843</v>
      </c>
      <c r="D287" s="465">
        <v>62.459695992630124</v>
      </c>
      <c r="E287" s="465">
        <v>62.551819438046984</v>
      </c>
      <c r="F287" s="465">
        <v>63.380930446798715</v>
      </c>
      <c r="G287" s="465">
        <v>63.150621833256558</v>
      </c>
      <c r="H287" s="465">
        <v>62.920313219714416</v>
      </c>
      <c r="I287" s="465">
        <v>63.979732842008296</v>
      </c>
      <c r="J287" s="465">
        <v>63.795485951174577</v>
      </c>
      <c r="K287" s="465">
        <v>63.749424228466147</v>
      </c>
      <c r="L287" s="465">
        <v>63.242745278673432</v>
      </c>
      <c r="M287" s="465">
        <v>62.874251497005993</v>
      </c>
      <c r="N287" s="466">
        <v>63.039306003377853</v>
      </c>
      <c r="O287" s="381">
        <v>2</v>
      </c>
    </row>
    <row r="288" spans="1:15" x14ac:dyDescent="0.2">
      <c r="A288" s="379">
        <v>2001</v>
      </c>
      <c r="B288" s="465">
        <v>63.473053892215582</v>
      </c>
      <c r="C288" s="465">
        <v>63.657300783049287</v>
      </c>
      <c r="D288" s="465">
        <v>63.288807001381855</v>
      </c>
      <c r="E288" s="465">
        <v>63.795485951174577</v>
      </c>
      <c r="F288" s="465">
        <v>64.440350069092588</v>
      </c>
      <c r="G288" s="465">
        <v>63.933671119299873</v>
      </c>
      <c r="H288" s="465">
        <v>62.920313219714416</v>
      </c>
      <c r="I288" s="465">
        <v>63.104560110548135</v>
      </c>
      <c r="J288" s="465">
        <v>63.749424228466147</v>
      </c>
      <c r="K288" s="465">
        <v>62.367572547213271</v>
      </c>
      <c r="L288" s="465">
        <v>61.768770152003682</v>
      </c>
      <c r="M288" s="465">
        <v>60.985720865960388</v>
      </c>
      <c r="N288" s="465">
        <v>63.104560110548135</v>
      </c>
      <c r="O288" s="381">
        <v>3</v>
      </c>
    </row>
    <row r="289" spans="1:15" x14ac:dyDescent="0.2">
      <c r="A289" s="379">
        <v>2002</v>
      </c>
      <c r="B289" s="465">
        <v>61.216029479502545</v>
      </c>
      <c r="C289" s="465">
        <v>60.985720865960388</v>
      </c>
      <c r="D289" s="465">
        <v>61.123906034085671</v>
      </c>
      <c r="E289" s="465">
        <v>61.400276370336258</v>
      </c>
      <c r="F289" s="465">
        <v>61.6305849838784</v>
      </c>
      <c r="G289" s="465">
        <v>61.676646706586837</v>
      </c>
      <c r="H289" s="465">
        <v>61.768770152003682</v>
      </c>
      <c r="I289" s="465">
        <v>61.814831874712105</v>
      </c>
      <c r="J289" s="465">
        <v>61.906955320128972</v>
      </c>
      <c r="K289" s="465">
        <v>61.906955320128972</v>
      </c>
      <c r="L289" s="465">
        <v>61.676646706586837</v>
      </c>
      <c r="M289" s="465">
        <v>61.584523261169963</v>
      </c>
      <c r="N289" s="465">
        <v>61.584523261169963</v>
      </c>
      <c r="O289" s="381">
        <v>4</v>
      </c>
    </row>
    <row r="290" spans="1:15" x14ac:dyDescent="0.2">
      <c r="A290" s="379">
        <v>2003</v>
      </c>
      <c r="B290" s="465">
        <v>62.045140488254255</v>
      </c>
      <c r="C290" s="465">
        <v>62.505757715338547</v>
      </c>
      <c r="D290" s="465">
        <v>63.012436665131276</v>
      </c>
      <c r="E290" s="465">
        <v>63.150621833256558</v>
      </c>
      <c r="F290" s="465">
        <v>63.104560110548135</v>
      </c>
      <c r="G290" s="465">
        <v>63.058498387839713</v>
      </c>
      <c r="H290" s="465">
        <v>62.966374942422846</v>
      </c>
      <c r="I290" s="465">
        <v>63.058498387839713</v>
      </c>
      <c r="J290" s="465">
        <v>63.012436665131276</v>
      </c>
      <c r="K290" s="465">
        <v>62.966374942422846</v>
      </c>
      <c r="L290" s="465">
        <v>63.150621833256558</v>
      </c>
      <c r="M290" s="465">
        <v>63.196683555964995</v>
      </c>
      <c r="N290" s="465">
        <v>62.920313219714416</v>
      </c>
      <c r="O290" s="381">
        <v>5</v>
      </c>
    </row>
    <row r="291" spans="1:15" x14ac:dyDescent="0.2">
      <c r="A291" s="379">
        <v>2004</v>
      </c>
      <c r="B291" s="465">
        <v>64.716720405343167</v>
      </c>
      <c r="C291" s="465">
        <v>65.039152464302163</v>
      </c>
      <c r="D291" s="465">
        <v>65.637954859511751</v>
      </c>
      <c r="E291" s="465">
        <v>66.88162137263933</v>
      </c>
      <c r="F291" s="465">
        <v>68.125287885766923</v>
      </c>
      <c r="G291" s="465">
        <v>67.710732381391068</v>
      </c>
      <c r="H291" s="465">
        <v>68.724090280976498</v>
      </c>
      <c r="I291" s="465">
        <v>69.322892676186086</v>
      </c>
      <c r="J291" s="465">
        <v>69.921695071395675</v>
      </c>
      <c r="K291" s="465">
        <v>71.625978811607567</v>
      </c>
      <c r="L291" s="465">
        <v>71.579917088899123</v>
      </c>
      <c r="M291" s="465">
        <v>70.013818516812535</v>
      </c>
      <c r="N291" s="465">
        <v>68.263473053892213</v>
      </c>
      <c r="O291" s="381">
        <v>6</v>
      </c>
    </row>
    <row r="292" spans="1:15" x14ac:dyDescent="0.2">
      <c r="A292" s="379">
        <v>2005</v>
      </c>
      <c r="B292" s="465">
        <v>71.073238139106408</v>
      </c>
      <c r="C292" s="465">
        <v>72.086596038691852</v>
      </c>
      <c r="D292" s="467">
        <v>73.883003224320603</v>
      </c>
      <c r="E292" s="467">
        <v>75.034546292031322</v>
      </c>
      <c r="F292" s="467">
        <v>74.804237678489187</v>
      </c>
      <c r="G292" s="467">
        <v>75.403040073698762</v>
      </c>
      <c r="H292" s="467">
        <v>77.199447259327499</v>
      </c>
      <c r="I292" s="467">
        <v>78.304928604329803</v>
      </c>
      <c r="J292" s="467">
        <v>81.114693689543998</v>
      </c>
      <c r="K292" s="467">
        <v>83.279594656840175</v>
      </c>
      <c r="L292" s="467">
        <v>79.96315062183325</v>
      </c>
      <c r="M292" s="467">
        <v>79.917088899124835</v>
      </c>
      <c r="N292" s="467">
        <v>76.830953477660074</v>
      </c>
      <c r="O292" s="381">
        <v>7</v>
      </c>
    </row>
    <row r="293" spans="1:15" x14ac:dyDescent="0.2">
      <c r="A293" s="379">
        <v>2006</v>
      </c>
      <c r="B293" s="467">
        <v>81.759557807462002</v>
      </c>
      <c r="C293" s="468">
        <v>81.022570244127138</v>
      </c>
      <c r="D293" s="469">
        <v>82.634730538922156</v>
      </c>
      <c r="E293" s="469">
        <v>85.398433901427921</v>
      </c>
      <c r="F293" s="469">
        <v>86.549976969138655</v>
      </c>
      <c r="G293" s="469">
        <v>87.701520036849374</v>
      </c>
      <c r="H293" s="469">
        <v>88.346384154767392</v>
      </c>
      <c r="I293" s="470">
        <v>88.853063104560121</v>
      </c>
      <c r="J293" s="470">
        <v>85.628742514970071</v>
      </c>
      <c r="K293" s="470">
        <v>84.385076001842464</v>
      </c>
      <c r="L293" s="470">
        <v>84.246890833717174</v>
      </c>
      <c r="M293" s="470">
        <v>84.799631506218333</v>
      </c>
      <c r="N293" s="470">
        <v>85.122063565177342</v>
      </c>
      <c r="O293" s="381">
        <v>8</v>
      </c>
    </row>
    <row r="294" spans="1:15" x14ac:dyDescent="0.2">
      <c r="A294" s="379">
        <v>2007</v>
      </c>
      <c r="B294" s="469">
        <v>84.339014279134034</v>
      </c>
      <c r="C294" s="469">
        <v>85.306310456011047</v>
      </c>
      <c r="D294" s="469">
        <v>87.517273146015668</v>
      </c>
      <c r="E294" s="469">
        <v>89.636112390603401</v>
      </c>
      <c r="F294" s="469">
        <v>91.017964071856284</v>
      </c>
      <c r="G294" s="469">
        <v>90.649470290188859</v>
      </c>
      <c r="H294" s="469">
        <v>92.123445416858601</v>
      </c>
      <c r="I294" s="470">
        <v>90.23491478581299</v>
      </c>
      <c r="J294" s="470">
        <v>90.971902349147854</v>
      </c>
      <c r="K294" s="470">
        <v>90.971902349147854</v>
      </c>
      <c r="L294" s="470">
        <v>94.380469829571638</v>
      </c>
      <c r="M294" s="470">
        <v>93.36711192998618</v>
      </c>
      <c r="N294" s="470">
        <v>90.05066789497927</v>
      </c>
      <c r="O294" s="381">
        <v>9</v>
      </c>
    </row>
    <row r="295" spans="1:15" x14ac:dyDescent="0.2">
      <c r="A295" s="379">
        <v>2008</v>
      </c>
      <c r="B295" s="471">
        <v>94.288346384154764</v>
      </c>
      <c r="C295" s="472">
        <v>94.841087056655923</v>
      </c>
      <c r="D295" s="472">
        <v>98.479963150621842</v>
      </c>
      <c r="E295" s="472">
        <v>100.64486411791802</v>
      </c>
      <c r="F295" s="472">
        <v>104.69829571625979</v>
      </c>
      <c r="G295" s="472">
        <v>107.96867802855827</v>
      </c>
      <c r="H295" s="473">
        <v>112.16029479502534</v>
      </c>
      <c r="I295" s="473">
        <v>110.22570244127132</v>
      </c>
      <c r="J295" s="473">
        <v>111.05481345002303</v>
      </c>
      <c r="K295" s="473">
        <v>104.51404882542607</v>
      </c>
      <c r="L295" s="473">
        <v>97.650852141870104</v>
      </c>
      <c r="M295" s="473">
        <v>92.814371257485035</v>
      </c>
      <c r="N295" s="473">
        <v>102.44127130354677</v>
      </c>
      <c r="O295" s="381">
        <v>10</v>
      </c>
    </row>
    <row r="296" spans="1:15" x14ac:dyDescent="0.2">
      <c r="A296" s="379">
        <v>2009</v>
      </c>
      <c r="B296" s="474">
        <v>93.459235375403054</v>
      </c>
      <c r="C296" s="474">
        <v>91.801013357899592</v>
      </c>
      <c r="D296" s="474">
        <v>91.294334408106863</v>
      </c>
      <c r="E296" s="474">
        <v>92.491939198526026</v>
      </c>
      <c r="F296" s="474">
        <v>94.011976047904184</v>
      </c>
      <c r="G296" s="474">
        <v>96.130815292491931</v>
      </c>
      <c r="H296" s="474">
        <v>94.933210502072768</v>
      </c>
      <c r="I296" s="474">
        <v>96.269000460617221</v>
      </c>
      <c r="J296" s="475">
        <v>95.854444956241352</v>
      </c>
      <c r="K296" s="475">
        <v>95.578074619990787</v>
      </c>
      <c r="L296" s="475">
        <v>96.499309074159385</v>
      </c>
      <c r="M296" s="475">
        <v>96.407185628742525</v>
      </c>
      <c r="N296" s="475">
        <v>94.564716720405357</v>
      </c>
      <c r="O296" s="381">
        <v>11</v>
      </c>
    </row>
    <row r="297" spans="1:15" x14ac:dyDescent="0.2">
      <c r="A297" s="379">
        <v>2010</v>
      </c>
      <c r="B297" s="474">
        <v>97.927222478120683</v>
      </c>
      <c r="C297" s="474">
        <v>97.466605251036384</v>
      </c>
      <c r="D297" s="475">
        <v>99.032703823122986</v>
      </c>
      <c r="E297" s="475">
        <v>100.18424689083372</v>
      </c>
      <c r="F297" s="475">
        <v>100.82911100875174</v>
      </c>
      <c r="G297" s="476">
        <v>100</v>
      </c>
      <c r="H297" s="477">
        <v>99.9</v>
      </c>
      <c r="I297" s="477">
        <v>100.3</v>
      </c>
      <c r="J297" s="477">
        <v>100</v>
      </c>
      <c r="K297" s="477">
        <v>100.8</v>
      </c>
      <c r="L297" s="477">
        <v>101.4</v>
      </c>
      <c r="M297" s="477">
        <v>102.2</v>
      </c>
      <c r="N297" s="478">
        <v>100.00332412098879</v>
      </c>
      <c r="O297" s="381">
        <v>12</v>
      </c>
    </row>
    <row r="298" spans="1:15" x14ac:dyDescent="0.2">
      <c r="A298" s="379">
        <v>2011</v>
      </c>
      <c r="B298" s="462">
        <v>103.6</v>
      </c>
      <c r="C298" s="462">
        <v>104.8</v>
      </c>
      <c r="D298" s="460">
        <v>107.5</v>
      </c>
      <c r="E298" s="463">
        <v>109.3</v>
      </c>
      <c r="F298" s="463">
        <v>110.8</v>
      </c>
      <c r="G298" s="463">
        <v>110.4</v>
      </c>
      <c r="H298" s="463">
        <v>110.8</v>
      </c>
      <c r="I298" s="479"/>
      <c r="J298" s="479"/>
      <c r="K298" s="479"/>
      <c r="L298" s="479"/>
      <c r="M298" s="479"/>
      <c r="N298" s="479"/>
      <c r="O298" s="381">
        <v>13</v>
      </c>
    </row>
    <row r="299" spans="1:15" x14ac:dyDescent="0.2">
      <c r="A299" s="379"/>
      <c r="B299" s="462"/>
      <c r="C299" s="462"/>
      <c r="D299" s="460"/>
      <c r="E299" s="463"/>
      <c r="F299" s="463"/>
      <c r="G299" s="463"/>
      <c r="H299" s="463"/>
      <c r="I299" s="479"/>
      <c r="J299" s="479"/>
      <c r="K299" s="479"/>
      <c r="L299" s="479"/>
      <c r="M299" s="479"/>
      <c r="N299" s="479"/>
      <c r="O299" s="381">
        <v>14</v>
      </c>
    </row>
    <row r="300" spans="1:15" x14ac:dyDescent="0.2">
      <c r="A300" s="480" t="s">
        <v>790</v>
      </c>
      <c r="B300" s="481"/>
      <c r="C300" s="481"/>
      <c r="D300" s="481"/>
      <c r="E300" s="481"/>
      <c r="F300" s="481"/>
      <c r="G300" s="481"/>
      <c r="H300" s="481"/>
      <c r="I300" s="481"/>
      <c r="J300" s="481"/>
      <c r="K300" s="481"/>
      <c r="L300" s="481"/>
      <c r="M300" s="481"/>
      <c r="N300" s="482"/>
      <c r="O300" s="381">
        <v>15</v>
      </c>
    </row>
    <row r="302" spans="1:15" ht="15" x14ac:dyDescent="0.3">
      <c r="A302" s="27" t="s">
        <v>626</v>
      </c>
      <c r="B302" s="373" t="s">
        <v>787</v>
      </c>
      <c r="C302" s="27" t="s">
        <v>788</v>
      </c>
      <c r="F302" t="s">
        <v>789</v>
      </c>
      <c r="G302" s="372" t="s">
        <v>758</v>
      </c>
      <c r="I302" s="372">
        <v>198606</v>
      </c>
      <c r="O302" t="s">
        <v>713</v>
      </c>
    </row>
    <row r="303" spans="1:15" x14ac:dyDescent="0.2">
      <c r="A303" s="27"/>
      <c r="B303" s="359" t="s">
        <v>714</v>
      </c>
      <c r="C303" s="374" t="s">
        <v>715</v>
      </c>
      <c r="D303" s="375" t="s">
        <v>716</v>
      </c>
      <c r="E303" s="375" t="s">
        <v>717</v>
      </c>
      <c r="F303" s="375" t="s">
        <v>718</v>
      </c>
      <c r="G303" s="375" t="s">
        <v>719</v>
      </c>
      <c r="H303" s="375" t="s">
        <v>720</v>
      </c>
      <c r="I303" s="375" t="s">
        <v>721</v>
      </c>
      <c r="J303" s="375" t="s">
        <v>722</v>
      </c>
      <c r="K303" s="375" t="s">
        <v>723</v>
      </c>
      <c r="L303" s="375" t="s">
        <v>724</v>
      </c>
      <c r="M303" s="375" t="s">
        <v>725</v>
      </c>
      <c r="N303" s="375" t="s">
        <v>726</v>
      </c>
    </row>
    <row r="304" spans="1:15" x14ac:dyDescent="0.2">
      <c r="A304" s="376" t="s">
        <v>730</v>
      </c>
      <c r="B304" s="377">
        <v>1</v>
      </c>
      <c r="C304" s="377">
        <v>2</v>
      </c>
      <c r="D304" s="377">
        <v>3</v>
      </c>
      <c r="E304" s="377">
        <v>4</v>
      </c>
      <c r="F304" s="377">
        <v>5</v>
      </c>
      <c r="G304" s="377">
        <v>6</v>
      </c>
      <c r="H304" s="377">
        <v>7</v>
      </c>
      <c r="I304" s="377">
        <v>8</v>
      </c>
      <c r="J304" s="377">
        <v>9</v>
      </c>
      <c r="K304" s="377">
        <v>10</v>
      </c>
      <c r="L304" s="377">
        <v>11</v>
      </c>
      <c r="M304" s="377">
        <v>12</v>
      </c>
      <c r="N304" s="377">
        <v>13</v>
      </c>
      <c r="O304" s="378">
        <v>1</v>
      </c>
    </row>
    <row r="305" spans="1:15" x14ac:dyDescent="0.2">
      <c r="A305" s="379">
        <v>2000</v>
      </c>
      <c r="B305" s="465">
        <v>66.925692083535708</v>
      </c>
      <c r="C305" s="465">
        <v>67.508499271491019</v>
      </c>
      <c r="D305" s="465">
        <v>67.994171928120451</v>
      </c>
      <c r="E305" s="465">
        <v>67.751335599805728</v>
      </c>
      <c r="F305" s="465">
        <v>67.65420106847985</v>
      </c>
      <c r="G305" s="465">
        <v>68.237008256435161</v>
      </c>
      <c r="H305" s="465">
        <v>68.139873725109283</v>
      </c>
      <c r="I305" s="465">
        <v>67.897037396794573</v>
      </c>
      <c r="J305" s="465">
        <v>68.382710053424006</v>
      </c>
      <c r="K305" s="465">
        <v>68.2855755220981</v>
      </c>
      <c r="L305" s="465">
        <v>68.188440990772222</v>
      </c>
      <c r="M305" s="465">
        <v>67.848470131131606</v>
      </c>
      <c r="N305" s="465">
        <v>67.897037396794573</v>
      </c>
      <c r="O305" s="381">
        <v>2</v>
      </c>
    </row>
    <row r="306" spans="1:15" x14ac:dyDescent="0.2">
      <c r="A306" s="379">
        <v>2001</v>
      </c>
      <c r="B306" s="465">
        <v>68.04273919378339</v>
      </c>
      <c r="C306" s="465">
        <v>68.139873725109283</v>
      </c>
      <c r="D306" s="465">
        <v>67.945604662457498</v>
      </c>
      <c r="E306" s="465">
        <v>68.237008256435161</v>
      </c>
      <c r="F306" s="465">
        <v>68.916949975716363</v>
      </c>
      <c r="G306" s="465">
        <v>68.819815444390471</v>
      </c>
      <c r="H306" s="465">
        <v>67.848470131131606</v>
      </c>
      <c r="I306" s="465">
        <v>67.848470131131606</v>
      </c>
      <c r="J306" s="465">
        <v>68.188440990772222</v>
      </c>
      <c r="K306" s="465">
        <v>66.974259349198633</v>
      </c>
      <c r="L306" s="465">
        <v>66.585721223895092</v>
      </c>
      <c r="M306" s="465">
        <v>66.100048567265659</v>
      </c>
      <c r="N306" s="465">
        <v>67.799902865468667</v>
      </c>
      <c r="O306" s="381">
        <v>3</v>
      </c>
    </row>
    <row r="307" spans="1:15" x14ac:dyDescent="0.2">
      <c r="A307" s="379">
        <v>2002</v>
      </c>
      <c r="B307" s="465">
        <v>66.197183098591552</v>
      </c>
      <c r="C307" s="465">
        <v>66.148615832928598</v>
      </c>
      <c r="D307" s="465">
        <v>66.391452161243308</v>
      </c>
      <c r="E307" s="465">
        <v>66.731423020883923</v>
      </c>
      <c r="F307" s="465">
        <v>66.682855755220984</v>
      </c>
      <c r="G307" s="465">
        <v>66.779990286546862</v>
      </c>
      <c r="H307" s="465">
        <v>66.828557552209816</v>
      </c>
      <c r="I307" s="465">
        <v>66.925692083535708</v>
      </c>
      <c r="J307" s="465">
        <v>67.071393880524525</v>
      </c>
      <c r="K307" s="465">
        <v>67.071393880524525</v>
      </c>
      <c r="L307" s="465">
        <v>66.828557552209816</v>
      </c>
      <c r="M307" s="465">
        <v>66.731423020883923</v>
      </c>
      <c r="N307" s="465">
        <v>66.682855755220984</v>
      </c>
      <c r="O307" s="381">
        <v>4</v>
      </c>
    </row>
    <row r="308" spans="1:15" x14ac:dyDescent="0.2">
      <c r="A308" s="379">
        <v>2003</v>
      </c>
      <c r="B308" s="465">
        <v>67.022826614861586</v>
      </c>
      <c r="C308" s="465">
        <v>67.411364740165141</v>
      </c>
      <c r="D308" s="465">
        <v>67.605633802816882</v>
      </c>
      <c r="E308" s="465">
        <v>67.411364740165141</v>
      </c>
      <c r="F308" s="465">
        <v>67.314230208839248</v>
      </c>
      <c r="G308" s="465">
        <v>67.459932005828065</v>
      </c>
      <c r="H308" s="465">
        <v>67.605633802816882</v>
      </c>
      <c r="I308" s="465">
        <v>67.751335599805728</v>
      </c>
      <c r="J308" s="465">
        <v>68.139873725109283</v>
      </c>
      <c r="K308" s="465">
        <v>68.139873725109283</v>
      </c>
      <c r="L308" s="465">
        <v>68.2855755220981</v>
      </c>
      <c r="M308" s="465">
        <v>68.47984458474987</v>
      </c>
      <c r="N308" s="465">
        <v>67.702768334142789</v>
      </c>
      <c r="O308" s="381">
        <v>5</v>
      </c>
    </row>
    <row r="309" spans="1:15" x14ac:dyDescent="0.2">
      <c r="A309" s="379">
        <v>2004</v>
      </c>
      <c r="B309" s="465">
        <v>69.596891694997581</v>
      </c>
      <c r="C309" s="465">
        <v>70.568237008256446</v>
      </c>
      <c r="D309" s="467">
        <v>72.073822243807669</v>
      </c>
      <c r="E309" s="467">
        <v>73.482272948033028</v>
      </c>
      <c r="F309" s="467">
        <v>74.696454589606603</v>
      </c>
      <c r="G309" s="467">
        <v>74.745021855269542</v>
      </c>
      <c r="H309" s="467">
        <v>75.522098105876637</v>
      </c>
      <c r="I309" s="467">
        <v>76.687712481787273</v>
      </c>
      <c r="J309" s="467">
        <v>77.221952404079659</v>
      </c>
      <c r="K309" s="467">
        <v>78.436134045653233</v>
      </c>
      <c r="L309" s="467">
        <v>78.290432248664388</v>
      </c>
      <c r="M309" s="467">
        <v>77.659057795046138</v>
      </c>
      <c r="N309" s="467">
        <v>74.890723652258373</v>
      </c>
      <c r="O309" s="381">
        <v>6</v>
      </c>
    </row>
    <row r="310" spans="1:15" x14ac:dyDescent="0.2">
      <c r="A310" s="379">
        <v>2005</v>
      </c>
      <c r="B310" s="465">
        <v>78.824672170956774</v>
      </c>
      <c r="C310" s="483">
        <v>79.601748421563869</v>
      </c>
      <c r="D310" s="469">
        <v>80.815930063137444</v>
      </c>
      <c r="E310" s="469">
        <v>81.301602719766876</v>
      </c>
      <c r="F310" s="469">
        <v>81.010199125789214</v>
      </c>
      <c r="G310" s="469">
        <v>81.495871782418646</v>
      </c>
      <c r="H310" s="469">
        <v>82.467217095677512</v>
      </c>
      <c r="I310" s="469">
        <v>83.147158814958715</v>
      </c>
      <c r="J310" s="469">
        <v>84.36134045653229</v>
      </c>
      <c r="K310" s="469">
        <v>85.964060223409419</v>
      </c>
      <c r="L310" s="469">
        <v>84.11850412821758</v>
      </c>
      <c r="M310" s="469">
        <v>84.507042253521121</v>
      </c>
      <c r="N310" s="469">
        <v>82.321515298688681</v>
      </c>
      <c r="O310" s="381">
        <v>7</v>
      </c>
    </row>
    <row r="311" spans="1:15" x14ac:dyDescent="0.2">
      <c r="A311" s="379">
        <v>2006</v>
      </c>
      <c r="B311" s="467">
        <v>85.624089363768817</v>
      </c>
      <c r="C311" s="468">
        <v>85.381253035454108</v>
      </c>
      <c r="D311" s="469">
        <v>86.352598348712974</v>
      </c>
      <c r="E311" s="469">
        <v>88.149587178241859</v>
      </c>
      <c r="F311" s="469">
        <v>89.363768819815434</v>
      </c>
      <c r="G311" s="469">
        <v>90.529383195726069</v>
      </c>
      <c r="H311" s="469">
        <v>91.160757649344333</v>
      </c>
      <c r="I311" s="470">
        <v>91.597863040310827</v>
      </c>
      <c r="J311" s="470">
        <v>89.558037882467218</v>
      </c>
      <c r="K311" s="470">
        <v>88.829528897523062</v>
      </c>
      <c r="L311" s="470">
        <v>88.73239436619717</v>
      </c>
      <c r="M311" s="470">
        <v>89.120932491500724</v>
      </c>
      <c r="N311" s="470">
        <v>88.683827100534231</v>
      </c>
      <c r="O311" s="381">
        <v>8</v>
      </c>
    </row>
    <row r="312" spans="1:15" x14ac:dyDescent="0.2">
      <c r="A312" s="379">
        <v>2007</v>
      </c>
      <c r="B312" s="469">
        <v>88.683827100534231</v>
      </c>
      <c r="C312" s="469">
        <v>89.315201554152495</v>
      </c>
      <c r="D312" s="469">
        <v>90.869354055366685</v>
      </c>
      <c r="E312" s="469">
        <v>92.423506556580875</v>
      </c>
      <c r="F312" s="469">
        <v>93.540553666828558</v>
      </c>
      <c r="G312" s="469">
        <v>93.540553666828558</v>
      </c>
      <c r="H312" s="469">
        <v>94.511898980087423</v>
      </c>
      <c r="I312" s="470">
        <v>93.394851869839741</v>
      </c>
      <c r="J312" s="470">
        <v>93.783389995143267</v>
      </c>
      <c r="K312" s="470">
        <v>93.880524526469173</v>
      </c>
      <c r="L312" s="470">
        <v>95.871782418649829</v>
      </c>
      <c r="M312" s="470">
        <v>95.240407965031565</v>
      </c>
      <c r="N312" s="470">
        <v>92.909179213210308</v>
      </c>
      <c r="O312" s="381">
        <v>9</v>
      </c>
    </row>
    <row r="313" spans="1:15" x14ac:dyDescent="0.2">
      <c r="A313" s="379">
        <v>2008</v>
      </c>
      <c r="B313" s="471">
        <v>96.114618746964538</v>
      </c>
      <c r="C313" s="472">
        <v>96.988829528897512</v>
      </c>
      <c r="D313" s="472">
        <v>99.708596406022338</v>
      </c>
      <c r="E313" s="472">
        <v>102.03982515784359</v>
      </c>
      <c r="F313" s="472">
        <v>105.34239922292375</v>
      </c>
      <c r="G313" s="472">
        <v>108.06216610004857</v>
      </c>
      <c r="H313" s="473">
        <v>110.39339485186986</v>
      </c>
      <c r="I313" s="473">
        <v>109.13064594463332</v>
      </c>
      <c r="J313" s="473">
        <v>109.42204953861099</v>
      </c>
      <c r="K313" s="473">
        <v>104.90529383195725</v>
      </c>
      <c r="L313" s="473">
        <v>100.04856726566294</v>
      </c>
      <c r="M313" s="473">
        <v>96.503156872268079</v>
      </c>
      <c r="N313" s="473">
        <v>103.20543953375424</v>
      </c>
      <c r="O313" s="381">
        <v>10</v>
      </c>
    </row>
    <row r="314" spans="1:15" x14ac:dyDescent="0.2">
      <c r="A314" s="379">
        <v>2009</v>
      </c>
      <c r="B314" s="474">
        <v>96.45458960660514</v>
      </c>
      <c r="C314" s="474">
        <v>94.900437105390964</v>
      </c>
      <c r="D314" s="474">
        <v>94.074793589120915</v>
      </c>
      <c r="E314" s="474">
        <v>93.929091792132098</v>
      </c>
      <c r="F314" s="474">
        <v>94.706168042739193</v>
      </c>
      <c r="G314" s="474">
        <v>95.82321515298689</v>
      </c>
      <c r="H314" s="474">
        <v>94.949004371053903</v>
      </c>
      <c r="I314" s="474">
        <v>96.308887809616323</v>
      </c>
      <c r="J314" s="475">
        <v>95.871782418649829</v>
      </c>
      <c r="K314" s="475">
        <v>95.580378824672181</v>
      </c>
      <c r="L314" s="475">
        <v>96.503156872268079</v>
      </c>
      <c r="M314" s="475">
        <v>96.45458960660514</v>
      </c>
      <c r="N314" s="475">
        <v>95.483244293346274</v>
      </c>
      <c r="O314" s="381">
        <v>11</v>
      </c>
    </row>
    <row r="315" spans="1:15" x14ac:dyDescent="0.2">
      <c r="A315" s="379">
        <v>2010</v>
      </c>
      <c r="B315" s="474">
        <v>97.911607576493438</v>
      </c>
      <c r="C315" s="474">
        <v>97.474502185526944</v>
      </c>
      <c r="D315" s="475">
        <v>99.028654686741135</v>
      </c>
      <c r="E315" s="475">
        <v>100.19426906265178</v>
      </c>
      <c r="F315" s="475">
        <v>100.82564351627003</v>
      </c>
      <c r="G315" s="475">
        <v>100</v>
      </c>
      <c r="H315" s="477">
        <v>99.9</v>
      </c>
      <c r="I315" s="477">
        <v>100.3</v>
      </c>
      <c r="J315" s="477">
        <v>100</v>
      </c>
      <c r="K315" s="477">
        <v>100.8</v>
      </c>
      <c r="L315" s="477">
        <v>101.4</v>
      </c>
      <c r="M315" s="477">
        <v>102.2</v>
      </c>
      <c r="N315" s="478">
        <v>100.00288975230694</v>
      </c>
      <c r="O315" s="381">
        <v>12</v>
      </c>
    </row>
    <row r="316" spans="1:15" x14ac:dyDescent="0.2">
      <c r="A316" s="379">
        <v>2011</v>
      </c>
      <c r="B316" s="462">
        <v>103.6</v>
      </c>
      <c r="C316" s="462">
        <v>104.8</v>
      </c>
      <c r="D316" s="460">
        <v>107.5</v>
      </c>
      <c r="E316" s="463">
        <v>109.3</v>
      </c>
      <c r="F316" s="463">
        <v>110.8</v>
      </c>
      <c r="G316" s="463">
        <v>110.4</v>
      </c>
      <c r="H316" s="463">
        <v>110.8</v>
      </c>
      <c r="I316" s="479"/>
      <c r="J316" s="479"/>
      <c r="K316" s="479"/>
      <c r="L316" s="479"/>
      <c r="M316" s="479"/>
      <c r="N316" s="479"/>
      <c r="O316" s="381">
        <v>13</v>
      </c>
    </row>
    <row r="317" spans="1:15" x14ac:dyDescent="0.2">
      <c r="A317" s="379"/>
      <c r="B317" s="368"/>
      <c r="C317" s="368"/>
      <c r="D317" s="368"/>
      <c r="E317" s="368"/>
      <c r="F317" s="368"/>
      <c r="G317" s="368"/>
      <c r="H317" s="368"/>
      <c r="I317" s="368"/>
      <c r="J317" s="368"/>
      <c r="K317" s="368"/>
      <c r="L317" s="368"/>
      <c r="M317" s="368"/>
      <c r="N317" s="368"/>
      <c r="O317" s="381">
        <v>14</v>
      </c>
    </row>
    <row r="318" spans="1:15" x14ac:dyDescent="0.2">
      <c r="A318" s="480" t="s">
        <v>791</v>
      </c>
      <c r="B318" s="481"/>
      <c r="C318" s="481"/>
      <c r="D318" s="481"/>
      <c r="E318" s="481"/>
      <c r="F318" s="481"/>
      <c r="G318" s="481"/>
      <c r="H318" s="481"/>
      <c r="I318" s="481"/>
      <c r="J318" s="481"/>
      <c r="K318" s="481"/>
      <c r="L318" s="481"/>
      <c r="M318" s="481"/>
      <c r="N318" s="482"/>
      <c r="O318" s="390">
        <v>15</v>
      </c>
    </row>
    <row r="319" spans="1:15" ht="15" x14ac:dyDescent="0.3">
      <c r="B319" s="372" t="s">
        <v>759</v>
      </c>
      <c r="D319" s="372">
        <v>199206</v>
      </c>
    </row>
    <row r="320" spans="1:15" x14ac:dyDescent="0.2">
      <c r="A320" s="27" t="s">
        <v>626</v>
      </c>
      <c r="B320" s="373">
        <v>4841212</v>
      </c>
      <c r="C320" s="27" t="s">
        <v>760</v>
      </c>
      <c r="O320" t="s">
        <v>713</v>
      </c>
    </row>
    <row r="321" spans="1:15" x14ac:dyDescent="0.2">
      <c r="A321" s="27"/>
      <c r="B321" s="359" t="s">
        <v>714</v>
      </c>
      <c r="C321" s="374" t="s">
        <v>715</v>
      </c>
      <c r="D321" s="375" t="s">
        <v>716</v>
      </c>
      <c r="E321" s="375" t="s">
        <v>717</v>
      </c>
      <c r="F321" s="375" t="s">
        <v>718</v>
      </c>
      <c r="G321" s="375" t="s">
        <v>719</v>
      </c>
      <c r="H321" s="375" t="s">
        <v>720</v>
      </c>
      <c r="I321" s="375" t="s">
        <v>721</v>
      </c>
      <c r="J321" s="375" t="s">
        <v>722</v>
      </c>
      <c r="K321" s="375" t="s">
        <v>723</v>
      </c>
      <c r="L321" s="375" t="s">
        <v>724</v>
      </c>
      <c r="M321" s="375" t="s">
        <v>725</v>
      </c>
      <c r="N321" s="375" t="s">
        <v>726</v>
      </c>
    </row>
    <row r="322" spans="1:15" x14ac:dyDescent="0.2">
      <c r="A322" s="376" t="s">
        <v>730</v>
      </c>
      <c r="B322" s="377">
        <v>1</v>
      </c>
      <c r="C322" s="377">
        <v>2</v>
      </c>
      <c r="D322" s="377">
        <v>3</v>
      </c>
      <c r="E322" s="377">
        <v>4</v>
      </c>
      <c r="F322" s="377">
        <v>5</v>
      </c>
      <c r="G322" s="377">
        <v>6</v>
      </c>
      <c r="H322" s="377">
        <v>7</v>
      </c>
      <c r="I322" s="377">
        <v>8</v>
      </c>
      <c r="J322" s="377">
        <v>9</v>
      </c>
      <c r="K322" s="377">
        <v>10</v>
      </c>
      <c r="L322" s="377">
        <v>11</v>
      </c>
      <c r="M322" s="377">
        <v>12</v>
      </c>
      <c r="N322" s="377">
        <v>13</v>
      </c>
      <c r="O322" s="378">
        <v>1</v>
      </c>
    </row>
    <row r="323" spans="1:15" x14ac:dyDescent="0.2">
      <c r="A323" s="379">
        <v>2000</v>
      </c>
      <c r="B323" s="380">
        <v>106.1</v>
      </c>
      <c r="C323" s="380">
        <v>106.4</v>
      </c>
      <c r="D323" s="380">
        <v>107</v>
      </c>
      <c r="E323" s="380">
        <v>107.5</v>
      </c>
      <c r="F323" s="380">
        <v>107.9</v>
      </c>
      <c r="G323" s="380">
        <v>108</v>
      </c>
      <c r="H323" s="380">
        <v>108.1</v>
      </c>
      <c r="I323" s="380">
        <v>108.4</v>
      </c>
      <c r="J323" s="380">
        <v>109.2</v>
      </c>
      <c r="K323" s="380">
        <v>109.5</v>
      </c>
      <c r="L323" s="380">
        <v>109.8</v>
      </c>
      <c r="M323" s="380">
        <v>109.8</v>
      </c>
      <c r="N323" s="380">
        <v>108.1</v>
      </c>
      <c r="O323" s="381">
        <v>2</v>
      </c>
    </row>
    <row r="324" spans="1:15" x14ac:dyDescent="0.2">
      <c r="A324" s="379">
        <v>2001</v>
      </c>
      <c r="B324" s="380">
        <v>110</v>
      </c>
      <c r="C324" s="380">
        <v>109.6</v>
      </c>
      <c r="D324" s="380">
        <v>109.4</v>
      </c>
      <c r="E324" s="380">
        <v>109.7</v>
      </c>
      <c r="F324" s="380">
        <v>109.9</v>
      </c>
      <c r="G324" s="380">
        <v>109.9</v>
      </c>
      <c r="H324" s="380">
        <v>110.3</v>
      </c>
      <c r="I324" s="380">
        <v>110.2</v>
      </c>
      <c r="J324" s="380">
        <v>110.4</v>
      </c>
      <c r="K324" s="380">
        <v>110</v>
      </c>
      <c r="L324" s="380">
        <v>109.7</v>
      </c>
      <c r="M324" s="380">
        <v>109.3</v>
      </c>
      <c r="N324" s="380">
        <v>109.9</v>
      </c>
      <c r="O324" s="381">
        <v>3</v>
      </c>
    </row>
    <row r="325" spans="1:15" x14ac:dyDescent="0.2">
      <c r="A325" s="379">
        <v>2002</v>
      </c>
      <c r="B325" s="380">
        <v>108.9</v>
      </c>
      <c r="C325" s="380">
        <v>108.8</v>
      </c>
      <c r="D325" s="380">
        <v>108.7</v>
      </c>
      <c r="E325" s="380">
        <v>109.3</v>
      </c>
      <c r="F325" s="380">
        <v>109.3</v>
      </c>
      <c r="G325" s="380">
        <v>109.5</v>
      </c>
      <c r="H325" s="380">
        <v>109.5</v>
      </c>
      <c r="I325" s="380">
        <v>109.8</v>
      </c>
      <c r="J325" s="380">
        <v>109.9</v>
      </c>
      <c r="K325" s="380">
        <v>110.2</v>
      </c>
      <c r="L325" s="380">
        <v>110.4</v>
      </c>
      <c r="M325" s="380">
        <v>110.3</v>
      </c>
      <c r="N325" s="380">
        <v>109.5</v>
      </c>
      <c r="O325" s="381">
        <v>4</v>
      </c>
    </row>
    <row r="326" spans="1:15" x14ac:dyDescent="0.2">
      <c r="A326" s="379">
        <v>2003</v>
      </c>
      <c r="B326" s="380">
        <v>110.4</v>
      </c>
      <c r="C326" s="380">
        <v>110.8</v>
      </c>
      <c r="D326" s="380">
        <v>111.4</v>
      </c>
      <c r="E326" s="380">
        <v>111.6</v>
      </c>
      <c r="F326" s="380">
        <v>111.8</v>
      </c>
      <c r="G326" s="380">
        <v>111.4</v>
      </c>
      <c r="H326" s="380">
        <v>112.4</v>
      </c>
      <c r="I326" s="380">
        <v>112.8</v>
      </c>
      <c r="J326" s="380">
        <v>113</v>
      </c>
      <c r="K326" s="380">
        <v>113.3</v>
      </c>
      <c r="L326" s="380">
        <v>113.4</v>
      </c>
      <c r="M326" s="380">
        <v>113.9</v>
      </c>
      <c r="N326" s="380">
        <v>112.2</v>
      </c>
      <c r="O326" s="381">
        <v>5</v>
      </c>
    </row>
    <row r="327" spans="1:15" x14ac:dyDescent="0.2">
      <c r="A327" s="379">
        <v>2004</v>
      </c>
      <c r="B327" s="380">
        <v>114.2</v>
      </c>
      <c r="C327" s="380">
        <v>115.1</v>
      </c>
      <c r="D327" s="380">
        <v>115.2</v>
      </c>
      <c r="E327" s="380">
        <v>115.6</v>
      </c>
      <c r="F327" s="380">
        <v>116</v>
      </c>
      <c r="G327" s="380">
        <v>116.7</v>
      </c>
      <c r="H327" s="380">
        <v>116.7</v>
      </c>
      <c r="I327" s="380">
        <v>117.3</v>
      </c>
      <c r="J327" s="380">
        <v>118.3</v>
      </c>
      <c r="K327" s="380">
        <v>119.2</v>
      </c>
      <c r="L327" s="380">
        <v>120</v>
      </c>
      <c r="M327" s="380">
        <v>119.4</v>
      </c>
      <c r="N327" s="380">
        <v>117</v>
      </c>
      <c r="O327" s="381">
        <v>6</v>
      </c>
    </row>
    <row r="328" spans="1:15" x14ac:dyDescent="0.2">
      <c r="A328" s="379">
        <v>2005</v>
      </c>
      <c r="B328" s="380">
        <v>120.1</v>
      </c>
      <c r="C328" s="380">
        <v>120.9</v>
      </c>
      <c r="D328" s="382">
        <v>121.7</v>
      </c>
      <c r="E328" s="382">
        <v>122.5</v>
      </c>
      <c r="F328" s="382">
        <v>123.3</v>
      </c>
      <c r="G328" s="382">
        <v>123.3</v>
      </c>
      <c r="H328" s="382">
        <v>123.3</v>
      </c>
      <c r="I328" s="382">
        <v>123.6</v>
      </c>
      <c r="J328" s="382">
        <v>125.3</v>
      </c>
      <c r="K328" s="382">
        <v>127.3</v>
      </c>
      <c r="L328" s="382">
        <v>128</v>
      </c>
      <c r="M328" s="382">
        <v>126.9</v>
      </c>
      <c r="N328" s="382">
        <v>123.8</v>
      </c>
      <c r="O328" s="381">
        <v>7</v>
      </c>
    </row>
    <row r="329" spans="1:15" x14ac:dyDescent="0.2">
      <c r="A329" s="379">
        <v>2006</v>
      </c>
      <c r="B329" s="382">
        <v>125.6</v>
      </c>
      <c r="C329" s="383">
        <v>125.6</v>
      </c>
      <c r="D329" s="384">
        <v>125.7</v>
      </c>
      <c r="E329" s="384">
        <v>126.1</v>
      </c>
      <c r="F329" s="384">
        <v>127.6</v>
      </c>
      <c r="G329" s="384">
        <v>128</v>
      </c>
      <c r="H329" s="384">
        <v>128.1</v>
      </c>
      <c r="I329" s="385">
        <v>128.80000000000001</v>
      </c>
      <c r="J329" s="385">
        <v>129.1</v>
      </c>
      <c r="K329" s="385">
        <v>128.6</v>
      </c>
      <c r="L329" s="385">
        <v>128</v>
      </c>
      <c r="M329" s="385">
        <v>127.8</v>
      </c>
      <c r="N329" s="385">
        <v>127.4</v>
      </c>
      <c r="O329" s="381">
        <v>8</v>
      </c>
    </row>
    <row r="330" spans="1:15" x14ac:dyDescent="0.2">
      <c r="A330" s="379">
        <v>2007</v>
      </c>
      <c r="B330" s="386">
        <v>128.5</v>
      </c>
      <c r="C330" s="386">
        <v>128</v>
      </c>
      <c r="D330" s="384">
        <v>127.7</v>
      </c>
      <c r="E330" s="384">
        <v>128.30000000000001</v>
      </c>
      <c r="F330" s="384">
        <v>128.5</v>
      </c>
      <c r="G330" s="384">
        <v>128.19999999999999</v>
      </c>
      <c r="H330" s="384">
        <v>128.30000000000001</v>
      </c>
      <c r="I330" s="385">
        <v>128.69999999999999</v>
      </c>
      <c r="J330" s="385">
        <v>129</v>
      </c>
      <c r="K330" s="385">
        <v>129.30000000000001</v>
      </c>
      <c r="L330" s="385">
        <v>130.4</v>
      </c>
      <c r="M330" s="385">
        <v>131.30000000000001</v>
      </c>
      <c r="N330" s="385">
        <v>128.9</v>
      </c>
      <c r="O330" s="381">
        <v>9</v>
      </c>
    </row>
    <row r="331" spans="1:15" x14ac:dyDescent="0.2">
      <c r="A331" s="379">
        <v>2008</v>
      </c>
      <c r="B331" s="387">
        <v>131.4</v>
      </c>
      <c r="C331" s="396">
        <v>131.30000000000001</v>
      </c>
      <c r="D331" s="397">
        <v>132</v>
      </c>
      <c r="E331" s="397">
        <v>133.30000000000001</v>
      </c>
      <c r="F331" s="397">
        <v>136.4</v>
      </c>
      <c r="G331" s="397">
        <v>139</v>
      </c>
      <c r="H331" s="398">
        <v>139.9</v>
      </c>
      <c r="I331" s="398">
        <v>140.19999999999999</v>
      </c>
      <c r="J331" s="398">
        <v>137.6</v>
      </c>
      <c r="K331" s="398">
        <v>137.4</v>
      </c>
      <c r="L331" s="398">
        <v>133.80000000000001</v>
      </c>
      <c r="M331" s="398">
        <v>130.4</v>
      </c>
      <c r="N331" s="398">
        <v>135.19999999999999</v>
      </c>
      <c r="O331" s="381">
        <v>10</v>
      </c>
    </row>
    <row r="332" spans="1:15" x14ac:dyDescent="0.2">
      <c r="A332" s="379">
        <v>2009</v>
      </c>
      <c r="B332" s="388">
        <v>128.30000000000001</v>
      </c>
      <c r="C332" s="388">
        <v>127.1</v>
      </c>
      <c r="D332" s="388">
        <v>125.1</v>
      </c>
      <c r="E332" s="388">
        <v>124.2</v>
      </c>
      <c r="F332" s="388">
        <v>124.2</v>
      </c>
      <c r="G332" s="388">
        <v>124.6</v>
      </c>
      <c r="H332" s="388">
        <v>126.1</v>
      </c>
      <c r="I332" s="388">
        <v>125.6</v>
      </c>
      <c r="J332" s="460">
        <v>126.4</v>
      </c>
      <c r="K332" s="460">
        <v>125.4</v>
      </c>
      <c r="L332" s="460">
        <v>126.1</v>
      </c>
      <c r="M332" s="460">
        <v>125.5</v>
      </c>
      <c r="N332" s="460">
        <v>125.7</v>
      </c>
      <c r="O332" s="381">
        <v>11</v>
      </c>
    </row>
    <row r="333" spans="1:15" x14ac:dyDescent="0.2">
      <c r="A333" s="379">
        <v>2010</v>
      </c>
      <c r="B333" s="388">
        <v>125.3</v>
      </c>
      <c r="C333" s="388">
        <v>125.6</v>
      </c>
      <c r="D333" s="388">
        <v>126.7</v>
      </c>
      <c r="E333" s="388">
        <v>127</v>
      </c>
      <c r="F333" s="388">
        <v>128.1</v>
      </c>
      <c r="G333" s="388">
        <v>128.6</v>
      </c>
      <c r="H333" s="388">
        <v>128.30000000000001</v>
      </c>
      <c r="I333" s="388">
        <v>128.69999999999999</v>
      </c>
      <c r="J333" s="65">
        <v>128.80000000000001</v>
      </c>
      <c r="K333" s="391">
        <v>129.4</v>
      </c>
      <c r="L333" s="391">
        <v>131</v>
      </c>
      <c r="M333" s="391">
        <v>131.5</v>
      </c>
      <c r="N333" s="391">
        <v>128.19999999999999</v>
      </c>
      <c r="O333" s="381">
        <v>12</v>
      </c>
    </row>
    <row r="334" spans="1:15" x14ac:dyDescent="0.2">
      <c r="A334" s="379">
        <v>2011</v>
      </c>
      <c r="B334">
        <v>132</v>
      </c>
      <c r="C334" s="388">
        <v>133</v>
      </c>
      <c r="D334" s="385">
        <v>135.1</v>
      </c>
      <c r="E334" s="389">
        <v>136.80000000000001</v>
      </c>
      <c r="F334" s="389">
        <v>137.80000000000001</v>
      </c>
      <c r="G334" s="389">
        <v>137.9</v>
      </c>
      <c r="H334" s="389">
        <v>137.69999999999999</v>
      </c>
      <c r="I334" s="389"/>
      <c r="J334" s="389"/>
      <c r="K334" s="389"/>
      <c r="L334" s="389"/>
      <c r="M334" s="389"/>
      <c r="N334" s="389"/>
      <c r="O334" s="381">
        <v>13</v>
      </c>
    </row>
    <row r="335" spans="1:15" x14ac:dyDescent="0.2">
      <c r="A335" s="379"/>
      <c r="B335" s="400"/>
      <c r="C335" s="400"/>
      <c r="D335" s="400"/>
      <c r="E335" s="400"/>
      <c r="F335" s="400"/>
      <c r="G335" s="400"/>
      <c r="H335" s="400"/>
      <c r="I335" s="400"/>
      <c r="J335" s="400"/>
      <c r="K335" s="400"/>
      <c r="L335" s="400"/>
      <c r="M335" s="400"/>
      <c r="N335" s="400"/>
      <c r="O335" s="381">
        <v>14</v>
      </c>
    </row>
    <row r="336" spans="1:15" ht="15" x14ac:dyDescent="0.3">
      <c r="B336" s="372" t="s">
        <v>761</v>
      </c>
      <c r="D336" s="372">
        <v>199912</v>
      </c>
    </row>
    <row r="337" spans="1:15" x14ac:dyDescent="0.2">
      <c r="A337" s="27" t="s">
        <v>626</v>
      </c>
      <c r="B337" s="373">
        <v>332722489</v>
      </c>
      <c r="C337" s="27" t="s">
        <v>762</v>
      </c>
      <c r="O337" t="s">
        <v>713</v>
      </c>
    </row>
    <row r="338" spans="1:15" x14ac:dyDescent="0.2">
      <c r="A338" s="27"/>
      <c r="B338" s="359" t="s">
        <v>714</v>
      </c>
      <c r="C338" s="374" t="s">
        <v>715</v>
      </c>
      <c r="D338" s="375" t="s">
        <v>716</v>
      </c>
      <c r="E338" s="375" t="s">
        <v>717</v>
      </c>
      <c r="F338" s="375" t="s">
        <v>718</v>
      </c>
      <c r="G338" s="375" t="s">
        <v>719</v>
      </c>
      <c r="H338" s="375" t="s">
        <v>720</v>
      </c>
      <c r="I338" s="375" t="s">
        <v>721</v>
      </c>
      <c r="J338" s="375" t="s">
        <v>722</v>
      </c>
      <c r="K338" s="375" t="s">
        <v>723</v>
      </c>
      <c r="L338" s="375" t="s">
        <v>724</v>
      </c>
      <c r="M338" s="375" t="s">
        <v>725</v>
      </c>
      <c r="N338" s="375" t="s">
        <v>726</v>
      </c>
    </row>
    <row r="339" spans="1:15" x14ac:dyDescent="0.2">
      <c r="A339" s="376" t="s">
        <v>730</v>
      </c>
      <c r="B339" s="377">
        <v>1</v>
      </c>
      <c r="C339" s="377">
        <v>2</v>
      </c>
      <c r="D339" s="377">
        <v>3</v>
      </c>
      <c r="E339" s="377">
        <v>4</v>
      </c>
      <c r="F339" s="377">
        <v>5</v>
      </c>
      <c r="G339" s="377">
        <v>6</v>
      </c>
      <c r="H339" s="377">
        <v>7</v>
      </c>
      <c r="I339" s="377">
        <v>8</v>
      </c>
      <c r="J339" s="377">
        <v>9</v>
      </c>
      <c r="K339" s="377">
        <v>10</v>
      </c>
      <c r="L339" s="377">
        <v>11</v>
      </c>
      <c r="M339" s="377">
        <v>12</v>
      </c>
      <c r="N339" s="377">
        <v>13</v>
      </c>
      <c r="O339" s="378">
        <v>1</v>
      </c>
    </row>
    <row r="340" spans="1:15" x14ac:dyDescent="0.2">
      <c r="A340" s="379">
        <v>2000</v>
      </c>
      <c r="B340" s="380">
        <v>100</v>
      </c>
      <c r="C340" s="380">
        <v>100</v>
      </c>
      <c r="D340" s="380">
        <v>100</v>
      </c>
      <c r="E340" s="380">
        <v>100.1</v>
      </c>
      <c r="F340" s="380">
        <v>100</v>
      </c>
      <c r="G340" s="380">
        <v>100.5</v>
      </c>
      <c r="H340" s="380">
        <v>100.8</v>
      </c>
      <c r="I340" s="380">
        <v>100.8</v>
      </c>
      <c r="J340" s="380">
        <v>100.8</v>
      </c>
      <c r="K340" s="380">
        <v>101</v>
      </c>
      <c r="L340" s="380">
        <v>101</v>
      </c>
      <c r="M340" s="380">
        <v>101</v>
      </c>
      <c r="N340" s="380">
        <v>100.5</v>
      </c>
      <c r="O340" s="381">
        <v>2</v>
      </c>
    </row>
    <row r="341" spans="1:15" x14ac:dyDescent="0.2">
      <c r="A341" s="379">
        <v>2001</v>
      </c>
      <c r="B341" s="380">
        <v>98.7</v>
      </c>
      <c r="C341" s="380">
        <v>98.7</v>
      </c>
      <c r="D341" s="380">
        <v>98.6</v>
      </c>
      <c r="E341" s="380">
        <v>100.1</v>
      </c>
      <c r="F341" s="380">
        <v>100.2</v>
      </c>
      <c r="G341" s="380">
        <v>100.2</v>
      </c>
      <c r="H341" s="380">
        <v>100.2</v>
      </c>
      <c r="I341" s="380">
        <v>100.2</v>
      </c>
      <c r="J341" s="380">
        <v>99.4</v>
      </c>
      <c r="K341" s="380">
        <v>99.5</v>
      </c>
      <c r="L341" s="380">
        <v>99.5</v>
      </c>
      <c r="M341" s="380">
        <v>99.5</v>
      </c>
      <c r="N341" s="380">
        <v>99.6</v>
      </c>
      <c r="O341" s="381">
        <v>3</v>
      </c>
    </row>
    <row r="342" spans="1:15" x14ac:dyDescent="0.2">
      <c r="A342" s="379">
        <v>2002</v>
      </c>
      <c r="B342" s="380">
        <v>99.7</v>
      </c>
      <c r="C342" s="380">
        <v>99.3</v>
      </c>
      <c r="D342" s="380">
        <v>99.5</v>
      </c>
      <c r="E342" s="380">
        <v>99.6</v>
      </c>
      <c r="F342" s="380">
        <v>98.9</v>
      </c>
      <c r="G342" s="380">
        <v>98.9</v>
      </c>
      <c r="H342" s="380">
        <v>98.6</v>
      </c>
      <c r="I342" s="380">
        <v>98.6</v>
      </c>
      <c r="J342" s="380">
        <v>98.6</v>
      </c>
      <c r="K342" s="380">
        <v>98.6</v>
      </c>
      <c r="L342" s="380">
        <v>98.4</v>
      </c>
      <c r="M342" s="380">
        <v>98.4</v>
      </c>
      <c r="N342" s="380">
        <v>98.9</v>
      </c>
      <c r="O342" s="381">
        <v>4</v>
      </c>
    </row>
    <row r="343" spans="1:15" x14ac:dyDescent="0.2">
      <c r="A343" s="379">
        <v>2003</v>
      </c>
      <c r="B343" s="380">
        <v>98.4</v>
      </c>
      <c r="C343" s="380">
        <v>98.4</v>
      </c>
      <c r="D343" s="380">
        <v>98.4</v>
      </c>
      <c r="E343" s="380">
        <v>98.4</v>
      </c>
      <c r="F343" s="380">
        <v>98.5</v>
      </c>
      <c r="G343" s="380">
        <v>98.6</v>
      </c>
      <c r="H343" s="380">
        <v>98.6</v>
      </c>
      <c r="I343" s="380">
        <v>98.6</v>
      </c>
      <c r="J343" s="380">
        <v>98.6</v>
      </c>
      <c r="K343" s="380">
        <v>98.6</v>
      </c>
      <c r="L343" s="380">
        <v>98.6</v>
      </c>
      <c r="M343" s="380">
        <v>98.6</v>
      </c>
      <c r="N343" s="380">
        <v>98.5</v>
      </c>
      <c r="O343" s="381">
        <v>5</v>
      </c>
    </row>
    <row r="344" spans="1:15" x14ac:dyDescent="0.2">
      <c r="A344" s="379">
        <v>2004</v>
      </c>
      <c r="B344" s="380">
        <v>98.8</v>
      </c>
      <c r="C344" s="380">
        <v>98.8</v>
      </c>
      <c r="D344" s="380">
        <v>101.6</v>
      </c>
      <c r="E344" s="380">
        <v>101.6</v>
      </c>
      <c r="F344" s="380">
        <v>101.7</v>
      </c>
      <c r="G344" s="380">
        <v>102.8</v>
      </c>
      <c r="H344" s="380">
        <v>102.8</v>
      </c>
      <c r="I344" s="380">
        <v>103.5</v>
      </c>
      <c r="J344" s="380">
        <v>104.4</v>
      </c>
      <c r="K344" s="380">
        <v>104.6</v>
      </c>
      <c r="L344" s="380">
        <v>104.7</v>
      </c>
      <c r="M344" s="380">
        <v>104.7</v>
      </c>
      <c r="N344" s="380">
        <v>102.5</v>
      </c>
      <c r="O344" s="381">
        <v>6</v>
      </c>
    </row>
    <row r="345" spans="1:15" x14ac:dyDescent="0.2">
      <c r="A345" s="379">
        <v>2005</v>
      </c>
      <c r="B345" s="380">
        <v>104.7</v>
      </c>
      <c r="C345" s="380">
        <v>104.8</v>
      </c>
      <c r="D345" s="382">
        <v>104.8</v>
      </c>
      <c r="E345" s="382">
        <v>105.1</v>
      </c>
      <c r="F345" s="382">
        <v>105.1</v>
      </c>
      <c r="G345" s="382">
        <v>105.1</v>
      </c>
      <c r="H345" s="382">
        <v>105.6</v>
      </c>
      <c r="I345" s="382">
        <v>105.6</v>
      </c>
      <c r="J345" s="380">
        <v>105.8</v>
      </c>
      <c r="K345" s="380">
        <v>105.7</v>
      </c>
      <c r="L345" s="380">
        <v>105.7</v>
      </c>
      <c r="M345" s="380">
        <v>105.8</v>
      </c>
      <c r="N345" s="380">
        <v>105.3</v>
      </c>
      <c r="O345" s="381">
        <v>7</v>
      </c>
    </row>
    <row r="346" spans="1:15" x14ac:dyDescent="0.2">
      <c r="A346" s="379">
        <v>2006</v>
      </c>
      <c r="B346" s="382">
        <v>105.7</v>
      </c>
      <c r="C346" s="383">
        <v>105.7</v>
      </c>
      <c r="D346" s="386">
        <v>105.7</v>
      </c>
      <c r="E346" s="386">
        <v>105.7</v>
      </c>
      <c r="F346" s="386">
        <v>106.3</v>
      </c>
      <c r="G346" s="386">
        <v>106.3</v>
      </c>
      <c r="H346" s="386">
        <v>106.5</v>
      </c>
      <c r="I346" s="385">
        <v>106.5</v>
      </c>
      <c r="J346" s="385">
        <v>106.8</v>
      </c>
      <c r="K346" s="385">
        <v>107.4</v>
      </c>
      <c r="L346" s="385">
        <v>107.4</v>
      </c>
      <c r="M346" s="385">
        <v>107.4</v>
      </c>
      <c r="N346" s="385">
        <v>106.5</v>
      </c>
      <c r="O346" s="381">
        <v>8</v>
      </c>
    </row>
    <row r="347" spans="1:15" x14ac:dyDescent="0.2">
      <c r="A347" s="379">
        <v>2007</v>
      </c>
      <c r="B347" s="386">
        <v>107.6</v>
      </c>
      <c r="C347" s="386">
        <v>107.6</v>
      </c>
      <c r="D347" s="386">
        <v>107.6</v>
      </c>
      <c r="E347" s="386">
        <v>108.7</v>
      </c>
      <c r="F347" s="386">
        <v>109</v>
      </c>
      <c r="G347" s="386">
        <v>109</v>
      </c>
      <c r="H347" s="386">
        <v>109.5</v>
      </c>
      <c r="I347" s="385">
        <v>109.5</v>
      </c>
      <c r="J347" s="385">
        <v>109.5</v>
      </c>
      <c r="K347" s="385">
        <v>109.5</v>
      </c>
      <c r="L347" s="385">
        <v>109.5</v>
      </c>
      <c r="M347" s="385">
        <v>109.5</v>
      </c>
      <c r="N347" s="385">
        <v>108.9</v>
      </c>
      <c r="O347" s="381">
        <v>9</v>
      </c>
    </row>
    <row r="348" spans="1:15" x14ac:dyDescent="0.2">
      <c r="A348" s="379">
        <v>2008</v>
      </c>
      <c r="B348" s="387">
        <v>112.9</v>
      </c>
      <c r="C348" s="396">
        <v>112.9</v>
      </c>
      <c r="D348" s="397">
        <v>112.9</v>
      </c>
      <c r="E348" s="397">
        <v>112.9</v>
      </c>
      <c r="F348" s="397">
        <v>112.9</v>
      </c>
      <c r="G348" s="397">
        <v>112.9</v>
      </c>
      <c r="H348" s="398">
        <v>115.3</v>
      </c>
      <c r="I348" s="398">
        <v>118.4</v>
      </c>
      <c r="J348" s="398">
        <v>118.5</v>
      </c>
      <c r="K348" s="398">
        <v>118.4</v>
      </c>
      <c r="L348" s="398">
        <v>118.4</v>
      </c>
      <c r="M348" s="398">
        <v>112.1</v>
      </c>
      <c r="N348" s="398">
        <v>114.9</v>
      </c>
      <c r="O348" s="381">
        <v>10</v>
      </c>
    </row>
    <row r="349" spans="1:15" x14ac:dyDescent="0.2">
      <c r="A349" s="379">
        <v>2009</v>
      </c>
      <c r="B349" s="388">
        <v>113.8</v>
      </c>
      <c r="C349" s="388">
        <v>110.1</v>
      </c>
      <c r="D349" s="388">
        <v>110.1</v>
      </c>
      <c r="E349" s="388">
        <v>109.8</v>
      </c>
      <c r="F349" s="388">
        <v>107.9</v>
      </c>
      <c r="G349" s="388">
        <v>108.1</v>
      </c>
      <c r="H349" s="388">
        <v>105.8</v>
      </c>
      <c r="I349" s="388">
        <v>104.9</v>
      </c>
      <c r="J349" s="460">
        <v>102</v>
      </c>
      <c r="K349" s="460">
        <v>101.8</v>
      </c>
      <c r="L349" s="460">
        <v>101.9</v>
      </c>
      <c r="M349" s="460">
        <v>101.9</v>
      </c>
      <c r="N349" s="460">
        <v>106.5</v>
      </c>
      <c r="O349" s="381">
        <v>11</v>
      </c>
    </row>
    <row r="350" spans="1:15" x14ac:dyDescent="0.2">
      <c r="A350" s="379">
        <v>2010</v>
      </c>
      <c r="B350" s="388">
        <v>102.1</v>
      </c>
      <c r="C350" s="388">
        <v>102.6</v>
      </c>
      <c r="D350" s="388">
        <v>102.6</v>
      </c>
      <c r="E350" s="388">
        <v>103.7</v>
      </c>
      <c r="F350" s="388">
        <v>103.7</v>
      </c>
      <c r="G350" s="388">
        <v>103.7</v>
      </c>
      <c r="H350" s="388">
        <v>103.7</v>
      </c>
      <c r="I350" s="388">
        <v>103.7</v>
      </c>
      <c r="J350" s="65">
        <v>103.7</v>
      </c>
      <c r="K350" s="391">
        <v>103.9</v>
      </c>
      <c r="L350" s="391">
        <v>103.9</v>
      </c>
      <c r="M350" s="391">
        <v>103.9</v>
      </c>
      <c r="N350" s="391">
        <v>103.4</v>
      </c>
      <c r="O350" s="381">
        <v>12</v>
      </c>
    </row>
    <row r="351" spans="1:15" x14ac:dyDescent="0.2">
      <c r="A351" s="379">
        <v>2011</v>
      </c>
      <c r="B351">
        <v>104.3</v>
      </c>
      <c r="C351" s="388">
        <v>106.2</v>
      </c>
      <c r="D351" s="385">
        <v>106.9</v>
      </c>
      <c r="E351" s="389">
        <v>106.8</v>
      </c>
      <c r="F351" s="389">
        <v>107.2</v>
      </c>
      <c r="G351" s="389">
        <v>108.8</v>
      </c>
      <c r="H351" s="389">
        <v>108.6</v>
      </c>
      <c r="I351" s="389"/>
      <c r="J351" s="389"/>
      <c r="K351" s="389"/>
      <c r="L351" s="389"/>
      <c r="M351" s="389"/>
      <c r="N351" s="389"/>
      <c r="O351" s="381">
        <v>13</v>
      </c>
    </row>
    <row r="352" spans="1:15" x14ac:dyDescent="0.2">
      <c r="A352" s="379"/>
      <c r="B352" s="368"/>
      <c r="C352" s="368"/>
      <c r="D352" s="368"/>
      <c r="E352" s="368"/>
      <c r="F352" s="368"/>
      <c r="G352" s="368"/>
      <c r="H352" s="368"/>
      <c r="I352" s="368"/>
      <c r="J352" s="368"/>
      <c r="K352" s="368"/>
      <c r="L352" s="368"/>
      <c r="M352" s="368"/>
      <c r="N352" s="368"/>
      <c r="O352" s="381">
        <v>14</v>
      </c>
    </row>
    <row r="353" spans="1:15" ht="15" x14ac:dyDescent="0.3">
      <c r="B353" s="372" t="s">
        <v>763</v>
      </c>
      <c r="D353" s="372">
        <v>200312</v>
      </c>
    </row>
    <row r="354" spans="1:15" x14ac:dyDescent="0.2">
      <c r="A354" s="27" t="s">
        <v>626</v>
      </c>
      <c r="B354" s="373" t="s">
        <v>640</v>
      </c>
      <c r="C354" s="27" t="s">
        <v>764</v>
      </c>
      <c r="O354" t="s">
        <v>713</v>
      </c>
    </row>
    <row r="355" spans="1:15" x14ac:dyDescent="0.2">
      <c r="A355" s="27"/>
      <c r="B355" s="359" t="s">
        <v>714</v>
      </c>
      <c r="C355" s="374" t="s">
        <v>715</v>
      </c>
      <c r="D355" s="375" t="s">
        <v>716</v>
      </c>
      <c r="E355" s="375" t="s">
        <v>717</v>
      </c>
      <c r="F355" s="375" t="s">
        <v>718</v>
      </c>
      <c r="G355" s="375" t="s">
        <v>719</v>
      </c>
      <c r="H355" s="375" t="s">
        <v>720</v>
      </c>
      <c r="I355" s="375" t="s">
        <v>721</v>
      </c>
      <c r="J355" s="375" t="s">
        <v>722</v>
      </c>
      <c r="K355" s="375" t="s">
        <v>723</v>
      </c>
      <c r="L355" s="375" t="s">
        <v>724</v>
      </c>
      <c r="M355" s="375" t="s">
        <v>725</v>
      </c>
      <c r="N355" s="375" t="s">
        <v>726</v>
      </c>
    </row>
    <row r="356" spans="1:15" x14ac:dyDescent="0.2">
      <c r="A356" s="376" t="s">
        <v>730</v>
      </c>
      <c r="B356" s="377">
        <v>1</v>
      </c>
      <c r="C356" s="377">
        <v>2</v>
      </c>
      <c r="D356" s="377">
        <v>3</v>
      </c>
      <c r="E356" s="377">
        <v>4</v>
      </c>
      <c r="F356" s="377">
        <v>5</v>
      </c>
      <c r="G356" s="377">
        <v>6</v>
      </c>
      <c r="H356" s="377">
        <v>7</v>
      </c>
      <c r="I356" s="377">
        <v>8</v>
      </c>
      <c r="J356" s="377">
        <v>9</v>
      </c>
      <c r="K356" s="377">
        <v>10</v>
      </c>
      <c r="L356" s="377">
        <v>11</v>
      </c>
      <c r="M356" s="377">
        <v>12</v>
      </c>
      <c r="N356" s="377">
        <v>13</v>
      </c>
      <c r="O356" s="378">
        <v>1</v>
      </c>
    </row>
    <row r="357" spans="1:15" x14ac:dyDescent="0.2">
      <c r="A357" s="379">
        <v>2000</v>
      </c>
      <c r="B357" s="401">
        <v>93.5</v>
      </c>
      <c r="C357" s="401">
        <v>93.5</v>
      </c>
      <c r="D357" s="401">
        <v>93.5</v>
      </c>
      <c r="E357" s="401">
        <v>93.5</v>
      </c>
      <c r="F357" s="401">
        <v>93.5</v>
      </c>
      <c r="G357" s="401">
        <v>93.5</v>
      </c>
      <c r="H357" s="401">
        <v>93.5</v>
      </c>
      <c r="I357" s="401">
        <v>93.5</v>
      </c>
      <c r="J357" s="401">
        <v>93.5</v>
      </c>
      <c r="K357" s="401">
        <v>93.5</v>
      </c>
      <c r="L357" s="401">
        <v>93.5</v>
      </c>
      <c r="M357" s="401">
        <v>93.5</v>
      </c>
      <c r="N357" s="401">
        <v>93.5</v>
      </c>
      <c r="O357" s="381">
        <v>2</v>
      </c>
    </row>
    <row r="358" spans="1:15" x14ac:dyDescent="0.2">
      <c r="A358" s="379">
        <v>2001</v>
      </c>
      <c r="B358" s="401">
        <v>96.2</v>
      </c>
      <c r="C358" s="401">
        <v>96.2</v>
      </c>
      <c r="D358" s="401">
        <v>96.2</v>
      </c>
      <c r="E358" s="401">
        <v>96.2</v>
      </c>
      <c r="F358" s="401">
        <v>96.2</v>
      </c>
      <c r="G358" s="401">
        <v>96.2</v>
      </c>
      <c r="H358" s="401">
        <v>96.2</v>
      </c>
      <c r="I358" s="401">
        <v>96.2</v>
      </c>
      <c r="J358" s="401">
        <v>96.2</v>
      </c>
      <c r="K358" s="401">
        <v>96.2</v>
      </c>
      <c r="L358" s="401">
        <v>96.2</v>
      </c>
      <c r="M358" s="401">
        <v>96.2</v>
      </c>
      <c r="N358" s="401">
        <v>96.2</v>
      </c>
      <c r="O358" s="381">
        <v>3</v>
      </c>
    </row>
    <row r="359" spans="1:15" x14ac:dyDescent="0.2">
      <c r="A359" s="379">
        <v>2002</v>
      </c>
      <c r="B359" s="401">
        <v>98</v>
      </c>
      <c r="C359" s="401">
        <v>98</v>
      </c>
      <c r="D359" s="401">
        <v>98</v>
      </c>
      <c r="E359" s="401">
        <v>98</v>
      </c>
      <c r="F359" s="401">
        <v>98</v>
      </c>
      <c r="G359" s="401">
        <v>98</v>
      </c>
      <c r="H359" s="401">
        <v>98</v>
      </c>
      <c r="I359" s="401">
        <v>98</v>
      </c>
      <c r="J359" s="401">
        <v>98</v>
      </c>
      <c r="K359" s="401">
        <v>98</v>
      </c>
      <c r="L359" s="401">
        <v>98</v>
      </c>
      <c r="M359" s="401">
        <v>98</v>
      </c>
      <c r="N359" s="401">
        <v>98</v>
      </c>
      <c r="O359" s="381">
        <v>4</v>
      </c>
    </row>
    <row r="360" spans="1:15" x14ac:dyDescent="0.2">
      <c r="A360" s="379">
        <v>2003</v>
      </c>
      <c r="B360" s="402">
        <v>100</v>
      </c>
      <c r="C360" s="402">
        <v>100</v>
      </c>
      <c r="D360" s="402">
        <v>100</v>
      </c>
      <c r="E360" s="402">
        <v>100</v>
      </c>
      <c r="F360" s="402">
        <v>100</v>
      </c>
      <c r="G360" s="402">
        <v>100</v>
      </c>
      <c r="H360" s="402">
        <v>100</v>
      </c>
      <c r="I360" s="402">
        <v>100</v>
      </c>
      <c r="J360" s="402">
        <v>100</v>
      </c>
      <c r="K360" s="402">
        <v>100</v>
      </c>
      <c r="L360" s="402">
        <v>100</v>
      </c>
      <c r="M360" s="380">
        <v>100</v>
      </c>
      <c r="N360" s="403">
        <v>100</v>
      </c>
      <c r="O360" s="381">
        <v>5</v>
      </c>
    </row>
    <row r="361" spans="1:15" x14ac:dyDescent="0.2">
      <c r="A361" s="379">
        <v>2004</v>
      </c>
      <c r="B361" s="380">
        <v>99.3</v>
      </c>
      <c r="C361" s="380">
        <v>99.2</v>
      </c>
      <c r="D361" s="380">
        <v>98.8</v>
      </c>
      <c r="E361" s="380">
        <v>99.1</v>
      </c>
      <c r="F361" s="380">
        <v>99.2</v>
      </c>
      <c r="G361" s="380">
        <v>98.5</v>
      </c>
      <c r="H361" s="380">
        <v>98.7</v>
      </c>
      <c r="I361" s="380">
        <v>99.2</v>
      </c>
      <c r="J361" s="380">
        <v>99.9</v>
      </c>
      <c r="K361" s="380">
        <v>100.1</v>
      </c>
      <c r="L361" s="380">
        <v>99.7</v>
      </c>
      <c r="M361" s="380">
        <v>99.7</v>
      </c>
      <c r="N361" s="380">
        <v>99.3</v>
      </c>
      <c r="O361" s="381">
        <v>6</v>
      </c>
    </row>
    <row r="362" spans="1:15" x14ac:dyDescent="0.2">
      <c r="A362" s="379">
        <v>2005</v>
      </c>
      <c r="B362" s="380">
        <v>100.7</v>
      </c>
      <c r="C362" s="380">
        <v>100.9</v>
      </c>
      <c r="D362" s="380">
        <v>102.5</v>
      </c>
      <c r="E362" s="380">
        <v>102.8</v>
      </c>
      <c r="F362" s="380">
        <v>104</v>
      </c>
      <c r="G362" s="380">
        <v>104</v>
      </c>
      <c r="H362" s="380">
        <v>104.5</v>
      </c>
      <c r="I362" s="382">
        <v>104.2</v>
      </c>
      <c r="J362" s="382">
        <v>105.2</v>
      </c>
      <c r="K362" s="382">
        <v>108.3</v>
      </c>
      <c r="L362" s="382">
        <v>140.80000000000001</v>
      </c>
      <c r="M362" s="382">
        <v>132.69999999999999</v>
      </c>
      <c r="N362" s="382">
        <v>109.4</v>
      </c>
      <c r="O362" s="381">
        <v>7</v>
      </c>
    </row>
    <row r="363" spans="1:15" x14ac:dyDescent="0.2">
      <c r="A363" s="379">
        <v>2006</v>
      </c>
      <c r="B363" s="382">
        <v>132.5</v>
      </c>
      <c r="C363" s="382">
        <v>132.19999999999999</v>
      </c>
      <c r="D363" s="382">
        <v>132.1</v>
      </c>
      <c r="E363" s="382">
        <v>132.6</v>
      </c>
      <c r="F363" s="382">
        <v>133.9</v>
      </c>
      <c r="G363" s="382">
        <v>136.4</v>
      </c>
      <c r="H363" s="383">
        <v>137.4</v>
      </c>
      <c r="I363" s="386">
        <v>139.6</v>
      </c>
      <c r="J363" s="394">
        <v>139.9</v>
      </c>
      <c r="K363" s="394">
        <v>141.30000000000001</v>
      </c>
      <c r="L363" s="394">
        <v>140.69999999999999</v>
      </c>
      <c r="M363" s="394">
        <v>139.1</v>
      </c>
      <c r="N363" s="394">
        <v>136.5</v>
      </c>
      <c r="O363" s="381">
        <v>8</v>
      </c>
    </row>
    <row r="364" spans="1:15" x14ac:dyDescent="0.2">
      <c r="A364" s="379">
        <v>2007</v>
      </c>
      <c r="B364" s="386">
        <v>136.9</v>
      </c>
      <c r="C364" s="386">
        <v>135.9</v>
      </c>
      <c r="D364" s="386">
        <v>134.5</v>
      </c>
      <c r="E364" s="386">
        <v>131.69999999999999</v>
      </c>
      <c r="F364" s="386">
        <v>130.30000000000001</v>
      </c>
      <c r="G364" s="386">
        <v>130.19999999999999</v>
      </c>
      <c r="H364" s="386">
        <v>129.9</v>
      </c>
      <c r="I364" s="386">
        <v>130</v>
      </c>
      <c r="J364" s="394">
        <v>129.9</v>
      </c>
      <c r="K364" s="394">
        <v>130.1</v>
      </c>
      <c r="L364" s="394">
        <v>130</v>
      </c>
      <c r="M364" s="394">
        <v>130.5</v>
      </c>
      <c r="N364" s="394">
        <v>131.69999999999999</v>
      </c>
      <c r="O364" s="381">
        <v>9</v>
      </c>
    </row>
    <row r="365" spans="1:15" x14ac:dyDescent="0.2">
      <c r="A365" s="379">
        <v>2008</v>
      </c>
      <c r="B365" s="387">
        <v>131</v>
      </c>
      <c r="C365" s="396">
        <v>132.30000000000001</v>
      </c>
      <c r="D365" s="397">
        <v>132.30000000000001</v>
      </c>
      <c r="E365" s="397">
        <v>131.6</v>
      </c>
      <c r="F365" s="397">
        <v>131.5</v>
      </c>
      <c r="G365" s="397">
        <v>133.9</v>
      </c>
      <c r="H365" s="398">
        <v>139.4</v>
      </c>
      <c r="I365" s="398">
        <v>144.6</v>
      </c>
      <c r="J365" s="398">
        <v>146.9</v>
      </c>
      <c r="K365" s="398">
        <v>149.9</v>
      </c>
      <c r="L365" s="398">
        <v>149.6</v>
      </c>
      <c r="M365" s="398">
        <v>144.80000000000001</v>
      </c>
      <c r="N365" s="398">
        <v>139</v>
      </c>
      <c r="O365" s="381">
        <v>10</v>
      </c>
    </row>
    <row r="366" spans="1:15" x14ac:dyDescent="0.2">
      <c r="A366" s="379">
        <v>2009</v>
      </c>
      <c r="B366" s="388">
        <v>141.9</v>
      </c>
      <c r="C366" s="388">
        <v>141.30000000000001</v>
      </c>
      <c r="D366" s="388">
        <v>141.30000000000001</v>
      </c>
      <c r="E366" s="388">
        <v>137.30000000000001</v>
      </c>
      <c r="F366" s="388">
        <v>138.6</v>
      </c>
      <c r="G366" s="388">
        <v>140.4</v>
      </c>
      <c r="H366" s="388">
        <v>142.5</v>
      </c>
      <c r="I366" s="388">
        <v>142.5</v>
      </c>
      <c r="J366" s="461">
        <v>142.9</v>
      </c>
      <c r="K366" s="461">
        <v>142.4</v>
      </c>
      <c r="L366" s="461">
        <v>141.69999999999999</v>
      </c>
      <c r="M366" s="461">
        <v>140.69999999999999</v>
      </c>
      <c r="N366" s="461">
        <v>141.1</v>
      </c>
      <c r="O366" s="381">
        <v>11</v>
      </c>
    </row>
    <row r="367" spans="1:15" x14ac:dyDescent="0.2">
      <c r="A367" s="379">
        <v>2010</v>
      </c>
      <c r="B367" s="388">
        <v>140.30000000000001</v>
      </c>
      <c r="C367" s="388">
        <v>137.5</v>
      </c>
      <c r="D367" s="388">
        <v>137.5</v>
      </c>
      <c r="E367" s="388">
        <v>137.5</v>
      </c>
      <c r="F367" s="388">
        <v>136.30000000000001</v>
      </c>
      <c r="G367" s="388">
        <v>138.5</v>
      </c>
      <c r="H367" s="388">
        <v>138.9</v>
      </c>
      <c r="I367" s="388">
        <v>140.6</v>
      </c>
      <c r="J367" s="65">
        <v>139.9</v>
      </c>
      <c r="K367" s="391">
        <v>138.69999999999999</v>
      </c>
      <c r="L367" s="391">
        <v>136.9</v>
      </c>
      <c r="M367" s="391">
        <v>136</v>
      </c>
      <c r="N367" s="391">
        <v>138.19999999999999</v>
      </c>
      <c r="O367" s="381">
        <v>12</v>
      </c>
    </row>
    <row r="368" spans="1:15" x14ac:dyDescent="0.2">
      <c r="A368" s="379">
        <v>2011</v>
      </c>
      <c r="B368">
        <v>135.69999999999999</v>
      </c>
      <c r="C368" s="388">
        <v>135.9</v>
      </c>
      <c r="D368" s="385">
        <v>135.80000000000001</v>
      </c>
      <c r="E368" s="389">
        <v>135.5</v>
      </c>
      <c r="F368" s="389">
        <v>136.69999999999999</v>
      </c>
      <c r="G368" s="389">
        <v>141.1</v>
      </c>
      <c r="H368" s="389">
        <v>143.1</v>
      </c>
      <c r="I368" s="389"/>
      <c r="J368" s="389"/>
      <c r="K368" s="389"/>
      <c r="L368" s="389"/>
      <c r="M368" s="389"/>
      <c r="N368" s="389"/>
      <c r="O368" s="381">
        <v>13</v>
      </c>
    </row>
    <row r="369" spans="1:15" x14ac:dyDescent="0.2">
      <c r="A369" s="379"/>
      <c r="B369" s="368"/>
      <c r="C369" s="368"/>
      <c r="D369" s="368"/>
      <c r="E369" s="368"/>
      <c r="F369" s="368"/>
      <c r="G369" s="368"/>
      <c r="H369" s="368"/>
      <c r="I369" s="368"/>
      <c r="J369" s="368"/>
      <c r="K369" s="368"/>
      <c r="L369" s="368"/>
      <c r="M369" s="368"/>
      <c r="N369" s="368"/>
      <c r="O369" s="381">
        <v>14</v>
      </c>
    </row>
    <row r="370" spans="1:15" x14ac:dyDescent="0.2">
      <c r="A370" s="404" t="s">
        <v>765</v>
      </c>
      <c r="B370" s="404"/>
      <c r="C370" s="404"/>
      <c r="D370" s="404"/>
      <c r="E370" s="404"/>
      <c r="F370" s="404"/>
      <c r="G370" s="404"/>
      <c r="H370" s="404"/>
      <c r="I370" s="404"/>
      <c r="J370" s="404"/>
      <c r="K370" s="404"/>
      <c r="L370" s="404"/>
      <c r="M370" s="404"/>
      <c r="N370" s="404"/>
      <c r="O370" s="381"/>
    </row>
    <row r="372" spans="1:15" x14ac:dyDescent="0.2">
      <c r="A372" s="27" t="s">
        <v>626</v>
      </c>
      <c r="B372" s="373"/>
      <c r="C372" s="27"/>
      <c r="O372" t="s">
        <v>713</v>
      </c>
    </row>
    <row r="373" spans="1:15" x14ac:dyDescent="0.2">
      <c r="A373" s="27"/>
      <c r="B373" s="359" t="s">
        <v>714</v>
      </c>
      <c r="C373" s="374" t="s">
        <v>715</v>
      </c>
      <c r="D373" s="375" t="s">
        <v>716</v>
      </c>
      <c r="E373" s="375" t="s">
        <v>717</v>
      </c>
      <c r="F373" s="375" t="s">
        <v>718</v>
      </c>
      <c r="G373" s="375" t="s">
        <v>719</v>
      </c>
      <c r="H373" s="375" t="s">
        <v>720</v>
      </c>
      <c r="I373" s="375" t="s">
        <v>721</v>
      </c>
      <c r="J373" s="375" t="s">
        <v>722</v>
      </c>
      <c r="K373" s="375" t="s">
        <v>723</v>
      </c>
      <c r="L373" s="375" t="s">
        <v>724</v>
      </c>
      <c r="M373" s="375" t="s">
        <v>725</v>
      </c>
      <c r="N373" s="375" t="s">
        <v>726</v>
      </c>
    </row>
    <row r="374" spans="1:15" x14ac:dyDescent="0.2">
      <c r="A374" s="376" t="s">
        <v>730</v>
      </c>
      <c r="B374" s="377">
        <v>1</v>
      </c>
      <c r="C374" s="377">
        <v>2</v>
      </c>
      <c r="D374" s="377">
        <v>3</v>
      </c>
      <c r="E374" s="377">
        <v>4</v>
      </c>
      <c r="F374" s="377">
        <v>5</v>
      </c>
      <c r="G374" s="377">
        <v>6</v>
      </c>
      <c r="H374" s="377">
        <v>7</v>
      </c>
      <c r="I374" s="377">
        <v>8</v>
      </c>
      <c r="J374" s="377">
        <v>9</v>
      </c>
      <c r="K374" s="377">
        <v>10</v>
      </c>
      <c r="L374" s="377">
        <v>11</v>
      </c>
      <c r="M374" s="377">
        <v>12</v>
      </c>
      <c r="N374" s="377"/>
      <c r="O374" s="378">
        <v>1</v>
      </c>
    </row>
    <row r="375" spans="1:15" x14ac:dyDescent="0.2">
      <c r="A375" s="379">
        <v>2000</v>
      </c>
      <c r="B375" s="368"/>
      <c r="C375" s="368"/>
      <c r="D375" s="368"/>
      <c r="E375" s="368"/>
      <c r="F375" s="368"/>
      <c r="G375" s="368"/>
      <c r="H375" s="368"/>
      <c r="I375" s="368"/>
      <c r="J375" s="368"/>
      <c r="K375" s="368"/>
      <c r="L375" s="368"/>
      <c r="M375" s="368"/>
      <c r="N375" s="368"/>
      <c r="O375" s="381">
        <v>2</v>
      </c>
    </row>
    <row r="376" spans="1:15" x14ac:dyDescent="0.2">
      <c r="A376" s="379">
        <v>2001</v>
      </c>
      <c r="B376" s="368"/>
      <c r="C376" s="368"/>
      <c r="D376" s="368"/>
      <c r="E376" s="368"/>
      <c r="F376" s="368"/>
      <c r="G376" s="368"/>
      <c r="H376" s="368"/>
      <c r="I376" s="368"/>
      <c r="J376" s="368"/>
      <c r="K376" s="368"/>
      <c r="L376" s="368"/>
      <c r="M376" s="368"/>
      <c r="N376" s="368"/>
      <c r="O376" s="381">
        <v>3</v>
      </c>
    </row>
    <row r="377" spans="1:15" x14ac:dyDescent="0.2">
      <c r="A377" s="379">
        <v>2002</v>
      </c>
      <c r="B377" s="368"/>
      <c r="C377" s="368"/>
      <c r="D377" s="368"/>
      <c r="E377" s="368"/>
      <c r="F377" s="368"/>
      <c r="G377" s="368"/>
      <c r="H377" s="368"/>
      <c r="I377" s="368"/>
      <c r="J377" s="368"/>
      <c r="K377" s="368"/>
      <c r="L377" s="368"/>
      <c r="M377" s="368"/>
      <c r="N377" s="368"/>
      <c r="O377" s="381">
        <v>4</v>
      </c>
    </row>
    <row r="378" spans="1:15" x14ac:dyDescent="0.2">
      <c r="A378" s="379">
        <v>2003</v>
      </c>
      <c r="B378" s="368"/>
      <c r="C378" s="368"/>
      <c r="D378" s="368"/>
      <c r="E378" s="368"/>
      <c r="F378" s="368"/>
      <c r="G378" s="368"/>
      <c r="H378" s="368"/>
      <c r="I378" s="368"/>
      <c r="J378" s="368"/>
      <c r="K378" s="368"/>
      <c r="L378" s="368"/>
      <c r="M378" s="368"/>
      <c r="N378" s="368"/>
      <c r="O378" s="381">
        <v>5</v>
      </c>
    </row>
    <row r="379" spans="1:15" x14ac:dyDescent="0.2">
      <c r="A379" s="379">
        <v>2004</v>
      </c>
      <c r="B379" s="368"/>
      <c r="C379" s="368"/>
      <c r="D379" s="368"/>
      <c r="E379" s="368"/>
      <c r="F379" s="368"/>
      <c r="G379" s="368"/>
      <c r="H379" s="368"/>
      <c r="I379" s="368"/>
      <c r="J379" s="368"/>
      <c r="K379" s="368"/>
      <c r="L379" s="368"/>
      <c r="M379" s="368"/>
      <c r="N379" s="368"/>
      <c r="O379" s="381">
        <v>6</v>
      </c>
    </row>
    <row r="380" spans="1:15" x14ac:dyDescent="0.2">
      <c r="A380" s="379">
        <v>2005</v>
      </c>
      <c r="B380" s="368"/>
      <c r="C380" s="368"/>
      <c r="D380" s="368"/>
      <c r="E380" s="368"/>
      <c r="F380" s="368"/>
      <c r="G380" s="368"/>
      <c r="H380" s="368"/>
      <c r="I380" s="368"/>
      <c r="J380" s="368"/>
      <c r="K380" s="368"/>
      <c r="L380" s="368"/>
      <c r="M380" s="368"/>
      <c r="N380" s="368"/>
      <c r="O380" s="381">
        <v>7</v>
      </c>
    </row>
    <row r="381" spans="1:15" x14ac:dyDescent="0.2">
      <c r="A381" s="379">
        <v>2006</v>
      </c>
      <c r="B381" s="368"/>
      <c r="C381" s="368"/>
      <c r="D381" s="368"/>
      <c r="E381" s="368"/>
      <c r="F381" s="368"/>
      <c r="G381" s="368"/>
      <c r="H381" s="368"/>
      <c r="I381" s="368"/>
      <c r="J381" s="368"/>
      <c r="K381" s="368"/>
      <c r="L381" s="368"/>
      <c r="M381" s="368"/>
      <c r="N381" s="368"/>
      <c r="O381" s="381">
        <v>8</v>
      </c>
    </row>
    <row r="382" spans="1:15" x14ac:dyDescent="0.2">
      <c r="A382" s="379">
        <v>2007</v>
      </c>
      <c r="B382" s="368"/>
      <c r="C382" s="368"/>
      <c r="D382" s="368"/>
      <c r="E382" s="368"/>
      <c r="F382" s="368"/>
      <c r="G382" s="368"/>
      <c r="H382" s="368"/>
      <c r="I382" s="368"/>
      <c r="J382" s="368"/>
      <c r="K382" s="368"/>
      <c r="L382" s="368"/>
      <c r="M382" s="368"/>
      <c r="N382" s="368"/>
      <c r="O382" s="381">
        <v>9</v>
      </c>
    </row>
    <row r="383" spans="1:15" x14ac:dyDescent="0.2">
      <c r="A383" s="379">
        <v>2008</v>
      </c>
      <c r="B383" s="368"/>
      <c r="C383" s="368"/>
      <c r="D383" s="368"/>
      <c r="E383" s="368"/>
      <c r="F383" s="368"/>
      <c r="G383" s="368"/>
      <c r="H383" s="368"/>
      <c r="I383" s="368"/>
      <c r="J383" s="368"/>
      <c r="K383" s="368"/>
      <c r="L383" s="368"/>
      <c r="M383" s="368"/>
      <c r="N383" s="368"/>
      <c r="O383" s="381">
        <v>10</v>
      </c>
    </row>
    <row r="384" spans="1:15" x14ac:dyDescent="0.2">
      <c r="A384" s="379">
        <v>2009</v>
      </c>
      <c r="B384" s="368"/>
      <c r="C384" s="368"/>
      <c r="D384" s="368"/>
      <c r="E384" s="368"/>
      <c r="F384" s="368"/>
      <c r="G384" s="368"/>
      <c r="H384" s="368"/>
      <c r="I384" s="368"/>
      <c r="J384" s="368"/>
      <c r="K384" s="368"/>
      <c r="L384" s="368"/>
      <c r="M384" s="368"/>
      <c r="N384" s="368"/>
      <c r="O384" s="381">
        <v>11</v>
      </c>
    </row>
    <row r="385" spans="1:15" x14ac:dyDescent="0.2">
      <c r="A385" s="379">
        <v>2010</v>
      </c>
      <c r="B385" s="368"/>
      <c r="C385" s="368"/>
      <c r="D385" s="368"/>
      <c r="E385" s="368"/>
      <c r="F385" s="368"/>
      <c r="G385" s="368"/>
      <c r="H385" s="368"/>
      <c r="I385" s="368"/>
      <c r="J385" s="368"/>
      <c r="K385" s="368"/>
      <c r="L385" s="368"/>
      <c r="M385" s="368"/>
      <c r="N385" s="368"/>
      <c r="O385" s="381">
        <v>12</v>
      </c>
    </row>
    <row r="386" spans="1:15" x14ac:dyDescent="0.2">
      <c r="A386" s="379">
        <v>2011</v>
      </c>
      <c r="B386" s="368"/>
      <c r="C386" s="368"/>
      <c r="D386" s="368"/>
      <c r="E386" s="368"/>
      <c r="F386" s="368"/>
      <c r="G386" s="368"/>
      <c r="H386" s="368"/>
      <c r="I386" s="368"/>
      <c r="J386" s="368"/>
      <c r="K386" s="368"/>
      <c r="L386" s="368"/>
      <c r="M386" s="368"/>
      <c r="N386" s="368"/>
      <c r="O386" s="390">
        <v>13</v>
      </c>
    </row>
    <row r="388" spans="1:15" x14ac:dyDescent="0.2">
      <c r="A388" s="27" t="s">
        <v>626</v>
      </c>
      <c r="B388" s="373"/>
      <c r="C388" s="27"/>
      <c r="O388" t="s">
        <v>713</v>
      </c>
    </row>
    <row r="389" spans="1:15" x14ac:dyDescent="0.2">
      <c r="A389" s="27"/>
      <c r="B389" s="359" t="s">
        <v>714</v>
      </c>
      <c r="C389" s="374" t="s">
        <v>715</v>
      </c>
      <c r="D389" s="375" t="s">
        <v>716</v>
      </c>
      <c r="E389" s="375" t="s">
        <v>717</v>
      </c>
      <c r="F389" s="375" t="s">
        <v>718</v>
      </c>
      <c r="G389" s="375" t="s">
        <v>719</v>
      </c>
      <c r="H389" s="375" t="s">
        <v>720</v>
      </c>
      <c r="I389" s="375" t="s">
        <v>721</v>
      </c>
      <c r="J389" s="375" t="s">
        <v>722</v>
      </c>
      <c r="K389" s="375" t="s">
        <v>723</v>
      </c>
      <c r="L389" s="375" t="s">
        <v>724</v>
      </c>
      <c r="M389" s="375" t="s">
        <v>725</v>
      </c>
      <c r="N389" s="375" t="s">
        <v>726</v>
      </c>
    </row>
    <row r="390" spans="1:15" x14ac:dyDescent="0.2">
      <c r="A390" s="376" t="s">
        <v>730</v>
      </c>
      <c r="B390" s="377">
        <v>1</v>
      </c>
      <c r="C390" s="377">
        <v>2</v>
      </c>
      <c r="D390" s="377">
        <v>3</v>
      </c>
      <c r="E390" s="377">
        <v>4</v>
      </c>
      <c r="F390" s="377">
        <v>5</v>
      </c>
      <c r="G390" s="377">
        <v>6</v>
      </c>
      <c r="H390" s="377">
        <v>7</v>
      </c>
      <c r="I390" s="377">
        <v>8</v>
      </c>
      <c r="J390" s="377">
        <v>9</v>
      </c>
      <c r="K390" s="377">
        <v>10</v>
      </c>
      <c r="L390" s="377">
        <v>11</v>
      </c>
      <c r="M390" s="377">
        <v>12</v>
      </c>
      <c r="N390" s="377"/>
      <c r="O390" s="378">
        <v>1</v>
      </c>
    </row>
    <row r="391" spans="1:15" x14ac:dyDescent="0.2">
      <c r="A391" s="379">
        <v>2000</v>
      </c>
      <c r="B391" s="368"/>
      <c r="C391" s="368"/>
      <c r="D391" s="368"/>
      <c r="E391" s="368"/>
      <c r="F391" s="368"/>
      <c r="G391" s="368"/>
      <c r="H391" s="368"/>
      <c r="I391" s="368"/>
      <c r="J391" s="368"/>
      <c r="K391" s="368"/>
      <c r="L391" s="368"/>
      <c r="M391" s="368"/>
      <c r="N391" s="368"/>
      <c r="O391" s="381">
        <v>2</v>
      </c>
    </row>
    <row r="392" spans="1:15" x14ac:dyDescent="0.2">
      <c r="A392" s="379">
        <v>2001</v>
      </c>
      <c r="B392" s="368"/>
      <c r="C392" s="368"/>
      <c r="D392" s="368"/>
      <c r="E392" s="368"/>
      <c r="F392" s="368"/>
      <c r="G392" s="368"/>
      <c r="H392" s="368"/>
      <c r="I392" s="368"/>
      <c r="J392" s="368"/>
      <c r="K392" s="368"/>
      <c r="L392" s="368"/>
      <c r="M392" s="368"/>
      <c r="N392" s="368"/>
      <c r="O392" s="381">
        <v>3</v>
      </c>
    </row>
    <row r="393" spans="1:15" x14ac:dyDescent="0.2">
      <c r="A393" s="379">
        <v>2002</v>
      </c>
      <c r="B393" s="368"/>
      <c r="C393" s="368"/>
      <c r="D393" s="368"/>
      <c r="E393" s="368"/>
      <c r="F393" s="368"/>
      <c r="G393" s="368"/>
      <c r="H393" s="368"/>
      <c r="I393" s="368"/>
      <c r="J393" s="368"/>
      <c r="K393" s="368"/>
      <c r="L393" s="368"/>
      <c r="M393" s="368"/>
      <c r="N393" s="368"/>
      <c r="O393" s="381">
        <v>4</v>
      </c>
    </row>
    <row r="394" spans="1:15" x14ac:dyDescent="0.2">
      <c r="A394" s="379">
        <v>2003</v>
      </c>
      <c r="B394" s="368"/>
      <c r="C394" s="368"/>
      <c r="D394" s="368"/>
      <c r="E394" s="368"/>
      <c r="F394" s="368"/>
      <c r="G394" s="368"/>
      <c r="H394" s="368"/>
      <c r="I394" s="368"/>
      <c r="J394" s="368"/>
      <c r="K394" s="368"/>
      <c r="L394" s="368"/>
      <c r="M394" s="368"/>
      <c r="N394" s="368"/>
      <c r="O394" s="381">
        <v>5</v>
      </c>
    </row>
    <row r="395" spans="1:15" x14ac:dyDescent="0.2">
      <c r="A395" s="379">
        <v>2004</v>
      </c>
      <c r="B395" s="368"/>
      <c r="C395" s="368"/>
      <c r="D395" s="368"/>
      <c r="E395" s="368"/>
      <c r="F395" s="368"/>
      <c r="G395" s="368"/>
      <c r="H395" s="368"/>
      <c r="I395" s="368"/>
      <c r="J395" s="368"/>
      <c r="K395" s="368"/>
      <c r="L395" s="368"/>
      <c r="M395" s="368"/>
      <c r="N395" s="368"/>
      <c r="O395" s="381">
        <v>6</v>
      </c>
    </row>
    <row r="396" spans="1:15" x14ac:dyDescent="0.2">
      <c r="A396" s="379">
        <v>2005</v>
      </c>
      <c r="B396" s="368"/>
      <c r="C396" s="368"/>
      <c r="D396" s="368"/>
      <c r="E396" s="368"/>
      <c r="F396" s="368"/>
      <c r="G396" s="368"/>
      <c r="H396" s="368"/>
      <c r="I396" s="368"/>
      <c r="J396" s="368"/>
      <c r="K396" s="368"/>
      <c r="L396" s="368"/>
      <c r="M396" s="368"/>
      <c r="N396" s="368"/>
      <c r="O396" s="381">
        <v>7</v>
      </c>
    </row>
    <row r="397" spans="1:15" x14ac:dyDescent="0.2">
      <c r="A397" s="379">
        <v>2006</v>
      </c>
      <c r="B397" s="368"/>
      <c r="C397" s="368"/>
      <c r="D397" s="368"/>
      <c r="E397" s="368"/>
      <c r="F397" s="368"/>
      <c r="G397" s="368"/>
      <c r="H397" s="368"/>
      <c r="I397" s="368"/>
      <c r="J397" s="368"/>
      <c r="K397" s="368"/>
      <c r="L397" s="368"/>
      <c r="M397" s="368"/>
      <c r="N397" s="368"/>
      <c r="O397" s="381">
        <v>8</v>
      </c>
    </row>
    <row r="398" spans="1:15" x14ac:dyDescent="0.2">
      <c r="A398" s="379">
        <v>2007</v>
      </c>
      <c r="B398" s="368"/>
      <c r="C398" s="368"/>
      <c r="D398" s="368"/>
      <c r="E398" s="368"/>
      <c r="F398" s="368"/>
      <c r="G398" s="368"/>
      <c r="H398" s="368"/>
      <c r="I398" s="368"/>
      <c r="J398" s="368"/>
      <c r="K398" s="368"/>
      <c r="L398" s="368"/>
      <c r="M398" s="368"/>
      <c r="N398" s="368"/>
      <c r="O398" s="381">
        <v>9</v>
      </c>
    </row>
    <row r="399" spans="1:15" x14ac:dyDescent="0.2">
      <c r="A399" s="379">
        <v>2008</v>
      </c>
      <c r="B399" s="368"/>
      <c r="C399" s="368"/>
      <c r="D399" s="368"/>
      <c r="E399" s="368"/>
      <c r="F399" s="368"/>
      <c r="G399" s="368"/>
      <c r="H399" s="368"/>
      <c r="I399" s="368"/>
      <c r="J399" s="368"/>
      <c r="K399" s="368"/>
      <c r="L399" s="368"/>
      <c r="M399" s="368"/>
      <c r="N399" s="368"/>
      <c r="O399" s="381">
        <v>10</v>
      </c>
    </row>
    <row r="400" spans="1:15" x14ac:dyDescent="0.2">
      <c r="A400" s="379">
        <v>2009</v>
      </c>
      <c r="B400" s="368"/>
      <c r="C400" s="368"/>
      <c r="D400" s="368"/>
      <c r="E400" s="368"/>
      <c r="F400" s="368"/>
      <c r="G400" s="368"/>
      <c r="H400" s="368"/>
      <c r="I400" s="368"/>
      <c r="J400" s="368"/>
      <c r="K400" s="368"/>
      <c r="L400" s="368"/>
      <c r="M400" s="368"/>
      <c r="N400" s="368"/>
      <c r="O400" s="381">
        <v>11</v>
      </c>
    </row>
    <row r="401" spans="1:15" x14ac:dyDescent="0.2">
      <c r="A401" s="379">
        <v>2010</v>
      </c>
      <c r="B401" s="368"/>
      <c r="C401" s="368"/>
      <c r="D401" s="368"/>
      <c r="E401" s="368"/>
      <c r="F401" s="368"/>
      <c r="G401" s="368"/>
      <c r="H401" s="368"/>
      <c r="I401" s="368"/>
      <c r="J401" s="368"/>
      <c r="K401" s="368"/>
      <c r="L401" s="368"/>
      <c r="M401" s="368"/>
      <c r="N401" s="368"/>
      <c r="O401" s="381">
        <v>12</v>
      </c>
    </row>
    <row r="402" spans="1:15" x14ac:dyDescent="0.2">
      <c r="A402" s="379">
        <v>2011</v>
      </c>
      <c r="B402" s="368"/>
      <c r="C402" s="368"/>
      <c r="D402" s="368"/>
      <c r="E402" s="368"/>
      <c r="F402" s="368"/>
      <c r="G402" s="368"/>
      <c r="H402" s="368"/>
      <c r="I402" s="368"/>
      <c r="J402" s="368"/>
      <c r="K402" s="368"/>
      <c r="L402" s="368"/>
      <c r="M402" s="368"/>
      <c r="N402" s="368"/>
      <c r="O402" s="390">
        <v>13</v>
      </c>
    </row>
  </sheetData>
  <pageMargins left="0.75" right="0.75" top="1" bottom="1" header="0.5" footer="0.5"/>
  <pageSetup scale="85"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Input &amp; Summary</vt:lpstr>
      <vt:lpstr>Cost Summary</vt:lpstr>
      <vt:lpstr>Cost &amp; Mass Functions</vt:lpstr>
      <vt:lpstr>AEP Input Output sheet</vt:lpstr>
      <vt:lpstr>PPI Calculation</vt:lpstr>
      <vt:lpstr>PPI Look Up Table</vt:lpstr>
      <vt:lpstr>'AEP Input Output sheet'!Print_Area</vt:lpstr>
      <vt:lpstr>'Cost &amp; Mass Functions'!Print_Area</vt:lpstr>
      <vt:lpstr>'Cost Summary'!Print_Area</vt:lpstr>
      <vt:lpstr>'PPI Look Up Table'!Print_Area</vt:lpstr>
      <vt:lpstr>TurbineChoices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Maples</dc:creator>
  <cp:lastModifiedBy>NREL</cp:lastModifiedBy>
  <dcterms:created xsi:type="dcterms:W3CDTF">2010-01-25T18:49:36Z</dcterms:created>
  <dcterms:modified xsi:type="dcterms:W3CDTF">2014-11-07T18:08:59Z</dcterms:modified>
</cp:coreProperties>
</file>