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showInkAnnotation="0" codeName="ThisWorkbook" defaultThemeVersion="124226"/>
  <bookViews>
    <workbookView xWindow="10790" yWindow="-20" windowWidth="10830" windowHeight="10740" tabRatio="930" activeTab="1"/>
  </bookViews>
  <sheets>
    <sheet name="General Notes" sheetId="19" r:id="rId1"/>
    <sheet name="Assumptions" sheetId="12" r:id="rId2"/>
    <sheet name="Calculations" sheetId="13" r:id="rId3"/>
    <sheet name="Term Loan" sheetId="14" r:id="rId4"/>
    <sheet name="Working Capital" sheetId="15" r:id="rId5"/>
  </sheets>
  <definedNames>
    <definedName name="analysis_period">Assumptions!$F$7</definedName>
    <definedName name="annual_fuel_usage">#REF!</definedName>
    <definedName name="AnnualEnergy">#REF!</definedName>
    <definedName name="AnnualOMCapacity">#REF!</definedName>
    <definedName name="AnnualOMFixed">#REF!</definedName>
    <definedName name="AnnualOMProduction">#REF!</definedName>
    <definedName name="AnnualPPAPrice">#REF!</definedName>
    <definedName name="AnnualPPARevenue">#REF!</definedName>
    <definedName name="capacity_factor">Assumptions!$F$6</definedName>
    <definedName name="capacity_mw">Assumptions!$F$4</definedName>
    <definedName name="cbi_fed_amount">#REF!</definedName>
    <definedName name="cbi_fed_deprbas_fed">#REF!</definedName>
    <definedName name="cbi_fed_deprbas_sta">#REF!</definedName>
    <definedName name="cbi_fed_maxvalue">#REF!</definedName>
    <definedName name="cbi_fed_tax_fed">#REF!</definedName>
    <definedName name="cbi_fed_tax_sta">#REF!</definedName>
    <definedName name="cbi_oth_amount">#REF!</definedName>
    <definedName name="cbi_oth_deprbas_fed">#REF!</definedName>
    <definedName name="cbi_oth_deprbas_sta">#REF!</definedName>
    <definedName name="cbi_oth_maxvalue">#REF!</definedName>
    <definedName name="cbi_oth_tax_fed">#REF!</definedName>
    <definedName name="cbi_oth_tax_sta">#REF!</definedName>
    <definedName name="cbi_sta_amount">#REF!</definedName>
    <definedName name="cbi_sta_deprbas_fed">#REF!</definedName>
    <definedName name="cbi_sta_deprbas_sta">#REF!</definedName>
    <definedName name="cbi_sta_maxvalue">#REF!</definedName>
    <definedName name="cbi_sta_tax_fed">#REF!</definedName>
    <definedName name="cbi_sta_tax_sta">#REF!</definedName>
    <definedName name="cbi_uti_amount">#REF!</definedName>
    <definedName name="cbi_uti_deprbas_fed">#REF!</definedName>
    <definedName name="cbi_uti_deprbas_sta">#REF!</definedName>
    <definedName name="cbi_uti_maxvalue">#REF!</definedName>
    <definedName name="cbi_uti_tax_fed">#REF!</definedName>
    <definedName name="cbi_uti_tax_sta">#REF!</definedName>
    <definedName name="const_per_interest_rate1">#REF!</definedName>
    <definedName name="const_per_interest_rate2">#REF!</definedName>
    <definedName name="const_per_interest_rate3">#REF!</definedName>
    <definedName name="const_per_interest_rate4">#REF!</definedName>
    <definedName name="const_per_interest_rate5">#REF!</definedName>
    <definedName name="const_per_months1">#REF!</definedName>
    <definedName name="const_per_months2">#REF!</definedName>
    <definedName name="const_per_months3">#REF!</definedName>
    <definedName name="const_per_months4">#REF!</definedName>
    <definedName name="const_per_months5">#REF!</definedName>
    <definedName name="const_per_percent1">#REF!</definedName>
    <definedName name="const_per_percent2">#REF!</definedName>
    <definedName name="const_per_percent3">#REF!</definedName>
    <definedName name="const_per_percent4">#REF!</definedName>
    <definedName name="const_per_percent5">#REF!</definedName>
    <definedName name="const_per_upfront_rate1">#REF!</definedName>
    <definedName name="const_per_upfront_rate2">#REF!</definedName>
    <definedName name="const_per_upfront_rate3">#REF!</definedName>
    <definedName name="const_per_upfront_rate4">#REF!</definedName>
    <definedName name="const_per_upfront_rate5">#REF!</definedName>
    <definedName name="construction_financing_cost">#REF!</definedName>
    <definedName name="cost_debt_closing">#REF!</definedName>
    <definedName name="cost_debt_fee">#REF!</definedName>
    <definedName name="cost_other_financing">#REF!</definedName>
    <definedName name="cost_per_mw">Assumptions!$F$8</definedName>
    <definedName name="CostDebtUpfront">#REF!</definedName>
    <definedName name="debt_percent">Assumptions!$F$10</definedName>
    <definedName name="DebtPercent">#REF!</definedName>
    <definedName name="DebtServiceCoverageRatio">#REF!</definedName>
    <definedName name="depr_12">Assumptions!$F$26</definedName>
    <definedName name="depr_13">Assumptions!$F$27</definedName>
    <definedName name="depr_alloc_macrs_15_percent">#REF!</definedName>
    <definedName name="depr_alloc_macrs_5_percent">#REF!</definedName>
    <definedName name="depr_alloc_sl_15_percent">#REF!</definedName>
    <definedName name="depr_alloc_sl_20_percent">#REF!</definedName>
    <definedName name="depr_alloc_sl_39_percent">#REF!</definedName>
    <definedName name="depr_alloc_sl_5_percent">#REF!</definedName>
    <definedName name="depr_bonus_fed">#REF!</definedName>
    <definedName name="depr_bonus_fed_macrs_15">#REF!</definedName>
    <definedName name="depr_bonus_fed_macrs_5">#REF!</definedName>
    <definedName name="depr_bonus_fed_sl_15">#REF!</definedName>
    <definedName name="depr_bonus_fed_sl_20">#REF!</definedName>
    <definedName name="depr_bonus_fed_sl_39">#REF!</definedName>
    <definedName name="depr_bonus_fed_sl_5">#REF!</definedName>
    <definedName name="depr_bonus_sta">#REF!</definedName>
    <definedName name="depr_bonus_sta_macrs_15">#REF!</definedName>
    <definedName name="depr_bonus_sta_macrs_5">#REF!</definedName>
    <definedName name="depr_bonus_sta_sl_15">#REF!</definedName>
    <definedName name="depr_bonus_sta_sl_20">#REF!</definedName>
    <definedName name="depr_bonus_sta_sl_39">#REF!</definedName>
    <definedName name="depr_bonus_sta_sl_5">#REF!</definedName>
    <definedName name="depr_itc_fed_macrs_15">#REF!</definedName>
    <definedName name="depr_itc_fed_macrs_5">#REF!</definedName>
    <definedName name="depr_itc_fed_sl_15">#REF!</definedName>
    <definedName name="depr_itc_fed_sl_20">#REF!</definedName>
    <definedName name="depr_itc_fed_sl_39">#REF!</definedName>
    <definedName name="depr_itc_fed_sl_5">#REF!</definedName>
    <definedName name="depr_itc_sta_macrs_15">#REF!</definedName>
    <definedName name="depr_itc_sta_macrs_5">#REF!</definedName>
    <definedName name="depr_itc_sta_sl_15">#REF!</definedName>
    <definedName name="depr_itc_sta_sl_20">#REF!</definedName>
    <definedName name="depr_itc_sta_sl_39">#REF!</definedName>
    <definedName name="depr_itc_sta_sl_5">#REF!</definedName>
    <definedName name="dscr_reserve_months">#REF!</definedName>
    <definedName name="equip_reserve_depr_fed">#REF!</definedName>
    <definedName name="equip_reserve_depr_sta">#REF!</definedName>
    <definedName name="equip1_reserve_cost">#REF!</definedName>
    <definedName name="equip1_reserve_freq">#REF!</definedName>
    <definedName name="equip2_reserve_cost">#REF!</definedName>
    <definedName name="equip2_reserve_freq">#REF!</definedName>
    <definedName name="equip3_reserve_cost">#REF!</definedName>
    <definedName name="equip3_reserve_freq">#REF!</definedName>
    <definedName name="equity">Assumptions!$F$18</definedName>
    <definedName name="equity_wo_receivables">Assumptions!$F$19</definedName>
    <definedName name="federal_tax_rate">#REF!</definedName>
    <definedName name="ibi_fed_amount">#REF!</definedName>
    <definedName name="ibi_fed_amount_deprbas_fed">#REF!</definedName>
    <definedName name="ibi_fed_amount_deprbas_sta">#REF!</definedName>
    <definedName name="ibi_fed_amount_tax_fed">#REF!</definedName>
    <definedName name="ibi_fed_amount_tax_sta">#REF!</definedName>
    <definedName name="ibi_fed_percent">#REF!</definedName>
    <definedName name="ibi_fed_percent_deprbas_fed">#REF!</definedName>
    <definedName name="ibi_fed_percent_deprbas_sta">#REF!</definedName>
    <definedName name="ibi_fed_percent_maxvalue">#REF!</definedName>
    <definedName name="ibi_fed_percent_tax_fed">#REF!</definedName>
    <definedName name="ibi_fed_percent_tax_sta">#REF!</definedName>
    <definedName name="ibi_oth_amount">#REF!</definedName>
    <definedName name="ibi_oth_amount_deprbas_fed">#REF!</definedName>
    <definedName name="ibi_oth_amount_deprbas_sta">#REF!</definedName>
    <definedName name="ibi_oth_amount_tax_fed">#REF!</definedName>
    <definedName name="ibi_oth_amount_tax_sta">#REF!</definedName>
    <definedName name="ibi_oth_percent">#REF!</definedName>
    <definedName name="ibi_oth_percent_deprbas_fed">#REF!</definedName>
    <definedName name="ibi_oth_percent_deprbas_sta">#REF!</definedName>
    <definedName name="ibi_oth_percent_maxvalue">#REF!</definedName>
    <definedName name="ibi_oth_percent_tax_fed">#REF!</definedName>
    <definedName name="ibi_oth_percent_tax_sta">#REF!</definedName>
    <definedName name="ibi_sta_amount">#REF!</definedName>
    <definedName name="ibi_sta_amount_deprbas_fed">#REF!</definedName>
    <definedName name="ibi_sta_amount_deprbas_sta">#REF!</definedName>
    <definedName name="ibi_sta_amount_tax_fed">#REF!</definedName>
    <definedName name="ibi_sta_amount_tax_sta">#REF!</definedName>
    <definedName name="ibi_sta_percent">#REF!</definedName>
    <definedName name="ibi_sta_percent_deprbas_fed">#REF!</definedName>
    <definedName name="ibi_sta_percent_deprbas_sta">#REF!</definedName>
    <definedName name="ibi_sta_percent_maxvalue">#REF!</definedName>
    <definedName name="ibi_sta_percent_tax_fed">#REF!</definedName>
    <definedName name="ibi_sta_percent_tax_sta">#REF!</definedName>
    <definedName name="ibi_uti_amount">#REF!</definedName>
    <definedName name="ibi_uti_amount_deprbas_fed">#REF!</definedName>
    <definedName name="ibi_uti_amount_deprbas_sta">#REF!</definedName>
    <definedName name="ibi_uti_amount_tax_fed">#REF!</definedName>
    <definedName name="ibi_uti_amount_tax_sta">#REF!</definedName>
    <definedName name="ibi_uti_percent">#REF!</definedName>
    <definedName name="ibi_uti_percent_deprbas_fed">#REF!</definedName>
    <definedName name="ibi_uti_percent_deprbas_sta">#REF!</definedName>
    <definedName name="ibi_uti_percent_maxvalue">#REF!</definedName>
    <definedName name="ibi_uti_percent_tax_fed">#REF!</definedName>
    <definedName name="ibi_uti_percent_tax_sta">#REF!</definedName>
    <definedName name="inflation_rate">#REF!</definedName>
    <definedName name="installed_capacity">Assumptions!$F$4</definedName>
    <definedName name="insurance_rate">#REF!</definedName>
    <definedName name="IRRTarget">#REF!</definedName>
    <definedName name="IRRTargetYear">#REF!</definedName>
    <definedName name="itc_fed_amount">#REF!</definedName>
    <definedName name="itc_fed_amount_deprbas_fed">#REF!</definedName>
    <definedName name="itc_fed_amount_deprbas_sta">#REF!</definedName>
    <definedName name="itc_fed_percent">#REF!</definedName>
    <definedName name="itc_fed_percent_deprbas_fed">#REF!</definedName>
    <definedName name="itc_fed_percent_deprbas_sta">#REF!</definedName>
    <definedName name="itc_fed_percent_maxvalue">#REF!</definedName>
    <definedName name="itc_sta_amount">#REF!</definedName>
    <definedName name="itc_sta_amount_deprbas_fed">#REF!</definedName>
    <definedName name="itc_sta_amount_deprbas_sta">#REF!</definedName>
    <definedName name="itc_sta_percent">#REF!</definedName>
    <definedName name="itc_sta_percent_deprbas_fed">#REF!</definedName>
    <definedName name="itc_sta_percent_deprbas_sta">#REF!</definedName>
    <definedName name="itc_sta_percent_maxvalue">#REF!</definedName>
    <definedName name="loan_moratorium">Assumptions!$F$15</definedName>
    <definedName name="months_receivables_reserve">Assumptions!$F$30</definedName>
    <definedName name="months_working_reserve">#REF!</definedName>
    <definedName name="MortgageSizeOfDebt">#REF!</definedName>
    <definedName name="nominal_discount_rate">Assumptions!$F$22</definedName>
    <definedName name="NominalDiscountRate">#REF!</definedName>
    <definedName name="om_acceleration">Assumptions!$F$33</definedName>
    <definedName name="om_capacity">#REF!</definedName>
    <definedName name="om_capacity_escal">#REF!</definedName>
    <definedName name="om_fixed">#REF!</definedName>
    <definedName name="om_fixed_escal">#REF!</definedName>
    <definedName name="om_fuel_cost">#REF!</definedName>
    <definedName name="om_fuel_cost_escal">#REF!</definedName>
    <definedName name="om_mw">Assumptions!$F$32</definedName>
    <definedName name="om_opt_fuel_1_cost">#REF!</definedName>
    <definedName name="om_opt_fuel_1_cost_escal">#REF!</definedName>
    <definedName name="om_opt_fuel_1_usage">#REF!</definedName>
    <definedName name="om_opt_fuel_2_cost">#REF!</definedName>
    <definedName name="om_opt_fuel_2_cost_escal">#REF!</definedName>
    <definedName name="om_opt_fuel_2_usage">#REF!</definedName>
    <definedName name="om_production">#REF!</definedName>
    <definedName name="om_production_escal">#REF!</definedName>
    <definedName name="pbi_fed_amount">#REF!</definedName>
    <definedName name="pbi_fed_escal">#REF!</definedName>
    <definedName name="pbi_fed_for_ds">#REF!</definedName>
    <definedName name="pbi_fed_tax_fed">#REF!</definedName>
    <definedName name="pbi_fed_tax_sta">#REF!</definedName>
    <definedName name="pbi_fed_term">#REF!</definedName>
    <definedName name="pbi_oth_amount">#REF!</definedName>
    <definedName name="pbi_oth_escal">#REF!</definedName>
    <definedName name="pbi_oth_for_ds">#REF!</definedName>
    <definedName name="pbi_oth_tax_fed">#REF!</definedName>
    <definedName name="pbi_oth_tax_sta">#REF!</definedName>
    <definedName name="pbi_oth_term">#REF!</definedName>
    <definedName name="pbi_sta_amount">#REF!</definedName>
    <definedName name="pbi_sta_escal">#REF!</definedName>
    <definedName name="pbi_sta_for_ds">#REF!</definedName>
    <definedName name="pbi_sta_tax_fed">#REF!</definedName>
    <definedName name="pbi_sta_tax_sta">#REF!</definedName>
    <definedName name="pbi_sta_term">#REF!</definedName>
    <definedName name="pbi_uti_amount">#REF!</definedName>
    <definedName name="pbi_uti_escal">#REF!</definedName>
    <definedName name="pbi_uti_for_ds">#REF!</definedName>
    <definedName name="pbi_uti_tax_fed">#REF!</definedName>
    <definedName name="pbi_uti_tax_sta">#REF!</definedName>
    <definedName name="pbi_uti_term">#REF!</definedName>
    <definedName name="ppa_escalation">#REF!</definedName>
    <definedName name="ppa_price">Assumptions!$F$34</definedName>
    <definedName name="PPAPriceInput">#REF!</definedName>
    <definedName name="prop_tax_assessed_decline">#REF!</definedName>
    <definedName name="prop_tax_cost_assessed_percent">#REF!</definedName>
    <definedName name="property_tax_rate">#REF!</definedName>
    <definedName name="PropertyTaxAssessedValue">#REF!</definedName>
    <definedName name="ptc_fed_amount">#REF!</definedName>
    <definedName name="ptc_fed_escal">#REF!</definedName>
    <definedName name="ptc_fed_term">#REF!</definedName>
    <definedName name="ptc_sta_amount">#REF!</definedName>
    <definedName name="ptc_sta_escal">#REF!</definedName>
    <definedName name="ptc_sta_term">#REF!</definedName>
    <definedName name="real_discount_rate">#REF!</definedName>
    <definedName name="reserves_interest">Assumptions!$F$31</definedName>
    <definedName name="roe_10">Assumptions!$F$20</definedName>
    <definedName name="roe_11">Assumptions!$F$21</definedName>
    <definedName name="sales_tax_rate">#REF!</definedName>
    <definedName name="salvage_percentage">#REF!</definedName>
    <definedName name="state_tax_rate">#REF!</definedName>
    <definedName name="system_capacity">#REF!</definedName>
    <definedName name="system_heat_rate">#REF!</definedName>
    <definedName name="tax_rate">Assumptions!$F$23</definedName>
    <definedName name="term_int_rate">Assumptions!$F$17</definedName>
    <definedName name="term_tenor">Assumptions!$F$16</definedName>
    <definedName name="total_installed_cost">#REF!</definedName>
  </definedNames>
  <calcPr calcId="171027"/>
</workbook>
</file>

<file path=xl/calcChain.xml><?xml version="1.0" encoding="utf-8"?>
<calcChain xmlns="http://schemas.openxmlformats.org/spreadsheetml/2006/main">
  <c r="D10" i="13" l="1"/>
  <c r="E10" i="13" s="1"/>
  <c r="F10" i="13" s="1"/>
  <c r="G10" i="13" s="1"/>
  <c r="H10" i="13" s="1"/>
  <c r="I10" i="13" s="1"/>
  <c r="J10" i="13" s="1"/>
  <c r="K10" i="13" s="1"/>
  <c r="L10" i="13" s="1"/>
  <c r="M10" i="13" s="1"/>
  <c r="N10" i="13" s="1"/>
  <c r="O10" i="13" s="1"/>
  <c r="P10" i="13" s="1"/>
  <c r="Q10" i="13" s="1"/>
  <c r="R10" i="13" s="1"/>
  <c r="S10" i="13" s="1"/>
  <c r="T10" i="13" s="1"/>
  <c r="U10" i="13" s="1"/>
  <c r="V10" i="13" s="1"/>
  <c r="W10" i="13" s="1"/>
  <c r="X10" i="13" s="1"/>
  <c r="Y10" i="13" s="1"/>
  <c r="Z10" i="13" s="1"/>
  <c r="AA10" i="13" s="1"/>
  <c r="F9" i="12" l="1"/>
  <c r="F14" i="12"/>
  <c r="F11" i="12"/>
  <c r="B3" i="14" l="1"/>
  <c r="B17" i="14" s="1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C10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AA4" i="13"/>
  <c r="Z4" i="13"/>
  <c r="Z6" i="13" s="1"/>
  <c r="Z7" i="13" s="1"/>
  <c r="Z4" i="15" s="1"/>
  <c r="Y4" i="13"/>
  <c r="X4" i="13"/>
  <c r="W4" i="13"/>
  <c r="V4" i="13"/>
  <c r="U4" i="13"/>
  <c r="T4" i="13"/>
  <c r="S4" i="13"/>
  <c r="R4" i="13"/>
  <c r="R6" i="13" s="1"/>
  <c r="R7" i="13" s="1"/>
  <c r="R4" i="15" s="1"/>
  <c r="Q4" i="13"/>
  <c r="P4" i="13"/>
  <c r="O4" i="13"/>
  <c r="N4" i="13"/>
  <c r="M4" i="13"/>
  <c r="L4" i="13"/>
  <c r="K4" i="13"/>
  <c r="J4" i="13"/>
  <c r="J6" i="13" s="1"/>
  <c r="J7" i="13" s="1"/>
  <c r="J4" i="15" s="1"/>
  <c r="I4" i="13"/>
  <c r="H4" i="13"/>
  <c r="G4" i="13"/>
  <c r="F4" i="13"/>
  <c r="E4" i="13"/>
  <c r="D4" i="13"/>
  <c r="C3" i="13"/>
  <c r="C4" i="13" s="1"/>
  <c r="F13" i="12"/>
  <c r="F12" i="12"/>
  <c r="F6" i="13" l="1"/>
  <c r="F7" i="13" s="1"/>
  <c r="F4" i="15" s="1"/>
  <c r="N6" i="13"/>
  <c r="N7" i="13" s="1"/>
  <c r="N4" i="15" s="1"/>
  <c r="V6" i="13"/>
  <c r="V7" i="13" s="1"/>
  <c r="V4" i="15" s="1"/>
  <c r="C6" i="13"/>
  <c r="C7" i="13" s="1"/>
  <c r="G6" i="13"/>
  <c r="G7" i="13" s="1"/>
  <c r="G19" i="13" s="1"/>
  <c r="K6" i="13"/>
  <c r="K7" i="13" s="1"/>
  <c r="K4" i="15" s="1"/>
  <c r="O6" i="13"/>
  <c r="O7" i="13" s="1"/>
  <c r="O4" i="15" s="1"/>
  <c r="S6" i="13"/>
  <c r="S7" i="13" s="1"/>
  <c r="S4" i="15" s="1"/>
  <c r="W6" i="13"/>
  <c r="W7" i="13" s="1"/>
  <c r="W20" i="13" s="1"/>
  <c r="AA6" i="13"/>
  <c r="AA7" i="13" s="1"/>
  <c r="AA20" i="13" s="1"/>
  <c r="E6" i="13"/>
  <c r="E7" i="13" s="1"/>
  <c r="E4" i="15" s="1"/>
  <c r="I6" i="13"/>
  <c r="I7" i="13" s="1"/>
  <c r="I4" i="15" s="1"/>
  <c r="M6" i="13"/>
  <c r="M7" i="13" s="1"/>
  <c r="M4" i="15" s="1"/>
  <c r="Q6" i="13"/>
  <c r="Q7" i="13" s="1"/>
  <c r="Q4" i="15" s="1"/>
  <c r="U6" i="13"/>
  <c r="U7" i="13" s="1"/>
  <c r="U4" i="15" s="1"/>
  <c r="Y6" i="13"/>
  <c r="Y7" i="13" s="1"/>
  <c r="Y4" i="15" s="1"/>
  <c r="D6" i="13"/>
  <c r="D7" i="13" s="1"/>
  <c r="D4" i="15" s="1"/>
  <c r="H6" i="13"/>
  <c r="H7" i="13" s="1"/>
  <c r="H4" i="15" s="1"/>
  <c r="L6" i="13"/>
  <c r="L7" i="13" s="1"/>
  <c r="L4" i="15" s="1"/>
  <c r="P6" i="13"/>
  <c r="P7" i="13" s="1"/>
  <c r="P4" i="15" s="1"/>
  <c r="T6" i="13"/>
  <c r="T7" i="13" s="1"/>
  <c r="T4" i="15" s="1"/>
  <c r="X6" i="13"/>
  <c r="X7" i="13" s="1"/>
  <c r="X4" i="15" s="1"/>
  <c r="C4" i="15"/>
  <c r="C19" i="13"/>
  <c r="G4" i="15"/>
  <c r="K19" i="13"/>
  <c r="S19" i="13"/>
  <c r="C18" i="13"/>
  <c r="F19" i="13"/>
  <c r="J19" i="13"/>
  <c r="R19" i="13"/>
  <c r="V19" i="13"/>
  <c r="Z19" i="13"/>
  <c r="I19" i="13"/>
  <c r="R20" i="13"/>
  <c r="V20" i="13"/>
  <c r="Z20" i="13"/>
  <c r="B33" i="14"/>
  <c r="C3" i="15"/>
  <c r="C5" i="15"/>
  <c r="B4" i="14"/>
  <c r="Y20" i="13" l="1"/>
  <c r="AA4" i="15"/>
  <c r="S20" i="13"/>
  <c r="W19" i="13"/>
  <c r="N19" i="13"/>
  <c r="W4" i="15"/>
  <c r="Q19" i="13"/>
  <c r="H19" i="13"/>
  <c r="Q20" i="13"/>
  <c r="AA19" i="13"/>
  <c r="Y19" i="13"/>
  <c r="O20" i="13"/>
  <c r="E19" i="13"/>
  <c r="O19" i="13"/>
  <c r="X19" i="13"/>
  <c r="U20" i="13"/>
  <c r="U19" i="13"/>
  <c r="P19" i="13"/>
  <c r="M19" i="13"/>
  <c r="L19" i="13"/>
  <c r="C7" i="15"/>
  <c r="C8" i="15" s="1"/>
  <c r="C13" i="13" s="1"/>
  <c r="C21" i="13" s="1"/>
  <c r="T19" i="13"/>
  <c r="D19" i="13"/>
  <c r="X20" i="13"/>
  <c r="T20" i="13"/>
  <c r="P20" i="13"/>
  <c r="D5" i="15"/>
  <c r="D3" i="15"/>
  <c r="D18" i="13"/>
  <c r="B18" i="14"/>
  <c r="B5" i="14"/>
  <c r="F18" i="12" l="1"/>
  <c r="F19" i="12" s="1"/>
  <c r="X14" i="13" s="1"/>
  <c r="X22" i="13" s="1"/>
  <c r="D7" i="15"/>
  <c r="D8" i="15" s="1"/>
  <c r="D13" i="13" s="1"/>
  <c r="D21" i="13" s="1"/>
  <c r="B19" i="14"/>
  <c r="B35" i="14" s="1"/>
  <c r="B6" i="14"/>
  <c r="B34" i="14"/>
  <c r="E5" i="15"/>
  <c r="E3" i="15"/>
  <c r="E18" i="13"/>
  <c r="Z14" i="13" l="1"/>
  <c r="Z22" i="13" s="1"/>
  <c r="D14" i="13"/>
  <c r="D22" i="13" s="1"/>
  <c r="M14" i="13"/>
  <c r="M22" i="13" s="1"/>
  <c r="E14" i="13"/>
  <c r="E22" i="13" s="1"/>
  <c r="AA14" i="13"/>
  <c r="AA22" i="13" s="1"/>
  <c r="Y14" i="13"/>
  <c r="Y22" i="13" s="1"/>
  <c r="O14" i="13"/>
  <c r="O22" i="13" s="1"/>
  <c r="V14" i="13"/>
  <c r="V22" i="13" s="1"/>
  <c r="J14" i="13"/>
  <c r="J22" i="13" s="1"/>
  <c r="F14" i="13"/>
  <c r="F22" i="13" s="1"/>
  <c r="W14" i="13"/>
  <c r="W22" i="13" s="1"/>
  <c r="U14" i="13"/>
  <c r="U22" i="13" s="1"/>
  <c r="T14" i="13"/>
  <c r="T22" i="13" s="1"/>
  <c r="R14" i="13"/>
  <c r="R22" i="13" s="1"/>
  <c r="L14" i="13"/>
  <c r="L22" i="13" s="1"/>
  <c r="C14" i="13"/>
  <c r="C22" i="13" s="1"/>
  <c r="H14" i="13"/>
  <c r="H22" i="13" s="1"/>
  <c r="I14" i="13"/>
  <c r="I22" i="13" s="1"/>
  <c r="S14" i="13"/>
  <c r="S22" i="13" s="1"/>
  <c r="Q14" i="13"/>
  <c r="Q22" i="13" s="1"/>
  <c r="P14" i="13"/>
  <c r="P22" i="13" s="1"/>
  <c r="K14" i="13"/>
  <c r="K22" i="13" s="1"/>
  <c r="N14" i="13"/>
  <c r="N22" i="13" s="1"/>
  <c r="G14" i="13"/>
  <c r="G22" i="13" s="1"/>
  <c r="E7" i="15"/>
  <c r="E8" i="15" s="1"/>
  <c r="E13" i="13" s="1"/>
  <c r="E21" i="13" s="1"/>
  <c r="B20" i="14"/>
  <c r="B7" i="14"/>
  <c r="F3" i="15"/>
  <c r="F5" i="15"/>
  <c r="F18" i="13"/>
  <c r="F7" i="15" l="1"/>
  <c r="F8" i="15" s="1"/>
  <c r="F13" i="13" s="1"/>
  <c r="F21" i="13" s="1"/>
  <c r="B21" i="14"/>
  <c r="B37" i="14" s="1"/>
  <c r="B8" i="14"/>
  <c r="B36" i="14"/>
  <c r="G3" i="15"/>
  <c r="G5" i="15"/>
  <c r="G18" i="13"/>
  <c r="G7" i="15" l="1"/>
  <c r="G8" i="15" s="1"/>
  <c r="G13" i="13" s="1"/>
  <c r="G21" i="13" s="1"/>
  <c r="H5" i="15"/>
  <c r="H3" i="15"/>
  <c r="H18" i="13"/>
  <c r="B22" i="14"/>
  <c r="B9" i="14"/>
  <c r="H7" i="15" l="1"/>
  <c r="H8" i="15" s="1"/>
  <c r="H13" i="13" s="1"/>
  <c r="H21" i="13" s="1"/>
  <c r="B23" i="14"/>
  <c r="B39" i="14" s="1"/>
  <c r="B10" i="14"/>
  <c r="I5" i="15"/>
  <c r="I3" i="15"/>
  <c r="I7" i="15" s="1"/>
  <c r="I8" i="15" s="1"/>
  <c r="I13" i="13" s="1"/>
  <c r="I21" i="13" s="1"/>
  <c r="I18" i="13"/>
  <c r="B38" i="14"/>
  <c r="B24" i="14" l="1"/>
  <c r="B11" i="14"/>
  <c r="J3" i="15"/>
  <c r="J5" i="15"/>
  <c r="J18" i="13"/>
  <c r="J7" i="15" l="1"/>
  <c r="J8" i="15" s="1"/>
  <c r="J13" i="13" s="1"/>
  <c r="J21" i="13" s="1"/>
  <c r="K3" i="15"/>
  <c r="K5" i="15"/>
  <c r="K18" i="13"/>
  <c r="B25" i="14"/>
  <c r="B41" i="14" s="1"/>
  <c r="B12" i="14"/>
  <c r="B40" i="14"/>
  <c r="K7" i="15" l="1"/>
  <c r="K8" i="15" s="1"/>
  <c r="K13" i="13" s="1"/>
  <c r="K21" i="13" s="1"/>
  <c r="L5" i="15"/>
  <c r="L3" i="15"/>
  <c r="L7" i="15" s="1"/>
  <c r="L8" i="15" s="1"/>
  <c r="L13" i="13" s="1"/>
  <c r="L21" i="13" s="1"/>
  <c r="L18" i="13"/>
  <c r="B26" i="14"/>
  <c r="B42" i="14" s="1"/>
  <c r="B13" i="14"/>
  <c r="B27" i="14" l="1"/>
  <c r="B43" i="14" s="1"/>
  <c r="B14" i="14"/>
  <c r="M5" i="15"/>
  <c r="M3" i="15"/>
  <c r="M18" i="13"/>
  <c r="M7" i="15" l="1"/>
  <c r="M8" i="15" s="1"/>
  <c r="M13" i="13" s="1"/>
  <c r="M21" i="13" s="1"/>
  <c r="B28" i="14"/>
  <c r="C3" i="14"/>
  <c r="N3" i="15"/>
  <c r="N5" i="15"/>
  <c r="N18" i="13"/>
  <c r="N7" i="15" l="1"/>
  <c r="N8" i="15" s="1"/>
  <c r="N13" i="13" s="1"/>
  <c r="N21" i="13" s="1"/>
  <c r="O3" i="15"/>
  <c r="O5" i="15"/>
  <c r="O18" i="13"/>
  <c r="C17" i="14"/>
  <c r="C4" i="14"/>
  <c r="B44" i="14"/>
  <c r="B30" i="14"/>
  <c r="C12" i="13" s="1"/>
  <c r="C18" i="14" l="1"/>
  <c r="C34" i="14" s="1"/>
  <c r="C5" i="14"/>
  <c r="C33" i="14"/>
  <c r="C20" i="13"/>
  <c r="C15" i="13"/>
  <c r="C23" i="13" s="1"/>
  <c r="P5" i="15"/>
  <c r="P18" i="13"/>
  <c r="P3" i="15"/>
  <c r="O7" i="15"/>
  <c r="O8" i="15" s="1"/>
  <c r="O13" i="13" s="1"/>
  <c r="P7" i="15" l="1"/>
  <c r="P8" i="15" s="1"/>
  <c r="P13" i="13" s="1"/>
  <c r="P21" i="13" s="1"/>
  <c r="O21" i="13"/>
  <c r="O15" i="13"/>
  <c r="O23" i="13" s="1"/>
  <c r="C19" i="14"/>
  <c r="C6" i="14"/>
  <c r="Q5" i="15"/>
  <c r="Q3" i="15"/>
  <c r="Q18" i="13"/>
  <c r="Q7" i="15" l="1"/>
  <c r="Q8" i="15" s="1"/>
  <c r="Q13" i="13" s="1"/>
  <c r="Q21" i="13" s="1"/>
  <c r="P15" i="13"/>
  <c r="P23" i="13" s="1"/>
  <c r="C20" i="14"/>
  <c r="C36" i="14" s="1"/>
  <c r="C7" i="14"/>
  <c r="R3" i="15"/>
  <c r="R5" i="15"/>
  <c r="R18" i="13"/>
  <c r="C35" i="14"/>
  <c r="Q15" i="13" l="1"/>
  <c r="Q23" i="13" s="1"/>
  <c r="R7" i="15"/>
  <c r="R8" i="15" s="1"/>
  <c r="R13" i="13" s="1"/>
  <c r="R21" i="13" s="1"/>
  <c r="S3" i="15"/>
  <c r="S5" i="15"/>
  <c r="S18" i="13"/>
  <c r="C21" i="14"/>
  <c r="C8" i="14"/>
  <c r="R15" i="13" l="1"/>
  <c r="R23" i="13" s="1"/>
  <c r="C22" i="14"/>
  <c r="C38" i="14" s="1"/>
  <c r="C9" i="14"/>
  <c r="C37" i="14"/>
  <c r="T5" i="15"/>
  <c r="T3" i="15"/>
  <c r="T18" i="13"/>
  <c r="S7" i="15"/>
  <c r="S8" i="15" s="1"/>
  <c r="S13" i="13" s="1"/>
  <c r="T7" i="15" l="1"/>
  <c r="T8" i="15" s="1"/>
  <c r="T13" i="13" s="1"/>
  <c r="T21" i="13" s="1"/>
  <c r="S21" i="13"/>
  <c r="S15" i="13"/>
  <c r="S23" i="13" s="1"/>
  <c r="U5" i="15"/>
  <c r="U3" i="15"/>
  <c r="U18" i="13"/>
  <c r="C23" i="14"/>
  <c r="C10" i="14"/>
  <c r="T15" i="13" l="1"/>
  <c r="T23" i="13" s="1"/>
  <c r="U7" i="15"/>
  <c r="U8" i="15" s="1"/>
  <c r="U13" i="13" s="1"/>
  <c r="U21" i="13" s="1"/>
  <c r="C39" i="14"/>
  <c r="C24" i="14"/>
  <c r="C40" i="14" s="1"/>
  <c r="C11" i="14"/>
  <c r="V3" i="15"/>
  <c r="V5" i="15"/>
  <c r="V18" i="13"/>
  <c r="U15" i="13" l="1"/>
  <c r="U23" i="13" s="1"/>
  <c r="V7" i="15"/>
  <c r="V8" i="15" s="1"/>
  <c r="V13" i="13" s="1"/>
  <c r="W3" i="15"/>
  <c r="W5" i="15"/>
  <c r="W18" i="13"/>
  <c r="C12" i="14"/>
  <c r="C25" i="14"/>
  <c r="C13" i="14" l="1"/>
  <c r="C26" i="14"/>
  <c r="C42" i="14" s="1"/>
  <c r="C41" i="14"/>
  <c r="W7" i="15"/>
  <c r="W8" i="15" s="1"/>
  <c r="W13" i="13" s="1"/>
  <c r="X5" i="15"/>
  <c r="X3" i="15"/>
  <c r="X18" i="13"/>
  <c r="V21" i="13"/>
  <c r="V15" i="13"/>
  <c r="V23" i="13" s="1"/>
  <c r="X7" i="15" l="1"/>
  <c r="X8" i="15" s="1"/>
  <c r="X13" i="13" s="1"/>
  <c r="Y5" i="15"/>
  <c r="Y3" i="15"/>
  <c r="Y18" i="13"/>
  <c r="W21" i="13"/>
  <c r="W15" i="13"/>
  <c r="W23" i="13" s="1"/>
  <c r="C14" i="14"/>
  <c r="C27" i="14"/>
  <c r="C43" i="14" s="1"/>
  <c r="Y7" i="15" l="1"/>
  <c r="Y8" i="15" s="1"/>
  <c r="Y13" i="13" s="1"/>
  <c r="Y21" i="13" s="1"/>
  <c r="Z3" i="15"/>
  <c r="Z5" i="15"/>
  <c r="Z18" i="13"/>
  <c r="C28" i="14"/>
  <c r="D3" i="14"/>
  <c r="X21" i="13"/>
  <c r="X15" i="13"/>
  <c r="X23" i="13" s="1"/>
  <c r="Y15" i="13" l="1"/>
  <c r="Y23" i="13" s="1"/>
  <c r="D17" i="14"/>
  <c r="D4" i="14"/>
  <c r="Z7" i="15"/>
  <c r="Z8" i="15" s="1"/>
  <c r="Z13" i="13" s="1"/>
  <c r="C44" i="14"/>
  <c r="C30" i="14"/>
  <c r="D12" i="13" s="1"/>
  <c r="AA3" i="15"/>
  <c r="AA5" i="15"/>
  <c r="AA18" i="13"/>
  <c r="Z21" i="13" l="1"/>
  <c r="Z15" i="13"/>
  <c r="Z23" i="13" s="1"/>
  <c r="AA7" i="15"/>
  <c r="AA8" i="15" s="1"/>
  <c r="AA13" i="13" s="1"/>
  <c r="D5" i="14"/>
  <c r="D18" i="14"/>
  <c r="D34" i="14" s="1"/>
  <c r="D20" i="13"/>
  <c r="D15" i="13"/>
  <c r="D23" i="13" s="1"/>
  <c r="D33" i="14"/>
  <c r="AA21" i="13" l="1"/>
  <c r="AA15" i="13"/>
  <c r="AA23" i="13" s="1"/>
  <c r="D19" i="14"/>
  <c r="D6" i="14"/>
  <c r="D35" i="14" l="1"/>
  <c r="D20" i="14"/>
  <c r="D36" i="14" s="1"/>
  <c r="D7" i="14"/>
  <c r="D21" i="14" l="1"/>
  <c r="D37" i="14" s="1"/>
  <c r="D8" i="14"/>
  <c r="D9" i="14" l="1"/>
  <c r="D22" i="14"/>
  <c r="D38" i="14" l="1"/>
  <c r="D23" i="14"/>
  <c r="D39" i="14" s="1"/>
  <c r="D10" i="14"/>
  <c r="D24" i="14" l="1"/>
  <c r="D40" i="14" s="1"/>
  <c r="D11" i="14"/>
  <c r="D25" i="14" l="1"/>
  <c r="D41" i="14" s="1"/>
  <c r="D12" i="14"/>
  <c r="D26" i="14" l="1"/>
  <c r="D42" i="14" s="1"/>
  <c r="D13" i="14"/>
  <c r="D27" i="14" l="1"/>
  <c r="D43" i="14" s="1"/>
  <c r="D14" i="14"/>
  <c r="D28" i="14" l="1"/>
  <c r="E3" i="14"/>
  <c r="E17" i="14" l="1"/>
  <c r="E4" i="14"/>
  <c r="D44" i="14"/>
  <c r="D30" i="14"/>
  <c r="E12" i="13" s="1"/>
  <c r="E20" i="13" l="1"/>
  <c r="E15" i="13"/>
  <c r="E23" i="13" s="1"/>
  <c r="E18" i="14"/>
  <c r="E34" i="14" s="1"/>
  <c r="E5" i="14"/>
  <c r="E33" i="14"/>
  <c r="E19" i="14" l="1"/>
  <c r="E35" i="14" s="1"/>
  <c r="E6" i="14"/>
  <c r="E20" i="14" l="1"/>
  <c r="E36" i="14" s="1"/>
  <c r="E7" i="14"/>
  <c r="E21" i="14" l="1"/>
  <c r="E8" i="14"/>
  <c r="E22" i="14" l="1"/>
  <c r="E38" i="14" s="1"/>
  <c r="E9" i="14"/>
  <c r="E37" i="14"/>
  <c r="E23" i="14" l="1"/>
  <c r="E10" i="14"/>
  <c r="E24" i="14" l="1"/>
  <c r="E40" i="14" s="1"/>
  <c r="E11" i="14"/>
  <c r="E39" i="14"/>
  <c r="E25" i="14" l="1"/>
  <c r="E41" i="14" s="1"/>
  <c r="E12" i="14"/>
  <c r="E26" i="14" l="1"/>
  <c r="E42" i="14" s="1"/>
  <c r="E13" i="14"/>
  <c r="E27" i="14" l="1"/>
  <c r="E43" i="14" s="1"/>
  <c r="E14" i="14"/>
  <c r="E28" i="14" l="1"/>
  <c r="F3" i="14"/>
  <c r="F17" i="14" l="1"/>
  <c r="F4" i="14"/>
  <c r="E44" i="14"/>
  <c r="E30" i="14"/>
  <c r="F12" i="13" s="1"/>
  <c r="F20" i="13" l="1"/>
  <c r="F15" i="13"/>
  <c r="F23" i="13" s="1"/>
  <c r="F18" i="14"/>
  <c r="F34" i="14" s="1"/>
  <c r="F5" i="14"/>
  <c r="F33" i="14"/>
  <c r="F19" i="14" l="1"/>
  <c r="F35" i="14" s="1"/>
  <c r="F6" i="14"/>
  <c r="F20" i="14" l="1"/>
  <c r="F7" i="14"/>
  <c r="F36" i="14" l="1"/>
  <c r="F21" i="14"/>
  <c r="F37" i="14" s="1"/>
  <c r="F8" i="14"/>
  <c r="F22" i="14" l="1"/>
  <c r="F38" i="14" s="1"/>
  <c r="F9" i="14"/>
  <c r="F23" i="14" l="1"/>
  <c r="F10" i="14"/>
  <c r="F24" i="14" l="1"/>
  <c r="F40" i="14" s="1"/>
  <c r="F11" i="14"/>
  <c r="F39" i="14"/>
  <c r="F25" i="14" l="1"/>
  <c r="F41" i="14" s="1"/>
  <c r="F12" i="14"/>
  <c r="F26" i="14" l="1"/>
  <c r="F42" i="14" s="1"/>
  <c r="F13" i="14"/>
  <c r="F27" i="14" l="1"/>
  <c r="F43" i="14" s="1"/>
  <c r="F14" i="14"/>
  <c r="F28" i="14" l="1"/>
  <c r="G3" i="14"/>
  <c r="G17" i="14" l="1"/>
  <c r="G4" i="14"/>
  <c r="F44" i="14"/>
  <c r="F30" i="14"/>
  <c r="G12" i="13" s="1"/>
  <c r="G20" i="13" l="1"/>
  <c r="G15" i="13"/>
  <c r="G23" i="13" s="1"/>
  <c r="G18" i="14"/>
  <c r="G34" i="14" s="1"/>
  <c r="G5" i="14"/>
  <c r="G33" i="14"/>
  <c r="G19" i="14" l="1"/>
  <c r="G6" i="14"/>
  <c r="G35" i="14" l="1"/>
  <c r="G20" i="14"/>
  <c r="G36" i="14" s="1"/>
  <c r="G7" i="14"/>
  <c r="G21" i="14" l="1"/>
  <c r="G37" i="14" s="1"/>
  <c r="G8" i="14"/>
  <c r="G22" i="14" l="1"/>
  <c r="G9" i="14"/>
  <c r="G23" i="14" l="1"/>
  <c r="G39" i="14" s="1"/>
  <c r="G10" i="14"/>
  <c r="G38" i="14"/>
  <c r="G11" i="14" l="1"/>
  <c r="G24" i="14"/>
  <c r="G40" i="14" l="1"/>
  <c r="G25" i="14"/>
  <c r="G41" i="14" s="1"/>
  <c r="G12" i="14"/>
  <c r="G13" i="14" l="1"/>
  <c r="G26" i="14"/>
  <c r="G42" i="14" s="1"/>
  <c r="G14" i="14" l="1"/>
  <c r="G27" i="14"/>
  <c r="G43" i="14" s="1"/>
  <c r="G28" i="14" l="1"/>
  <c r="H3" i="14"/>
  <c r="H17" i="14" l="1"/>
  <c r="H4" i="14"/>
  <c r="G44" i="14"/>
  <c r="G30" i="14"/>
  <c r="H12" i="13" s="1"/>
  <c r="H20" i="13" l="1"/>
  <c r="H15" i="13"/>
  <c r="H23" i="13" s="1"/>
  <c r="H5" i="14"/>
  <c r="H18" i="14"/>
  <c r="H34" i="14" s="1"/>
  <c r="H33" i="14"/>
  <c r="H6" i="14" l="1"/>
  <c r="H19" i="14"/>
  <c r="H35" i="14" s="1"/>
  <c r="H20" i="14" l="1"/>
  <c r="H36" i="14" s="1"/>
  <c r="H7" i="14"/>
  <c r="H21" i="14" l="1"/>
  <c r="H37" i="14" s="1"/>
  <c r="H8" i="14"/>
  <c r="H9" i="14" l="1"/>
  <c r="H22" i="14"/>
  <c r="H38" i="14" l="1"/>
  <c r="H10" i="14"/>
  <c r="H23" i="14"/>
  <c r="H39" i="14" s="1"/>
  <c r="H24" i="14" l="1"/>
  <c r="H40" i="14" s="1"/>
  <c r="H11" i="14"/>
  <c r="H25" i="14" l="1"/>
  <c r="H41" i="14" s="1"/>
  <c r="H12" i="14"/>
  <c r="H26" i="14" l="1"/>
  <c r="H42" i="14" s="1"/>
  <c r="H13" i="14"/>
  <c r="H27" i="14" l="1"/>
  <c r="H43" i="14" s="1"/>
  <c r="H14" i="14"/>
  <c r="H28" i="14" l="1"/>
  <c r="I3" i="14"/>
  <c r="I17" i="14" l="1"/>
  <c r="I4" i="14"/>
  <c r="H44" i="14"/>
  <c r="H30" i="14"/>
  <c r="I12" i="13" s="1"/>
  <c r="I20" i="13" l="1"/>
  <c r="I15" i="13"/>
  <c r="I23" i="13" s="1"/>
  <c r="I18" i="14"/>
  <c r="I34" i="14" s="1"/>
  <c r="I5" i="14"/>
  <c r="I33" i="14"/>
  <c r="I19" i="14" l="1"/>
  <c r="I35" i="14" s="1"/>
  <c r="I6" i="14"/>
  <c r="I20" i="14" l="1"/>
  <c r="I36" i="14" s="1"/>
  <c r="I7" i="14"/>
  <c r="I21" i="14" l="1"/>
  <c r="I8" i="14"/>
  <c r="I37" i="14" l="1"/>
  <c r="I22" i="14"/>
  <c r="I38" i="14" s="1"/>
  <c r="I9" i="14"/>
  <c r="I23" i="14" l="1"/>
  <c r="I39" i="14" s="1"/>
  <c r="I10" i="14"/>
  <c r="I24" i="14" l="1"/>
  <c r="I40" i="14" s="1"/>
  <c r="I11" i="14"/>
  <c r="I25" i="14" l="1"/>
  <c r="I41" i="14" s="1"/>
  <c r="I12" i="14"/>
  <c r="I26" i="14" l="1"/>
  <c r="I42" i="14" s="1"/>
  <c r="I13" i="14"/>
  <c r="I27" i="14" l="1"/>
  <c r="I43" i="14" s="1"/>
  <c r="I14" i="14"/>
  <c r="I28" i="14" l="1"/>
  <c r="J3" i="14"/>
  <c r="I44" i="14" l="1"/>
  <c r="I30" i="14"/>
  <c r="J12" i="13" s="1"/>
  <c r="J17" i="14"/>
  <c r="J4" i="14"/>
  <c r="J18" i="14" l="1"/>
  <c r="J34" i="14" s="1"/>
  <c r="J5" i="14"/>
  <c r="J33" i="14"/>
  <c r="J20" i="13"/>
  <c r="J15" i="13"/>
  <c r="J23" i="13" s="1"/>
  <c r="J19" i="14" l="1"/>
  <c r="J6" i="14"/>
  <c r="J20" i="14" l="1"/>
  <c r="J36" i="14" s="1"/>
  <c r="J7" i="14"/>
  <c r="J35" i="14"/>
  <c r="J21" i="14" l="1"/>
  <c r="J8" i="14"/>
  <c r="J37" i="14" l="1"/>
  <c r="J22" i="14"/>
  <c r="J38" i="14" s="1"/>
  <c r="J9" i="14"/>
  <c r="J23" i="14" l="1"/>
  <c r="J39" i="14" s="1"/>
  <c r="J10" i="14"/>
  <c r="J24" i="14" l="1"/>
  <c r="J11" i="14"/>
  <c r="J25" i="14" l="1"/>
  <c r="J41" i="14" s="1"/>
  <c r="J12" i="14"/>
  <c r="J40" i="14"/>
  <c r="J26" i="14" l="1"/>
  <c r="J42" i="14" s="1"/>
  <c r="J13" i="14"/>
  <c r="J27" i="14" l="1"/>
  <c r="J43" i="14" s="1"/>
  <c r="J14" i="14"/>
  <c r="J28" i="14" l="1"/>
  <c r="K3" i="14"/>
  <c r="K17" i="14" l="1"/>
  <c r="K4" i="14"/>
  <c r="J44" i="14"/>
  <c r="J30" i="14"/>
  <c r="K12" i="13" s="1"/>
  <c r="K20" i="13" l="1"/>
  <c r="K15" i="13"/>
  <c r="K23" i="13" s="1"/>
  <c r="K18" i="14"/>
  <c r="K34" i="14" s="1"/>
  <c r="K5" i="14"/>
  <c r="K33" i="14"/>
  <c r="K19" i="14" l="1"/>
  <c r="K35" i="14" s="1"/>
  <c r="K6" i="14"/>
  <c r="K20" i="14" l="1"/>
  <c r="K7" i="14"/>
  <c r="K21" i="14" l="1"/>
  <c r="K37" i="14" s="1"/>
  <c r="K8" i="14"/>
  <c r="K36" i="14"/>
  <c r="K22" i="14" l="1"/>
  <c r="K9" i="14"/>
  <c r="K23" i="14" l="1"/>
  <c r="K39" i="14" s="1"/>
  <c r="K10" i="14"/>
  <c r="K38" i="14"/>
  <c r="K24" i="14" l="1"/>
  <c r="K11" i="14"/>
  <c r="K12" i="14" l="1"/>
  <c r="K25" i="14"/>
  <c r="K41" i="14" s="1"/>
  <c r="K40" i="14"/>
  <c r="K26" i="14" l="1"/>
  <c r="K42" i="14" s="1"/>
  <c r="K13" i="14"/>
  <c r="K14" i="14" l="1"/>
  <c r="K27" i="14"/>
  <c r="K43" i="14" s="1"/>
  <c r="K28" i="14" l="1"/>
  <c r="L3" i="14"/>
  <c r="L17" i="14" l="1"/>
  <c r="L4" i="14"/>
  <c r="K44" i="14"/>
  <c r="K30" i="14"/>
  <c r="L12" i="13" s="1"/>
  <c r="L20" i="13" l="1"/>
  <c r="L15" i="13"/>
  <c r="L23" i="13" s="1"/>
  <c r="L18" i="14"/>
  <c r="L34" i="14" s="1"/>
  <c r="L5" i="14"/>
  <c r="L33" i="14"/>
  <c r="L6" i="14" l="1"/>
  <c r="L19" i="14"/>
  <c r="L35" i="14" l="1"/>
  <c r="L7" i="14"/>
  <c r="L20" i="14"/>
  <c r="L36" i="14" s="1"/>
  <c r="L21" i="14" l="1"/>
  <c r="L37" i="14" s="1"/>
  <c r="L8" i="14"/>
  <c r="L22" i="14" l="1"/>
  <c r="L9" i="14"/>
  <c r="L10" i="14" l="1"/>
  <c r="L23" i="14"/>
  <c r="L39" i="14" s="1"/>
  <c r="L38" i="14"/>
  <c r="L24" i="14" l="1"/>
  <c r="L11" i="14"/>
  <c r="L25" i="14" l="1"/>
  <c r="L41" i="14" s="1"/>
  <c r="L12" i="14"/>
  <c r="L40" i="14"/>
  <c r="L26" i="14" l="1"/>
  <c r="L42" i="14" s="1"/>
  <c r="L13" i="14"/>
  <c r="L27" i="14" l="1"/>
  <c r="L43" i="14" s="1"/>
  <c r="L14" i="14"/>
  <c r="L28" i="14" l="1"/>
  <c r="M3" i="14"/>
  <c r="M17" i="14" l="1"/>
  <c r="M4" i="14"/>
  <c r="L44" i="14"/>
  <c r="L30" i="14"/>
  <c r="M12" i="13" s="1"/>
  <c r="M20" i="13" l="1"/>
  <c r="M15" i="13"/>
  <c r="M23" i="13" s="1"/>
  <c r="M18" i="14"/>
  <c r="M34" i="14" s="1"/>
  <c r="M5" i="14"/>
  <c r="M33" i="14"/>
  <c r="M19" i="14" l="1"/>
  <c r="M35" i="14" s="1"/>
  <c r="M6" i="14"/>
  <c r="M20" i="14" l="1"/>
  <c r="M7" i="14"/>
  <c r="M21" i="14" l="1"/>
  <c r="M37" i="14" s="1"/>
  <c r="M8" i="14"/>
  <c r="M36" i="14"/>
  <c r="M22" i="14" l="1"/>
  <c r="M9" i="14"/>
  <c r="M23" i="14" l="1"/>
  <c r="M39" i="14" s="1"/>
  <c r="M10" i="14"/>
  <c r="M38" i="14"/>
  <c r="M24" i="14" l="1"/>
  <c r="M11" i="14"/>
  <c r="M25" i="14" l="1"/>
  <c r="M41" i="14" s="1"/>
  <c r="M12" i="14"/>
  <c r="M40" i="14"/>
  <c r="M26" i="14" l="1"/>
  <c r="M42" i="14" s="1"/>
  <c r="M13" i="14"/>
  <c r="M27" i="14" l="1"/>
  <c r="M43" i="14" s="1"/>
  <c r="M14" i="14"/>
  <c r="M28" i="14" s="1"/>
  <c r="M44" i="14" l="1"/>
  <c r="M30" i="14"/>
  <c r="N12" i="13" s="1"/>
  <c r="N20" i="13" l="1"/>
  <c r="N15" i="13"/>
  <c r="N23" i="13" s="1"/>
</calcChain>
</file>

<file path=xl/sharedStrings.xml><?xml version="1.0" encoding="utf-8"?>
<sst xmlns="http://schemas.openxmlformats.org/spreadsheetml/2006/main" count="120" uniqueCount="71">
  <si>
    <t>%</t>
  </si>
  <si>
    <t>Yes</t>
  </si>
  <si>
    <t>Debt</t>
  </si>
  <si>
    <t>Principal</t>
  </si>
  <si>
    <t>Generation</t>
  </si>
  <si>
    <t>Installed Capacity</t>
  </si>
  <si>
    <t>MW</t>
  </si>
  <si>
    <t>Gross Generation</t>
  </si>
  <si>
    <t>MU</t>
  </si>
  <si>
    <t>Aux consumption</t>
  </si>
  <si>
    <t>Net generation</t>
  </si>
  <si>
    <t>Net Gen</t>
  </si>
  <si>
    <t>kWh</t>
  </si>
  <si>
    <t>Fixed Costs</t>
  </si>
  <si>
    <t>O&amp;M</t>
  </si>
  <si>
    <t>Rs Lakh</t>
  </si>
  <si>
    <t>Depreciation</t>
  </si>
  <si>
    <t>Interest on Term Loan</t>
  </si>
  <si>
    <t>Interest on Working Capital</t>
  </si>
  <si>
    <t>Return on Equity</t>
  </si>
  <si>
    <t>Total Fixed Costs</t>
  </si>
  <si>
    <t>Description</t>
  </si>
  <si>
    <t>Unit</t>
  </si>
  <si>
    <t>Value</t>
  </si>
  <si>
    <t>Aux Consumption</t>
  </si>
  <si>
    <t>CUF</t>
  </si>
  <si>
    <t>Useful Life</t>
  </si>
  <si>
    <t>Years</t>
  </si>
  <si>
    <t>Capital Cost/MW</t>
  </si>
  <si>
    <t>Rs Lakh/MW</t>
  </si>
  <si>
    <t>Project Life</t>
  </si>
  <si>
    <t>years</t>
  </si>
  <si>
    <t>Equity</t>
  </si>
  <si>
    <t>Total Debt</t>
  </si>
  <si>
    <t>Rs Lac</t>
  </si>
  <si>
    <t>Total Equity</t>
  </si>
  <si>
    <t>Loan amount</t>
  </si>
  <si>
    <t>Moratorium</t>
  </si>
  <si>
    <t>Repayment Period</t>
  </si>
  <si>
    <t>Interest Rate</t>
  </si>
  <si>
    <t>RsLac</t>
  </si>
  <si>
    <t>ROE 10 years</t>
  </si>
  <si>
    <t xml:space="preserve">ROE 11th year on </t>
  </si>
  <si>
    <t>Discount Rate</t>
  </si>
  <si>
    <t>Income Tax</t>
  </si>
  <si>
    <t>MAT</t>
  </si>
  <si>
    <t>80IA Benefits</t>
  </si>
  <si>
    <t>Depreciation 1st 12 years</t>
  </si>
  <si>
    <t>Depreciation 13th year on</t>
  </si>
  <si>
    <t>Months</t>
  </si>
  <si>
    <t>Maintenance Spare</t>
  </si>
  <si>
    <t>Receivables</t>
  </si>
  <si>
    <t>Acceleration</t>
  </si>
  <si>
    <t>Assumed Tariff</t>
  </si>
  <si>
    <t>Rs/kWh</t>
  </si>
  <si>
    <t>Levellized Cost of Generation (COG)</t>
  </si>
  <si>
    <t>Total CoG</t>
  </si>
  <si>
    <t>Annuity Factor</t>
  </si>
  <si>
    <t>MO/Yr</t>
  </si>
  <si>
    <t>Interest Accrued on Principal</t>
  </si>
  <si>
    <t>Annual Interest</t>
  </si>
  <si>
    <t>Component/Yr</t>
  </si>
  <si>
    <t>O&amp;M for 1 month</t>
  </si>
  <si>
    <t>Rs-Lakh</t>
  </si>
  <si>
    <t>Receivables - two months charges</t>
  </si>
  <si>
    <t>Maintenance spare of O&amp;M</t>
  </si>
  <si>
    <t>Total Working Capital</t>
  </si>
  <si>
    <t>TOTAL PAYMENT</t>
  </si>
  <si>
    <t>Equity w/ receivables</t>
  </si>
  <si>
    <t>Equity w/o receivables</t>
  </si>
  <si>
    <t>Additional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</si>
</sst>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Border="1"/>
    <xf numFmtId="0" fontId="0" fillId="0" borderId="2" xfId="0" applyBorder="1"/>
    <xf numFmtId="2" fontId="0" fillId="0" borderId="0" xfId="0" applyNumberFormat="1"/>
    <xf numFmtId="1" fontId="0" fillId="0" borderId="0" xfId="0" applyNumberFormat="1"/>
    <xf numFmtId="2" fontId="0" fillId="0" borderId="2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2" xfId="0" applyFont="1" applyBorder="1"/>
    <xf numFmtId="0" fontId="3" fillId="0" borderId="0" xfId="2"/>
    <xf numFmtId="0" fontId="0" fillId="2" borderId="0" xfId="0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3" borderId="1" xfId="0" applyFill="1" applyBorder="1"/>
    <xf numFmtId="0" fontId="2" fillId="0" borderId="0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0000"/>
      <color rgb="FF0000CC"/>
      <color rgb="FF00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19049</xdr:rowOff>
    </xdr:from>
    <xdr:to>
      <xdr:col>18</xdr:col>
      <xdr:colOff>228600</xdr:colOff>
      <xdr:row>38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" y="590549"/>
          <a:ext cx="10420350" cy="673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Workbook</a:t>
          </a:r>
          <a:r>
            <a:rPr lang="en-US" sz="1200" b="1" baseline="0"/>
            <a:t> Structure</a:t>
          </a:r>
          <a:endParaRPr lang="en-US" sz="1200" b="1"/>
        </a:p>
        <a:p>
          <a:endParaRPr lang="en-US" sz="1100"/>
        </a:p>
        <a:p>
          <a:r>
            <a:rPr lang="en-US" sz="1100"/>
            <a:t>The following sheets contain</a:t>
          </a:r>
          <a:r>
            <a:rPr lang="en-US" sz="1100" baseline="0"/>
            <a:t> calculations and comparisons between the cost of energy calculations as described by CERC, and those utilized by the System Advisor  Model.  All currencies have been converted to Rupees or Lakh. </a:t>
          </a:r>
        </a:p>
        <a:p>
          <a:endParaRPr lang="en-US" sz="1100" baseline="0"/>
        </a:p>
        <a:p>
          <a:r>
            <a:rPr lang="en-US" sz="1100" baseline="0"/>
            <a:t>The sheets are organized as follows: </a:t>
          </a:r>
        </a:p>
        <a:p>
          <a:r>
            <a:rPr lang="en-US" sz="1100" b="1" baseline="0"/>
            <a:t>Green</a:t>
          </a:r>
          <a:r>
            <a:rPr lang="en-US" sz="1100" baseline="0"/>
            <a:t> - Calculation of cost of energy according to CERC norms and comparision between model and provided CERC outputs for 2016-2017 tariff determination</a:t>
          </a:r>
        </a:p>
        <a:p>
          <a:endParaRPr lang="en-US" sz="1100" baseline="0"/>
        </a:p>
        <a:p>
          <a:r>
            <a:rPr lang="en-US" sz="1100" baseline="0"/>
            <a:t>1. Assumptions: Assumptions used in the tariff determination by CERC</a:t>
          </a:r>
        </a:p>
        <a:p>
          <a:r>
            <a:rPr lang="en-US" sz="1100" baseline="0"/>
            <a:t>2. Calculations: Basic calculations  of LCOE</a:t>
          </a:r>
        </a:p>
        <a:p>
          <a:r>
            <a:rPr lang="en-US" sz="1100" baseline="0"/>
            <a:t>3. Term Loan: calculation of term loan payments</a:t>
          </a:r>
        </a:p>
        <a:p>
          <a:r>
            <a:rPr lang="en-US" sz="1100" baseline="0"/>
            <a:t>4. Working capital: calculation of interest on working capital</a:t>
          </a:r>
        </a:p>
        <a:p>
          <a:endParaRPr lang="en-US" sz="1100" baseline="0"/>
        </a:p>
        <a:p>
          <a:r>
            <a:rPr lang="en-US" sz="1100" b="1" baseline="0"/>
            <a:t>Changes made to the model: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D3:H34"/>
  <sheetViews>
    <sheetView tabSelected="1" workbookViewId="0">
      <selection activeCell="F34" sqref="F34"/>
    </sheetView>
  </sheetViews>
  <sheetFormatPr defaultRowHeight="14.5" x14ac:dyDescent="0.35"/>
  <cols>
    <col min="3" max="3" width="20" bestFit="1" customWidth="1"/>
    <col min="4" max="4" width="32.7265625" customWidth="1"/>
    <col min="5" max="5" width="11.36328125" bestFit="1" customWidth="1"/>
    <col min="6" max="6" width="13.453125" customWidth="1"/>
    <col min="7" max="7" width="26.36328125" bestFit="1" customWidth="1"/>
  </cols>
  <sheetData>
    <row r="3" spans="4:8" x14ac:dyDescent="0.35">
      <c r="D3" s="1" t="s">
        <v>21</v>
      </c>
      <c r="E3" s="1" t="s">
        <v>22</v>
      </c>
      <c r="F3" s="1" t="s">
        <v>23</v>
      </c>
      <c r="G3" s="16"/>
      <c r="H3" s="16"/>
    </row>
    <row r="4" spans="4:8" x14ac:dyDescent="0.35">
      <c r="D4" s="6" t="s">
        <v>5</v>
      </c>
      <c r="E4" s="6" t="s">
        <v>6</v>
      </c>
      <c r="F4" s="6">
        <v>1</v>
      </c>
    </row>
    <row r="5" spans="4:8" x14ac:dyDescent="0.35">
      <c r="D5" s="6" t="s">
        <v>24</v>
      </c>
      <c r="E5" s="6" t="s">
        <v>0</v>
      </c>
      <c r="F5" s="6">
        <v>0</v>
      </c>
    </row>
    <row r="6" spans="4:8" x14ac:dyDescent="0.35">
      <c r="D6" s="6" t="s">
        <v>25</v>
      </c>
      <c r="E6" s="6" t="s">
        <v>0</v>
      </c>
      <c r="F6" s="6">
        <v>0.19</v>
      </c>
    </row>
    <row r="7" spans="4:8" x14ac:dyDescent="0.35">
      <c r="D7" s="6" t="s">
        <v>26</v>
      </c>
      <c r="E7" s="6" t="s">
        <v>27</v>
      </c>
      <c r="F7" s="6">
        <v>25</v>
      </c>
    </row>
    <row r="8" spans="4:8" x14ac:dyDescent="0.35">
      <c r="D8" s="13" t="s">
        <v>28</v>
      </c>
      <c r="E8" s="13" t="s">
        <v>29</v>
      </c>
      <c r="F8" s="13">
        <v>530.02</v>
      </c>
    </row>
    <row r="9" spans="4:8" x14ac:dyDescent="0.35">
      <c r="D9" s="6" t="s">
        <v>30</v>
      </c>
      <c r="E9" s="6" t="s">
        <v>31</v>
      </c>
      <c r="F9" s="6">
        <f>analysis_period</f>
        <v>25</v>
      </c>
    </row>
    <row r="10" spans="4:8" x14ac:dyDescent="0.35">
      <c r="D10" s="6" t="s">
        <v>2</v>
      </c>
      <c r="E10" s="6" t="s">
        <v>0</v>
      </c>
      <c r="F10" s="6">
        <v>70</v>
      </c>
    </row>
    <row r="11" spans="4:8" x14ac:dyDescent="0.35">
      <c r="D11" s="6" t="s">
        <v>32</v>
      </c>
      <c r="E11" s="6" t="s">
        <v>0</v>
      </c>
      <c r="F11" s="6">
        <f>100-F10</f>
        <v>30</v>
      </c>
    </row>
    <row r="12" spans="4:8" x14ac:dyDescent="0.35">
      <c r="D12" s="13" t="s">
        <v>33</v>
      </c>
      <c r="E12" s="13" t="s">
        <v>34</v>
      </c>
      <c r="F12" s="13">
        <f>F10/100*F8</f>
        <v>371.01399999999995</v>
      </c>
    </row>
    <row r="13" spans="4:8" x14ac:dyDescent="0.35">
      <c r="D13" s="6" t="s">
        <v>35</v>
      </c>
      <c r="E13" s="6" t="s">
        <v>34</v>
      </c>
      <c r="F13" s="6">
        <f>F11/100*F8</f>
        <v>159.006</v>
      </c>
    </row>
    <row r="14" spans="4:8" x14ac:dyDescent="0.35">
      <c r="D14" s="6" t="s">
        <v>36</v>
      </c>
      <c r="E14" s="6" t="s">
        <v>34</v>
      </c>
      <c r="F14" s="6">
        <f>F12</f>
        <v>371.01399999999995</v>
      </c>
    </row>
    <row r="15" spans="4:8" x14ac:dyDescent="0.35">
      <c r="D15" s="13" t="s">
        <v>37</v>
      </c>
      <c r="E15" s="13" t="s">
        <v>31</v>
      </c>
      <c r="F15" s="13">
        <v>0</v>
      </c>
    </row>
    <row r="16" spans="4:8" x14ac:dyDescent="0.35">
      <c r="D16" s="13" t="s">
        <v>38</v>
      </c>
      <c r="E16" s="13" t="s">
        <v>31</v>
      </c>
      <c r="F16" s="13">
        <v>12</v>
      </c>
    </row>
    <row r="17" spans="4:6" x14ac:dyDescent="0.35">
      <c r="D17" s="13" t="s">
        <v>39</v>
      </c>
      <c r="E17" s="13" t="s">
        <v>0</v>
      </c>
      <c r="F17" s="13">
        <v>12.76</v>
      </c>
    </row>
    <row r="18" spans="4:6" x14ac:dyDescent="0.35">
      <c r="D18" s="6" t="s">
        <v>68</v>
      </c>
      <c r="E18" s="6" t="s">
        <v>40</v>
      </c>
      <c r="F18" s="6">
        <f>F13+'Working Capital'!C7</f>
        <v>175.46089333333333</v>
      </c>
    </row>
    <row r="19" spans="4:6" x14ac:dyDescent="0.35">
      <c r="D19" s="12" t="s">
        <v>69</v>
      </c>
      <c r="E19" s="12" t="s">
        <v>40</v>
      </c>
      <c r="F19" s="12">
        <f>F18-'Working Capital'!C7</f>
        <v>159.006</v>
      </c>
    </row>
    <row r="20" spans="4:6" x14ac:dyDescent="0.35">
      <c r="D20" s="13" t="s">
        <v>41</v>
      </c>
      <c r="E20" s="13" t="s">
        <v>0</v>
      </c>
      <c r="F20" s="13">
        <v>20</v>
      </c>
    </row>
    <row r="21" spans="4:6" x14ac:dyDescent="0.35">
      <c r="D21" s="13" t="s">
        <v>42</v>
      </c>
      <c r="E21" s="13" t="s">
        <v>0</v>
      </c>
      <c r="F21" s="13">
        <v>24</v>
      </c>
    </row>
    <row r="22" spans="4:6" x14ac:dyDescent="0.35">
      <c r="D22" s="13" t="s">
        <v>43</v>
      </c>
      <c r="E22" s="13" t="s">
        <v>0</v>
      </c>
      <c r="F22" s="14">
        <v>10.7</v>
      </c>
    </row>
    <row r="23" spans="4:6" x14ac:dyDescent="0.35">
      <c r="D23" s="13" t="s">
        <v>44</v>
      </c>
      <c r="E23" s="13" t="s">
        <v>0</v>
      </c>
      <c r="F23" s="14">
        <v>33.99</v>
      </c>
    </row>
    <row r="24" spans="4:6" x14ac:dyDescent="0.35">
      <c r="D24" s="6" t="s">
        <v>45</v>
      </c>
      <c r="E24" s="6" t="s">
        <v>0</v>
      </c>
      <c r="F24" s="7">
        <v>20</v>
      </c>
    </row>
    <row r="25" spans="4:6" x14ac:dyDescent="0.35">
      <c r="D25" s="6" t="s">
        <v>46</v>
      </c>
      <c r="E25" s="6"/>
      <c r="F25" s="8" t="s">
        <v>1</v>
      </c>
    </row>
    <row r="26" spans="4:6" x14ac:dyDescent="0.35">
      <c r="D26" s="13" t="s">
        <v>47</v>
      </c>
      <c r="E26" s="13" t="s">
        <v>0</v>
      </c>
      <c r="F26" s="13">
        <v>5.83</v>
      </c>
    </row>
    <row r="27" spans="4:6" x14ac:dyDescent="0.35">
      <c r="D27" s="13" t="s">
        <v>48</v>
      </c>
      <c r="E27" s="13" t="s">
        <v>0</v>
      </c>
      <c r="F27" s="13">
        <v>1.54</v>
      </c>
    </row>
    <row r="28" spans="4:6" x14ac:dyDescent="0.35">
      <c r="D28" s="6" t="s">
        <v>14</v>
      </c>
      <c r="E28" s="6" t="s">
        <v>49</v>
      </c>
      <c r="F28" s="6">
        <v>1</v>
      </c>
    </row>
    <row r="29" spans="4:6" x14ac:dyDescent="0.35">
      <c r="D29" s="6" t="s">
        <v>50</v>
      </c>
      <c r="E29" s="6" t="s">
        <v>0</v>
      </c>
      <c r="F29" s="6">
        <v>15</v>
      </c>
    </row>
    <row r="30" spans="4:6" x14ac:dyDescent="0.35">
      <c r="D30" s="12" t="s">
        <v>51</v>
      </c>
      <c r="E30" s="12" t="s">
        <v>49</v>
      </c>
      <c r="F30" s="12">
        <v>2.1</v>
      </c>
    </row>
    <row r="31" spans="4:6" x14ac:dyDescent="0.35">
      <c r="D31" s="6" t="s">
        <v>18</v>
      </c>
      <c r="E31" s="6" t="s">
        <v>0</v>
      </c>
      <c r="F31" s="6">
        <v>13.26</v>
      </c>
    </row>
    <row r="32" spans="4:6" x14ac:dyDescent="0.35">
      <c r="D32" s="13" t="s">
        <v>14</v>
      </c>
      <c r="E32" s="13" t="s">
        <v>29</v>
      </c>
      <c r="F32" s="13">
        <v>7</v>
      </c>
    </row>
    <row r="33" spans="4:6" x14ac:dyDescent="0.35">
      <c r="D33" s="15" t="s">
        <v>52</v>
      </c>
      <c r="E33" s="15" t="s">
        <v>0</v>
      </c>
      <c r="F33" s="15">
        <v>5.72</v>
      </c>
    </row>
    <row r="34" spans="4:6" x14ac:dyDescent="0.35">
      <c r="D34" t="s">
        <v>53</v>
      </c>
      <c r="E34" t="s">
        <v>54</v>
      </c>
      <c r="F34">
        <v>5.69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B27"/>
  <sheetViews>
    <sheetView workbookViewId="0">
      <selection activeCell="A10" sqref="A10"/>
    </sheetView>
  </sheetViews>
  <sheetFormatPr defaultRowHeight="14.5" x14ac:dyDescent="0.35"/>
  <cols>
    <col min="1" max="1" width="27.1796875" customWidth="1"/>
    <col min="3" max="3" width="16.26953125" bestFit="1" customWidth="1"/>
    <col min="4" max="27" width="14.7265625" bestFit="1" customWidth="1"/>
  </cols>
  <sheetData>
    <row r="1" spans="1:28" s="9" customFormat="1" x14ac:dyDescent="0.35"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</row>
    <row r="2" spans="1:28" s="2" customFormat="1" x14ac:dyDescent="0.35">
      <c r="A2" s="1" t="s">
        <v>4</v>
      </c>
      <c r="B2" s="1"/>
    </row>
    <row r="3" spans="1:28" x14ac:dyDescent="0.35">
      <c r="A3" t="s">
        <v>5</v>
      </c>
      <c r="B3" t="s">
        <v>6</v>
      </c>
      <c r="C3" s="3">
        <f>Assumptions!$F$4</f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/>
    </row>
    <row r="4" spans="1:28" x14ac:dyDescent="0.35">
      <c r="A4" t="s">
        <v>7</v>
      </c>
      <c r="B4" t="s">
        <v>8</v>
      </c>
      <c r="C4" s="3">
        <f>C3*24*365*Assumptions!$F$6/1000</f>
        <v>1.6644000000000001</v>
      </c>
      <c r="D4" s="3">
        <f>D3*24*365*Assumptions!$F$6/1000</f>
        <v>1.6644000000000001</v>
      </c>
      <c r="E4" s="3">
        <f>E3*24*365*Assumptions!$F$6/1000</f>
        <v>1.6644000000000001</v>
      </c>
      <c r="F4" s="3">
        <f>F3*24*365*Assumptions!$F$6/1000</f>
        <v>1.6644000000000001</v>
      </c>
      <c r="G4" s="3">
        <f>G3*24*365*Assumptions!$F$6/1000</f>
        <v>1.6644000000000001</v>
      </c>
      <c r="H4" s="3">
        <f>H3*24*365*Assumptions!$F$6/1000</f>
        <v>1.6644000000000001</v>
      </c>
      <c r="I4" s="3">
        <f>I3*24*365*Assumptions!$F$6/1000</f>
        <v>1.6644000000000001</v>
      </c>
      <c r="J4" s="3">
        <f>J3*24*365*Assumptions!$F$6/1000</f>
        <v>1.6644000000000001</v>
      </c>
      <c r="K4" s="3">
        <f>K3*24*365*Assumptions!$F$6/1000</f>
        <v>1.6644000000000001</v>
      </c>
      <c r="L4" s="3">
        <f>L3*24*365*Assumptions!$F$6/1000</f>
        <v>1.6644000000000001</v>
      </c>
      <c r="M4" s="3">
        <f>M3*24*365*Assumptions!$F$6/1000</f>
        <v>1.6644000000000001</v>
      </c>
      <c r="N4" s="3">
        <f>N3*24*365*Assumptions!$F$6/1000</f>
        <v>1.6644000000000001</v>
      </c>
      <c r="O4" s="3">
        <f>O3*24*365*Assumptions!$F$6/1000</f>
        <v>1.6644000000000001</v>
      </c>
      <c r="P4" s="3">
        <f>P3*24*365*Assumptions!$F$6/1000</f>
        <v>1.6644000000000001</v>
      </c>
      <c r="Q4" s="3">
        <f>Q3*24*365*Assumptions!$F$6/1000</f>
        <v>1.6644000000000001</v>
      </c>
      <c r="R4" s="3">
        <f>R3*24*365*Assumptions!$F$6/1000</f>
        <v>1.6644000000000001</v>
      </c>
      <c r="S4" s="3">
        <f>S3*24*365*Assumptions!$F$6/1000</f>
        <v>1.6644000000000001</v>
      </c>
      <c r="T4" s="3">
        <f>T3*24*365*Assumptions!$F$6/1000</f>
        <v>1.6644000000000001</v>
      </c>
      <c r="U4" s="3">
        <f>U3*24*365*Assumptions!$F$6/1000</f>
        <v>1.6644000000000001</v>
      </c>
      <c r="V4" s="3">
        <f>V3*24*365*Assumptions!$F$6/1000</f>
        <v>1.6644000000000001</v>
      </c>
      <c r="W4" s="3">
        <f>W3*24*365*Assumptions!$F$6/1000</f>
        <v>1.6644000000000001</v>
      </c>
      <c r="X4" s="3">
        <f>X3*24*365*Assumptions!$F$6/1000</f>
        <v>1.6644000000000001</v>
      </c>
      <c r="Y4" s="3">
        <f>Y3*24*365*Assumptions!$F$6/1000</f>
        <v>1.6644000000000001</v>
      </c>
      <c r="Z4" s="3">
        <f>Z3*24*365*Assumptions!$F$6/1000</f>
        <v>1.6644000000000001</v>
      </c>
      <c r="AA4" s="3">
        <f>AA3*24*365*Assumptions!$F$6/1000</f>
        <v>1.6644000000000001</v>
      </c>
      <c r="AB4" s="3"/>
    </row>
    <row r="5" spans="1:28" x14ac:dyDescent="0.35">
      <c r="A5" t="s">
        <v>9</v>
      </c>
      <c r="B5" t="s">
        <v>8</v>
      </c>
      <c r="C5" s="3">
        <f>Assumptions!$F$5</f>
        <v>0</v>
      </c>
      <c r="D5" s="3">
        <f>Assumptions!$F$5</f>
        <v>0</v>
      </c>
      <c r="E5" s="3">
        <f>Assumptions!$F$5</f>
        <v>0</v>
      </c>
      <c r="F5" s="3">
        <f>Assumptions!$F$5</f>
        <v>0</v>
      </c>
      <c r="G5" s="3">
        <f>Assumptions!$F$5</f>
        <v>0</v>
      </c>
      <c r="H5" s="3">
        <f>Assumptions!$F$5</f>
        <v>0</v>
      </c>
      <c r="I5" s="3">
        <f>Assumptions!$F$5</f>
        <v>0</v>
      </c>
      <c r="J5" s="3">
        <f>Assumptions!$F$5</f>
        <v>0</v>
      </c>
      <c r="K5" s="3">
        <f>Assumptions!$F$5</f>
        <v>0</v>
      </c>
      <c r="L5" s="3">
        <f>Assumptions!$F$5</f>
        <v>0</v>
      </c>
      <c r="M5" s="3">
        <f>Assumptions!$F$5</f>
        <v>0</v>
      </c>
      <c r="N5" s="3">
        <f>Assumptions!$F$5</f>
        <v>0</v>
      </c>
      <c r="O5" s="3">
        <f>Assumptions!$F$5</f>
        <v>0</v>
      </c>
      <c r="P5" s="3">
        <f>Assumptions!$F$5</f>
        <v>0</v>
      </c>
      <c r="Q5" s="3">
        <f>Assumptions!$F$5</f>
        <v>0</v>
      </c>
      <c r="R5" s="3">
        <f>Assumptions!$F$5</f>
        <v>0</v>
      </c>
      <c r="S5" s="3">
        <f>Assumptions!$F$5</f>
        <v>0</v>
      </c>
      <c r="T5" s="3">
        <f>Assumptions!$F$5</f>
        <v>0</v>
      </c>
      <c r="U5" s="3">
        <f>Assumptions!$F$5</f>
        <v>0</v>
      </c>
      <c r="V5" s="3">
        <f>Assumptions!$F$5</f>
        <v>0</v>
      </c>
      <c r="W5" s="3">
        <f>Assumptions!$F$5</f>
        <v>0</v>
      </c>
      <c r="X5" s="3">
        <f>Assumptions!$F$5</f>
        <v>0</v>
      </c>
      <c r="Y5" s="3">
        <f>Assumptions!$F$5</f>
        <v>0</v>
      </c>
      <c r="Z5" s="3">
        <f>Assumptions!$F$5</f>
        <v>0</v>
      </c>
      <c r="AA5" s="3">
        <f>Assumptions!$F$5</f>
        <v>0</v>
      </c>
      <c r="AB5" s="3"/>
    </row>
    <row r="6" spans="1:28" x14ac:dyDescent="0.35">
      <c r="A6" t="s">
        <v>10</v>
      </c>
      <c r="B6" t="s">
        <v>8</v>
      </c>
      <c r="C6" s="3">
        <f>C4-C5</f>
        <v>1.6644000000000001</v>
      </c>
      <c r="D6" s="3">
        <f t="shared" ref="D6:AA6" si="0">D4-D5</f>
        <v>1.6644000000000001</v>
      </c>
      <c r="E6" s="3">
        <f t="shared" si="0"/>
        <v>1.6644000000000001</v>
      </c>
      <c r="F6" s="3">
        <f t="shared" si="0"/>
        <v>1.6644000000000001</v>
      </c>
      <c r="G6" s="3">
        <f t="shared" si="0"/>
        <v>1.6644000000000001</v>
      </c>
      <c r="H6" s="3">
        <f t="shared" si="0"/>
        <v>1.6644000000000001</v>
      </c>
      <c r="I6" s="3">
        <f t="shared" si="0"/>
        <v>1.6644000000000001</v>
      </c>
      <c r="J6" s="3">
        <f t="shared" si="0"/>
        <v>1.6644000000000001</v>
      </c>
      <c r="K6" s="3">
        <f t="shared" si="0"/>
        <v>1.6644000000000001</v>
      </c>
      <c r="L6" s="3">
        <f t="shared" si="0"/>
        <v>1.6644000000000001</v>
      </c>
      <c r="M6" s="3">
        <f t="shared" si="0"/>
        <v>1.6644000000000001</v>
      </c>
      <c r="N6" s="3">
        <f t="shared" si="0"/>
        <v>1.6644000000000001</v>
      </c>
      <c r="O6" s="3">
        <f t="shared" si="0"/>
        <v>1.6644000000000001</v>
      </c>
      <c r="P6" s="3">
        <f t="shared" si="0"/>
        <v>1.6644000000000001</v>
      </c>
      <c r="Q6" s="3">
        <f t="shared" si="0"/>
        <v>1.6644000000000001</v>
      </c>
      <c r="R6" s="3">
        <f t="shared" si="0"/>
        <v>1.6644000000000001</v>
      </c>
      <c r="S6" s="3">
        <f t="shared" si="0"/>
        <v>1.6644000000000001</v>
      </c>
      <c r="T6" s="3">
        <f t="shared" si="0"/>
        <v>1.6644000000000001</v>
      </c>
      <c r="U6" s="3">
        <f t="shared" si="0"/>
        <v>1.6644000000000001</v>
      </c>
      <c r="V6" s="3">
        <f t="shared" si="0"/>
        <v>1.6644000000000001</v>
      </c>
      <c r="W6" s="3">
        <f t="shared" si="0"/>
        <v>1.6644000000000001</v>
      </c>
      <c r="X6" s="3">
        <f t="shared" si="0"/>
        <v>1.6644000000000001</v>
      </c>
      <c r="Y6" s="3">
        <f t="shared" si="0"/>
        <v>1.6644000000000001</v>
      </c>
      <c r="Z6" s="3">
        <f t="shared" si="0"/>
        <v>1.6644000000000001</v>
      </c>
      <c r="AA6" s="3">
        <f t="shared" si="0"/>
        <v>1.6644000000000001</v>
      </c>
      <c r="AB6" s="3"/>
    </row>
    <row r="7" spans="1:28" x14ac:dyDescent="0.35">
      <c r="A7" t="s">
        <v>11</v>
      </c>
      <c r="B7" t="s">
        <v>12</v>
      </c>
      <c r="C7" s="4">
        <f>C6*1000000</f>
        <v>1664400</v>
      </c>
      <c r="D7" s="4">
        <f t="shared" ref="D7:AA7" si="1">D6*1000000</f>
        <v>1664400</v>
      </c>
      <c r="E7" s="4">
        <f t="shared" si="1"/>
        <v>1664400</v>
      </c>
      <c r="F7" s="4">
        <f t="shared" si="1"/>
        <v>1664400</v>
      </c>
      <c r="G7" s="4">
        <f t="shared" si="1"/>
        <v>1664400</v>
      </c>
      <c r="H7" s="4">
        <f t="shared" si="1"/>
        <v>1664400</v>
      </c>
      <c r="I7" s="4">
        <f t="shared" si="1"/>
        <v>1664400</v>
      </c>
      <c r="J7" s="4">
        <f t="shared" si="1"/>
        <v>1664400</v>
      </c>
      <c r="K7" s="4">
        <f t="shared" si="1"/>
        <v>1664400</v>
      </c>
      <c r="L7" s="4">
        <f t="shared" si="1"/>
        <v>1664400</v>
      </c>
      <c r="M7" s="4">
        <f t="shared" si="1"/>
        <v>1664400</v>
      </c>
      <c r="N7" s="4">
        <f t="shared" si="1"/>
        <v>1664400</v>
      </c>
      <c r="O7" s="4">
        <f t="shared" si="1"/>
        <v>1664400</v>
      </c>
      <c r="P7" s="4">
        <f t="shared" si="1"/>
        <v>1664400</v>
      </c>
      <c r="Q7" s="4">
        <f t="shared" si="1"/>
        <v>1664400</v>
      </c>
      <c r="R7" s="4">
        <f t="shared" si="1"/>
        <v>1664400</v>
      </c>
      <c r="S7" s="4">
        <f t="shared" si="1"/>
        <v>1664400</v>
      </c>
      <c r="T7" s="4">
        <f t="shared" si="1"/>
        <v>1664400</v>
      </c>
      <c r="U7" s="4">
        <f t="shared" si="1"/>
        <v>1664400</v>
      </c>
      <c r="V7" s="4">
        <f t="shared" si="1"/>
        <v>1664400</v>
      </c>
      <c r="W7" s="4">
        <f t="shared" si="1"/>
        <v>1664400</v>
      </c>
      <c r="X7" s="4">
        <f t="shared" si="1"/>
        <v>1664400</v>
      </c>
      <c r="Y7" s="4">
        <f t="shared" si="1"/>
        <v>1664400</v>
      </c>
      <c r="Z7" s="4">
        <f t="shared" si="1"/>
        <v>1664400</v>
      </c>
      <c r="AA7" s="4">
        <f t="shared" si="1"/>
        <v>1664400</v>
      </c>
      <c r="AB7" s="3"/>
    </row>
    <row r="8" spans="1:28" x14ac:dyDescent="0.3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s="2" customFormat="1" x14ac:dyDescent="0.35">
      <c r="A9" s="1" t="s">
        <v>13</v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35">
      <c r="A10" t="s">
        <v>14</v>
      </c>
      <c r="B10" t="s">
        <v>15</v>
      </c>
      <c r="C10" s="3">
        <f>Assumptions!F32</f>
        <v>7</v>
      </c>
      <c r="D10" s="3">
        <f>C10+Assumptions!$F$33/100*C10</f>
        <v>7.4004000000000003</v>
      </c>
      <c r="E10" s="3">
        <f>D10+Assumptions!$F$33/100*D10</f>
        <v>7.8237028800000008</v>
      </c>
      <c r="F10" s="3">
        <f>E10+Assumptions!$F$33/100*E10</f>
        <v>8.2712186847360005</v>
      </c>
      <c r="G10" s="3">
        <f>F10+Assumptions!$F$33/100*F10</f>
        <v>8.7443323935028996</v>
      </c>
      <c r="H10" s="3">
        <f>G10+Assumptions!$F$33/100*G10</f>
        <v>9.2445082064112647</v>
      </c>
      <c r="I10" s="3">
        <f>H10+Assumptions!$F$33/100*H10</f>
        <v>9.7732940758179883</v>
      </c>
      <c r="J10" s="3">
        <f>I10+Assumptions!$F$33/100*I10</f>
        <v>10.332326496954778</v>
      </c>
      <c r="K10" s="3">
        <f>J10+Assumptions!$F$33/100*J10</f>
        <v>10.923335572580591</v>
      </c>
      <c r="L10" s="3">
        <f>K10+Assumptions!$F$33/100*K10</f>
        <v>11.5481503673322</v>
      </c>
      <c r="M10" s="3">
        <f>L10+Assumptions!$F$33/100*L10</f>
        <v>12.208704568343602</v>
      </c>
      <c r="N10" s="3">
        <f>M10+Assumptions!$F$33/100*M10</f>
        <v>12.907042469652856</v>
      </c>
      <c r="O10" s="3">
        <f>N10+Assumptions!$F$33/100*N10</f>
        <v>13.645325298916999</v>
      </c>
      <c r="P10" s="3">
        <f>O10+Assumptions!$F$33/100*O10</f>
        <v>14.425837906015051</v>
      </c>
      <c r="Q10" s="3">
        <f>P10+Assumptions!$F$33/100*P10</f>
        <v>15.250995834239111</v>
      </c>
      <c r="R10" s="3">
        <f>Q10+Assumptions!$F$33/100*Q10</f>
        <v>16.123352795957587</v>
      </c>
      <c r="S10" s="3">
        <f>R10+Assumptions!$F$33/100*R10</f>
        <v>17.045608575886362</v>
      </c>
      <c r="T10" s="3">
        <f>S10+Assumptions!$F$33/100*S10</f>
        <v>18.020617386427062</v>
      </c>
      <c r="U10" s="3">
        <f>T10+Assumptions!$F$33/100*T10</f>
        <v>19.051396700930692</v>
      </c>
      <c r="V10" s="3">
        <f>U10+Assumptions!$F$33/100*U10</f>
        <v>20.141136592223926</v>
      </c>
      <c r="W10" s="3">
        <f>V10+Assumptions!$F$33/100*V10</f>
        <v>21.293209605299136</v>
      </c>
      <c r="X10" s="3">
        <f>W10+Assumptions!$F$33/100*W10</f>
        <v>22.511181194722248</v>
      </c>
      <c r="Y10" s="3">
        <f>X10+Assumptions!$F$33/100*X10</f>
        <v>23.798820759060362</v>
      </c>
      <c r="Z10" s="3">
        <f>Y10+Assumptions!$F$33/100*Y10</f>
        <v>25.160113306478614</v>
      </c>
      <c r="AA10" s="3">
        <f>Z10+Assumptions!$F$33/100*Z10</f>
        <v>26.59927178760919</v>
      </c>
      <c r="AB10" s="3"/>
    </row>
    <row r="11" spans="1:28" x14ac:dyDescent="0.35">
      <c r="A11" t="s">
        <v>16</v>
      </c>
      <c r="B11" t="s">
        <v>15</v>
      </c>
      <c r="C11" s="3">
        <f>Assumptions!$F$8*Assumptions!$F$26/100</f>
        <v>30.900165999999999</v>
      </c>
      <c r="D11" s="3">
        <f>Assumptions!$F$8*Assumptions!$F$26/100</f>
        <v>30.900165999999999</v>
      </c>
      <c r="E11" s="3">
        <f>Assumptions!$F$8*Assumptions!$F$26/100</f>
        <v>30.900165999999999</v>
      </c>
      <c r="F11" s="3">
        <f>Assumptions!$F$8*Assumptions!$F$26/100</f>
        <v>30.900165999999999</v>
      </c>
      <c r="G11" s="3">
        <f>Assumptions!$F$8*Assumptions!$F$26/100</f>
        <v>30.900165999999999</v>
      </c>
      <c r="H11" s="3">
        <f>Assumptions!$F$8*Assumptions!$F$26/100</f>
        <v>30.900165999999999</v>
      </c>
      <c r="I11" s="3">
        <f>Assumptions!$F$8*Assumptions!$F$26/100</f>
        <v>30.900165999999999</v>
      </c>
      <c r="J11" s="3">
        <f>Assumptions!$F$8*Assumptions!$F$26/100</f>
        <v>30.900165999999999</v>
      </c>
      <c r="K11" s="3">
        <f>Assumptions!$F$8*Assumptions!$F$26/100</f>
        <v>30.900165999999999</v>
      </c>
      <c r="L11" s="3">
        <f>Assumptions!$F$8*Assumptions!$F$26/100</f>
        <v>30.900165999999999</v>
      </c>
      <c r="M11" s="3">
        <f>Assumptions!$F$8*Assumptions!$F$26/100</f>
        <v>30.900165999999999</v>
      </c>
      <c r="N11" s="3">
        <f>Assumptions!$F$8*Assumptions!$F$26/100</f>
        <v>30.900165999999999</v>
      </c>
      <c r="O11" s="3">
        <f>Assumptions!$F$8*Assumptions!$F$27/100</f>
        <v>8.1623080000000012</v>
      </c>
      <c r="P11" s="3">
        <f>Assumptions!$F$8*Assumptions!$F$27/100</f>
        <v>8.1623080000000012</v>
      </c>
      <c r="Q11" s="3">
        <f>Assumptions!$F$8*Assumptions!$F$27/100</f>
        <v>8.1623080000000012</v>
      </c>
      <c r="R11" s="3">
        <f>Assumptions!$F$8*Assumptions!$F$27/100</f>
        <v>8.1623080000000012</v>
      </c>
      <c r="S11" s="3">
        <f>Assumptions!$F$8*Assumptions!$F$27/100</f>
        <v>8.1623080000000012</v>
      </c>
      <c r="T11" s="3">
        <f>Assumptions!$F$8*Assumptions!$F$27/100</f>
        <v>8.1623080000000012</v>
      </c>
      <c r="U11" s="3">
        <f>Assumptions!$F$8*Assumptions!$F$27/100</f>
        <v>8.1623080000000012</v>
      </c>
      <c r="V11" s="3">
        <f>Assumptions!$F$8*Assumptions!$F$27/100</f>
        <v>8.1623080000000012</v>
      </c>
      <c r="W11" s="3">
        <f>Assumptions!$F$8*Assumptions!$F$27/100</f>
        <v>8.1623080000000012</v>
      </c>
      <c r="X11" s="3">
        <f>Assumptions!$F$8*Assumptions!$F$27/100</f>
        <v>8.1623080000000012</v>
      </c>
      <c r="Y11" s="3">
        <f>Assumptions!$F$8*Assumptions!$F$27/100</f>
        <v>8.1623080000000012</v>
      </c>
      <c r="Z11" s="3">
        <f>Assumptions!$F$8*Assumptions!$F$27/100</f>
        <v>8.1623080000000012</v>
      </c>
      <c r="AA11" s="3">
        <f>Assumptions!$F$8*Assumptions!$F$27/100</f>
        <v>8.1623080000000012</v>
      </c>
      <c r="AB11" s="3"/>
    </row>
    <row r="12" spans="1:28" x14ac:dyDescent="0.35">
      <c r="A12" t="s">
        <v>17</v>
      </c>
      <c r="B12" t="s">
        <v>15</v>
      </c>
      <c r="C12" s="3">
        <f>'Term Loan'!B30</f>
        <v>45.533208447222194</v>
      </c>
      <c r="D12" s="3">
        <f>'Term Loan'!C30</f>
        <v>41.588092913888829</v>
      </c>
      <c r="E12" s="3">
        <f>'Term Loan'!D30</f>
        <v>37.64297738055545</v>
      </c>
      <c r="F12" s="3">
        <f>'Term Loan'!E30</f>
        <v>33.697861847222072</v>
      </c>
      <c r="G12" s="3">
        <f>'Term Loan'!F30</f>
        <v>29.752746313888739</v>
      </c>
      <c r="H12" s="3">
        <f>'Term Loan'!G30</f>
        <v>25.807630780555407</v>
      </c>
      <c r="I12" s="3">
        <f>'Term Loan'!H30</f>
        <v>21.862515247222078</v>
      </c>
      <c r="J12" s="3">
        <f>'Term Loan'!I30</f>
        <v>17.917399713888749</v>
      </c>
      <c r="K12" s="3">
        <f>'Term Loan'!J30</f>
        <v>13.97228418055542</v>
      </c>
      <c r="L12" s="3">
        <f>'Term Loan'!K30</f>
        <v>10.027168647222089</v>
      </c>
      <c r="M12" s="3">
        <f>'Term Loan'!L30</f>
        <v>6.0820531138887599</v>
      </c>
      <c r="N12" s="3">
        <f>'Term Loan'!M30</f>
        <v>2.13693758055543</v>
      </c>
      <c r="O12" s="3">
        <f>'Term Loan'!N30</f>
        <v>0</v>
      </c>
      <c r="P12" s="3">
        <f>'Term Loan'!O30</f>
        <v>0</v>
      </c>
      <c r="Q12" s="3">
        <f>'Term Loan'!P30</f>
        <v>0</v>
      </c>
      <c r="R12" s="3">
        <f>'Term Loan'!Q30</f>
        <v>0</v>
      </c>
      <c r="S12" s="3">
        <f>'Term Loan'!R30</f>
        <v>0</v>
      </c>
      <c r="T12" s="3">
        <f>'Term Loan'!S30</f>
        <v>0</v>
      </c>
      <c r="U12" s="3">
        <f>'Term Loan'!T30</f>
        <v>0</v>
      </c>
      <c r="V12" s="3">
        <f>'Term Loan'!U30</f>
        <v>0</v>
      </c>
      <c r="W12" s="3">
        <f>'Term Loan'!V30</f>
        <v>0</v>
      </c>
      <c r="X12" s="3">
        <f>'Term Loan'!W30</f>
        <v>0</v>
      </c>
      <c r="Y12" s="3">
        <f>'Term Loan'!X30</f>
        <v>0</v>
      </c>
      <c r="Z12" s="3">
        <f>'Term Loan'!Y30</f>
        <v>0</v>
      </c>
      <c r="AA12" s="3">
        <f>'Term Loan'!Z30</f>
        <v>0</v>
      </c>
      <c r="AB12" s="3"/>
    </row>
    <row r="13" spans="1:28" x14ac:dyDescent="0.35">
      <c r="A13" t="s">
        <v>18</v>
      </c>
      <c r="B13" t="s">
        <v>15</v>
      </c>
      <c r="C13" s="3">
        <f>'Working Capital'!C8</f>
        <v>2.1819188560000002</v>
      </c>
      <c r="D13" s="3">
        <f>'Working Capital'!D8</f>
        <v>2.3219347320000003</v>
      </c>
      <c r="E13" s="3">
        <f>'Working Capital'!E8</f>
        <v>2.3350317231072002</v>
      </c>
      <c r="F13" s="3">
        <f>'Working Capital'!F8</f>
        <v>2.348877862105732</v>
      </c>
      <c r="G13" s="3">
        <f>'Working Capital'!G8</f>
        <v>2.3635160002549802</v>
      </c>
      <c r="H13" s="3">
        <f>'Working Capital'!H8</f>
        <v>2.3789914399063647</v>
      </c>
      <c r="I13" s="3">
        <f>'Working Capital'!I8</f>
        <v>2.395352074705809</v>
      </c>
      <c r="J13" s="3">
        <f>'Working Capital'!J8</f>
        <v>2.4126485378157811</v>
      </c>
      <c r="K13" s="3">
        <f>'Working Capital'!K8</f>
        <v>2.4309343586156436</v>
      </c>
      <c r="L13" s="3">
        <f>'Working Capital'!L8</f>
        <v>2.4502661283652589</v>
      </c>
      <c r="M13" s="3">
        <f>'Working Capital'!M8</f>
        <v>2.4707036753445513</v>
      </c>
      <c r="N13" s="3">
        <f>'Working Capital'!N8</f>
        <v>2.4923102500110597</v>
      </c>
      <c r="O13" s="3">
        <f>'Working Capital'!O8</f>
        <v>2.5151527207484921</v>
      </c>
      <c r="P13" s="3">
        <f>'Working Capital'!P8</f>
        <v>2.5393017808121061</v>
      </c>
      <c r="Q13" s="3">
        <f>'Working Capital'!Q8</f>
        <v>2.5648321671113581</v>
      </c>
      <c r="R13" s="3">
        <f>'Working Capital'!R8</f>
        <v>2.5918228915069279</v>
      </c>
      <c r="S13" s="3">
        <f>'Working Capital'!S8</f>
        <v>2.6203574853379239</v>
      </c>
      <c r="T13" s="3">
        <f>'Working Capital'!T8</f>
        <v>2.6505242579360537</v>
      </c>
      <c r="U13" s="3">
        <f>'Working Capital'!U8</f>
        <v>2.6824165699267959</v>
      </c>
      <c r="V13" s="3">
        <f>'Working Capital'!V8</f>
        <v>2.7161331221634089</v>
      </c>
      <c r="W13" s="3">
        <f>'Working Capital'!W8</f>
        <v>2.7517782611879555</v>
      </c>
      <c r="X13" s="3">
        <f>'Working Capital'!X8</f>
        <v>2.7894623021647065</v>
      </c>
      <c r="Y13" s="3">
        <f>'Working Capital'!Y8</f>
        <v>2.8293018702853283</v>
      </c>
      <c r="Z13" s="3">
        <f>'Working Capital'!Z8</f>
        <v>2.8714202617024482</v>
      </c>
      <c r="AA13" s="3">
        <f>'Working Capital'!AA8</f>
        <v>2.9159478251086286</v>
      </c>
      <c r="AB13" s="3"/>
    </row>
    <row r="14" spans="1:28" x14ac:dyDescent="0.35">
      <c r="A14" t="s">
        <v>19</v>
      </c>
      <c r="B14" t="s">
        <v>15</v>
      </c>
      <c r="C14" s="3">
        <f>Assumptions!$F$19*Assumptions!$F$20/100</f>
        <v>31.801199999999998</v>
      </c>
      <c r="D14" s="3">
        <f>Assumptions!$F$19*Assumptions!$F$20/100</f>
        <v>31.801199999999998</v>
      </c>
      <c r="E14" s="3">
        <f>Assumptions!$F$19*Assumptions!$F$20/100</f>
        <v>31.801199999999998</v>
      </c>
      <c r="F14" s="3">
        <f>Assumptions!$F$19*Assumptions!$F$20/100</f>
        <v>31.801199999999998</v>
      </c>
      <c r="G14" s="3">
        <f>Assumptions!$F$19*Assumptions!$F$20/100</f>
        <v>31.801199999999998</v>
      </c>
      <c r="H14" s="3">
        <f>Assumptions!$F$19*Assumptions!$F$20/100</f>
        <v>31.801199999999998</v>
      </c>
      <c r="I14" s="3">
        <f>Assumptions!$F$19*Assumptions!$F$20/100</f>
        <v>31.801199999999998</v>
      </c>
      <c r="J14" s="3">
        <f>Assumptions!$F$19*Assumptions!$F$20/100</f>
        <v>31.801199999999998</v>
      </c>
      <c r="K14" s="3">
        <f>Assumptions!$F$19*Assumptions!$F$20/100</f>
        <v>31.801199999999998</v>
      </c>
      <c r="L14" s="3">
        <f>Assumptions!$F$19*Assumptions!$F$20/100</f>
        <v>31.801199999999998</v>
      </c>
      <c r="M14" s="3">
        <f>Assumptions!$F$19*Assumptions!$F$20/100</f>
        <v>31.801199999999998</v>
      </c>
      <c r="N14" s="3">
        <f>Assumptions!$F$19*Assumptions!$F$20/100</f>
        <v>31.801199999999998</v>
      </c>
      <c r="O14" s="3">
        <f>Assumptions!$F$19*Assumptions!$F$21/100</f>
        <v>38.161439999999999</v>
      </c>
      <c r="P14" s="3">
        <f>Assumptions!$F$19*Assumptions!$F$21/100</f>
        <v>38.161439999999999</v>
      </c>
      <c r="Q14" s="3">
        <f>Assumptions!$F$19*Assumptions!$F$21/100</f>
        <v>38.161439999999999</v>
      </c>
      <c r="R14" s="3">
        <f>Assumptions!$F$19*Assumptions!$F$21/100</f>
        <v>38.161439999999999</v>
      </c>
      <c r="S14" s="3">
        <f>Assumptions!$F$19*Assumptions!$F$21/100</f>
        <v>38.161439999999999</v>
      </c>
      <c r="T14" s="3">
        <f>Assumptions!$F$19*Assumptions!$F$21/100</f>
        <v>38.161439999999999</v>
      </c>
      <c r="U14" s="3">
        <f>Assumptions!$F$19*Assumptions!$F$21/100</f>
        <v>38.161439999999999</v>
      </c>
      <c r="V14" s="3">
        <f>Assumptions!$F$19*Assumptions!$F$21/100</f>
        <v>38.161439999999999</v>
      </c>
      <c r="W14" s="3">
        <f>Assumptions!$F$19*Assumptions!$F$21/100</f>
        <v>38.161439999999999</v>
      </c>
      <c r="X14" s="3">
        <f>Assumptions!$F$19*Assumptions!$F$21/100</f>
        <v>38.161439999999999</v>
      </c>
      <c r="Y14" s="3">
        <f>Assumptions!$F$19*Assumptions!$F$21/100</f>
        <v>38.161439999999999</v>
      </c>
      <c r="Z14" s="3">
        <f>Assumptions!$F$19*Assumptions!$F$21/100</f>
        <v>38.161439999999999</v>
      </c>
      <c r="AA14" s="3">
        <f>Assumptions!$F$19*Assumptions!$F$21/100</f>
        <v>38.161439999999999</v>
      </c>
      <c r="AB14" s="3"/>
    </row>
    <row r="15" spans="1:28" x14ac:dyDescent="0.35">
      <c r="A15" t="s">
        <v>20</v>
      </c>
      <c r="B15" t="s">
        <v>15</v>
      </c>
      <c r="C15" s="3">
        <f>SUM(C10:C14)</f>
        <v>117.41649330322218</v>
      </c>
      <c r="D15" s="3">
        <f t="shared" ref="D15:AA15" si="2">SUM(D10:D14)</f>
        <v>114.01179364588883</v>
      </c>
      <c r="E15" s="3">
        <f t="shared" si="2"/>
        <v>110.50307798366265</v>
      </c>
      <c r="F15" s="3">
        <f t="shared" si="2"/>
        <v>107.0193243940638</v>
      </c>
      <c r="G15" s="3">
        <f t="shared" si="2"/>
        <v>103.56196070764661</v>
      </c>
      <c r="H15" s="3">
        <f t="shared" si="2"/>
        <v>100.13249642687305</v>
      </c>
      <c r="I15" s="3">
        <f t="shared" si="2"/>
        <v>96.732527397745869</v>
      </c>
      <c r="J15" s="3">
        <f t="shared" si="2"/>
        <v>93.36374074865931</v>
      </c>
      <c r="K15" s="3">
        <f t="shared" si="2"/>
        <v>90.027920111751655</v>
      </c>
      <c r="L15" s="3">
        <f t="shared" si="2"/>
        <v>86.726951142919546</v>
      </c>
      <c r="M15" s="3">
        <f t="shared" si="2"/>
        <v>83.462827357576913</v>
      </c>
      <c r="N15" s="3">
        <f t="shared" si="2"/>
        <v>80.237656300219342</v>
      </c>
      <c r="O15" s="3">
        <f t="shared" si="2"/>
        <v>62.484226019665492</v>
      </c>
      <c r="P15" s="3">
        <f t="shared" si="2"/>
        <v>63.288887686827152</v>
      </c>
      <c r="Q15" s="3">
        <f t="shared" si="2"/>
        <v>64.139576001350463</v>
      </c>
      <c r="R15" s="3">
        <f t="shared" si="2"/>
        <v>65.038923687464518</v>
      </c>
      <c r="S15" s="3">
        <f t="shared" si="2"/>
        <v>65.989714061224291</v>
      </c>
      <c r="T15" s="3">
        <f t="shared" si="2"/>
        <v>66.994889644363127</v>
      </c>
      <c r="U15" s="3">
        <f t="shared" si="2"/>
        <v>68.057561270857491</v>
      </c>
      <c r="V15" s="3">
        <f t="shared" si="2"/>
        <v>69.181017714387337</v>
      </c>
      <c r="W15" s="3">
        <f t="shared" si="2"/>
        <v>70.3687358664871</v>
      </c>
      <c r="X15" s="3">
        <f t="shared" si="2"/>
        <v>71.624391496886957</v>
      </c>
      <c r="Y15" s="3">
        <f t="shared" si="2"/>
        <v>72.951870629345692</v>
      </c>
      <c r="Z15" s="3">
        <f t="shared" si="2"/>
        <v>74.355281568181056</v>
      </c>
      <c r="AA15" s="3">
        <f t="shared" si="2"/>
        <v>75.838967612717823</v>
      </c>
      <c r="AB15" s="3"/>
    </row>
    <row r="16" spans="1:28" x14ac:dyDescent="0.3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35">
      <c r="A17" s="1" t="s">
        <v>55</v>
      </c>
      <c r="B17" s="1"/>
      <c r="AB17" s="5"/>
    </row>
    <row r="18" spans="1:28" x14ac:dyDescent="0.35">
      <c r="A18" t="s">
        <v>14</v>
      </c>
      <c r="B18" t="s">
        <v>54</v>
      </c>
      <c r="C18" s="3">
        <f>C10*100000/C$7</f>
        <v>0.42057197788993028</v>
      </c>
      <c r="D18" s="3">
        <f t="shared" ref="D18:AA22" si="3">D10*100000/D$7</f>
        <v>0.44462869502523433</v>
      </c>
      <c r="E18" s="3">
        <f t="shared" si="3"/>
        <v>0.47006145638067776</v>
      </c>
      <c r="F18" s="3">
        <f t="shared" si="3"/>
        <v>0.4969489716856525</v>
      </c>
      <c r="G18" s="3">
        <f t="shared" si="3"/>
        <v>0.52537445286607176</v>
      </c>
      <c r="H18" s="3">
        <f t="shared" si="3"/>
        <v>0.55542587157001111</v>
      </c>
      <c r="I18" s="3">
        <f t="shared" si="3"/>
        <v>0.58719623142381572</v>
      </c>
      <c r="J18" s="3">
        <f t="shared" si="3"/>
        <v>0.62078385586125795</v>
      </c>
      <c r="K18" s="3">
        <f t="shared" si="3"/>
        <v>0.65629269241652188</v>
      </c>
      <c r="L18" s="3">
        <f t="shared" si="3"/>
        <v>0.69383263442274701</v>
      </c>
      <c r="M18" s="3">
        <f t="shared" si="3"/>
        <v>0.73351986111172807</v>
      </c>
      <c r="N18" s="3">
        <f t="shared" si="3"/>
        <v>0.77547719716731889</v>
      </c>
      <c r="O18" s="3">
        <f t="shared" si="3"/>
        <v>0.81983449284528964</v>
      </c>
      <c r="P18" s="3">
        <f t="shared" si="3"/>
        <v>0.86672902583604017</v>
      </c>
      <c r="Q18" s="3">
        <f t="shared" si="3"/>
        <v>0.91630592611386152</v>
      </c>
      <c r="R18" s="3">
        <f t="shared" si="3"/>
        <v>0.96871862508757434</v>
      </c>
      <c r="S18" s="3">
        <f t="shared" si="3"/>
        <v>1.0241293304425836</v>
      </c>
      <c r="T18" s="3">
        <f t="shared" si="3"/>
        <v>1.0827095281438994</v>
      </c>
      <c r="U18" s="3">
        <f t="shared" si="3"/>
        <v>1.1446405131537305</v>
      </c>
      <c r="V18" s="3">
        <f t="shared" si="3"/>
        <v>1.2101139505061238</v>
      </c>
      <c r="W18" s="3">
        <f t="shared" si="3"/>
        <v>1.2793324684750742</v>
      </c>
      <c r="X18" s="3">
        <f t="shared" si="3"/>
        <v>1.3525102856718485</v>
      </c>
      <c r="Y18" s="3">
        <f t="shared" si="3"/>
        <v>1.4298738740122785</v>
      </c>
      <c r="Z18" s="3">
        <f t="shared" si="3"/>
        <v>1.5116626596057807</v>
      </c>
      <c r="AA18" s="3">
        <f t="shared" si="3"/>
        <v>1.5981297637352312</v>
      </c>
      <c r="AB18" s="3"/>
    </row>
    <row r="19" spans="1:28" x14ac:dyDescent="0.35">
      <c r="A19" t="s">
        <v>16</v>
      </c>
      <c r="B19" t="s">
        <v>54</v>
      </c>
      <c r="C19" s="3">
        <f>C11*100000/C$7</f>
        <v>1.8565348473924539</v>
      </c>
      <c r="D19" s="3">
        <f t="shared" si="3"/>
        <v>1.8565348473924539</v>
      </c>
      <c r="E19" s="3">
        <f t="shared" si="3"/>
        <v>1.8565348473924539</v>
      </c>
      <c r="F19" s="3">
        <f t="shared" si="3"/>
        <v>1.8565348473924539</v>
      </c>
      <c r="G19" s="3">
        <f t="shared" si="3"/>
        <v>1.8565348473924539</v>
      </c>
      <c r="H19" s="3">
        <f t="shared" si="3"/>
        <v>1.8565348473924539</v>
      </c>
      <c r="I19" s="3">
        <f t="shared" si="3"/>
        <v>1.8565348473924539</v>
      </c>
      <c r="J19" s="3">
        <f t="shared" si="3"/>
        <v>1.8565348473924539</v>
      </c>
      <c r="K19" s="3">
        <f t="shared" si="3"/>
        <v>1.8565348473924539</v>
      </c>
      <c r="L19" s="3">
        <f t="shared" si="3"/>
        <v>1.8565348473924539</v>
      </c>
      <c r="M19" s="3">
        <f t="shared" si="3"/>
        <v>1.8565348473924539</v>
      </c>
      <c r="N19" s="3">
        <f t="shared" si="3"/>
        <v>1.8565348473924539</v>
      </c>
      <c r="O19" s="3">
        <f t="shared" si="3"/>
        <v>0.49040543138668596</v>
      </c>
      <c r="P19" s="3">
        <f t="shared" si="3"/>
        <v>0.49040543138668596</v>
      </c>
      <c r="Q19" s="3">
        <f t="shared" si="3"/>
        <v>0.49040543138668596</v>
      </c>
      <c r="R19" s="3">
        <f t="shared" si="3"/>
        <v>0.49040543138668596</v>
      </c>
      <c r="S19" s="3">
        <f t="shared" si="3"/>
        <v>0.49040543138668596</v>
      </c>
      <c r="T19" s="3">
        <f t="shared" si="3"/>
        <v>0.49040543138668596</v>
      </c>
      <c r="U19" s="3">
        <f t="shared" si="3"/>
        <v>0.49040543138668596</v>
      </c>
      <c r="V19" s="3">
        <f t="shared" si="3"/>
        <v>0.49040543138668596</v>
      </c>
      <c r="W19" s="3">
        <f t="shared" si="3"/>
        <v>0.49040543138668596</v>
      </c>
      <c r="X19" s="3">
        <f t="shared" si="3"/>
        <v>0.49040543138668596</v>
      </c>
      <c r="Y19" s="3">
        <f t="shared" si="3"/>
        <v>0.49040543138668596</v>
      </c>
      <c r="Z19" s="3">
        <f t="shared" si="3"/>
        <v>0.49040543138668596</v>
      </c>
      <c r="AA19" s="3">
        <f t="shared" si="3"/>
        <v>0.49040543138668596</v>
      </c>
      <c r="AB19" s="3"/>
    </row>
    <row r="20" spans="1:28" x14ac:dyDescent="0.35">
      <c r="A20" t="s">
        <v>17</v>
      </c>
      <c r="B20" t="s">
        <v>54</v>
      </c>
      <c r="C20" s="3">
        <f>C12*100000/C$7</f>
        <v>2.7357130766175315</v>
      </c>
      <c r="D20" s="3">
        <f t="shared" si="3"/>
        <v>2.4986837847806314</v>
      </c>
      <c r="E20" s="3">
        <f t="shared" si="3"/>
        <v>2.2616544929437303</v>
      </c>
      <c r="F20" s="3">
        <f t="shared" si="3"/>
        <v>2.0246252011068293</v>
      </c>
      <c r="G20" s="3">
        <f t="shared" si="3"/>
        <v>1.7875959092699314</v>
      </c>
      <c r="H20" s="3">
        <f t="shared" si="3"/>
        <v>1.5505666174330333</v>
      </c>
      <c r="I20" s="3">
        <f t="shared" si="3"/>
        <v>1.3135373255961353</v>
      </c>
      <c r="J20" s="3">
        <f t="shared" si="3"/>
        <v>1.0765080337592374</v>
      </c>
      <c r="K20" s="3">
        <f t="shared" si="3"/>
        <v>0.83947874192233962</v>
      </c>
      <c r="L20" s="3">
        <f t="shared" si="3"/>
        <v>0.6024494500854416</v>
      </c>
      <c r="M20" s="3">
        <f t="shared" si="3"/>
        <v>0.36542015824854357</v>
      </c>
      <c r="N20" s="3">
        <f t="shared" si="3"/>
        <v>0.12839086641164563</v>
      </c>
      <c r="O20" s="3">
        <f t="shared" si="3"/>
        <v>0</v>
      </c>
      <c r="P20" s="3">
        <f t="shared" si="3"/>
        <v>0</v>
      </c>
      <c r="Q20" s="3">
        <f t="shared" si="3"/>
        <v>0</v>
      </c>
      <c r="R20" s="3">
        <f t="shared" si="3"/>
        <v>0</v>
      </c>
      <c r="S20" s="3">
        <f t="shared" si="3"/>
        <v>0</v>
      </c>
      <c r="T20" s="3">
        <f t="shared" si="3"/>
        <v>0</v>
      </c>
      <c r="U20" s="3">
        <f t="shared" si="3"/>
        <v>0</v>
      </c>
      <c r="V20" s="3">
        <f t="shared" si="3"/>
        <v>0</v>
      </c>
      <c r="W20" s="3">
        <f t="shared" si="3"/>
        <v>0</v>
      </c>
      <c r="X20" s="3">
        <f t="shared" si="3"/>
        <v>0</v>
      </c>
      <c r="Y20" s="3">
        <f t="shared" si="3"/>
        <v>0</v>
      </c>
      <c r="Z20" s="3">
        <f t="shared" si="3"/>
        <v>0</v>
      </c>
      <c r="AA20" s="3">
        <f t="shared" si="3"/>
        <v>0</v>
      </c>
      <c r="AB20" s="3"/>
    </row>
    <row r="21" spans="1:28" x14ac:dyDescent="0.35">
      <c r="A21" t="s">
        <v>18</v>
      </c>
      <c r="B21" t="s">
        <v>54</v>
      </c>
      <c r="C21" s="3">
        <f>C13*100000/C$7</f>
        <v>0.13109341840903632</v>
      </c>
      <c r="D21" s="3">
        <f t="shared" si="3"/>
        <v>0.13950581182408078</v>
      </c>
      <c r="E21" s="3">
        <f t="shared" si="3"/>
        <v>0.1402927014604182</v>
      </c>
      <c r="F21" s="3">
        <f t="shared" si="3"/>
        <v>0.14112460118395409</v>
      </c>
      <c r="G21" s="3">
        <f t="shared" si="3"/>
        <v>0.14200408557167629</v>
      </c>
      <c r="H21" s="3">
        <f t="shared" si="3"/>
        <v>0.14293387646637618</v>
      </c>
      <c r="I21" s="3">
        <f t="shared" si="3"/>
        <v>0.1439168514002529</v>
      </c>
      <c r="J21" s="3">
        <f t="shared" si="3"/>
        <v>0.14495605250034732</v>
      </c>
      <c r="K21" s="3">
        <f t="shared" si="3"/>
        <v>0.1460546959033672</v>
      </c>
      <c r="L21" s="3">
        <f t="shared" si="3"/>
        <v>0.14721618170903983</v>
      </c>
      <c r="M21" s="3">
        <f t="shared" si="3"/>
        <v>0.14844410450279688</v>
      </c>
      <c r="N21" s="3">
        <f t="shared" si="3"/>
        <v>0.14974226448035688</v>
      </c>
      <c r="O21" s="3">
        <f t="shared" si="3"/>
        <v>0.15111467920863325</v>
      </c>
      <c r="P21" s="3">
        <f t="shared" si="3"/>
        <v>0.15256559605936712</v>
      </c>
      <c r="Q21" s="3">
        <f t="shared" si="3"/>
        <v>0.15409950535396288</v>
      </c>
      <c r="R21" s="3">
        <f t="shared" si="3"/>
        <v>0.15572115426020955</v>
      </c>
      <c r="S21" s="3">
        <f t="shared" si="3"/>
        <v>0.15743556148389354</v>
      </c>
      <c r="T21" s="3">
        <f t="shared" si="3"/>
        <v>0.15924803280077229</v>
      </c>
      <c r="U21" s="3">
        <f t="shared" si="3"/>
        <v>0.16116417747697642</v>
      </c>
      <c r="V21" s="3">
        <f t="shared" si="3"/>
        <v>0.16318992562865953</v>
      </c>
      <c r="W21" s="3">
        <f t="shared" si="3"/>
        <v>0.16533154657461882</v>
      </c>
      <c r="X21" s="3">
        <f t="shared" si="3"/>
        <v>0.16759566823868702</v>
      </c>
      <c r="Y21" s="3">
        <f t="shared" si="3"/>
        <v>0.16998929766193996</v>
      </c>
      <c r="Z21" s="3">
        <f t="shared" si="3"/>
        <v>0.17251984268820286</v>
      </c>
      <c r="AA21" s="3">
        <f t="shared" si="3"/>
        <v>0.17519513488996807</v>
      </c>
      <c r="AB21" s="3"/>
    </row>
    <row r="22" spans="1:28" x14ac:dyDescent="0.35">
      <c r="A22" t="s">
        <v>19</v>
      </c>
      <c r="B22" t="s">
        <v>54</v>
      </c>
      <c r="C22" s="3">
        <f>C14*100000/C$7</f>
        <v>1.9106705118961789</v>
      </c>
      <c r="D22" s="3">
        <f t="shared" si="3"/>
        <v>1.9106705118961789</v>
      </c>
      <c r="E22" s="3">
        <f t="shared" si="3"/>
        <v>1.9106705118961789</v>
      </c>
      <c r="F22" s="3">
        <f t="shared" si="3"/>
        <v>1.9106705118961789</v>
      </c>
      <c r="G22" s="3">
        <f t="shared" si="3"/>
        <v>1.9106705118961789</v>
      </c>
      <c r="H22" s="3">
        <f t="shared" si="3"/>
        <v>1.9106705118961789</v>
      </c>
      <c r="I22" s="3">
        <f t="shared" si="3"/>
        <v>1.9106705118961789</v>
      </c>
      <c r="J22" s="3">
        <f t="shared" si="3"/>
        <v>1.9106705118961789</v>
      </c>
      <c r="K22" s="3">
        <f t="shared" si="3"/>
        <v>1.9106705118961789</v>
      </c>
      <c r="L22" s="3">
        <f t="shared" si="3"/>
        <v>1.9106705118961789</v>
      </c>
      <c r="M22" s="3">
        <f t="shared" si="3"/>
        <v>1.9106705118961789</v>
      </c>
      <c r="N22" s="3">
        <f t="shared" si="3"/>
        <v>1.9106705118961789</v>
      </c>
      <c r="O22" s="3">
        <f t="shared" si="3"/>
        <v>2.2928046142754144</v>
      </c>
      <c r="P22" s="3">
        <f t="shared" si="3"/>
        <v>2.2928046142754144</v>
      </c>
      <c r="Q22" s="3">
        <f t="shared" si="3"/>
        <v>2.2928046142754144</v>
      </c>
      <c r="R22" s="3">
        <f t="shared" si="3"/>
        <v>2.2928046142754144</v>
      </c>
      <c r="S22" s="3">
        <f t="shared" si="3"/>
        <v>2.2928046142754144</v>
      </c>
      <c r="T22" s="3">
        <f t="shared" si="3"/>
        <v>2.2928046142754144</v>
      </c>
      <c r="U22" s="3">
        <f t="shared" si="3"/>
        <v>2.2928046142754144</v>
      </c>
      <c r="V22" s="3">
        <f t="shared" si="3"/>
        <v>2.2928046142754144</v>
      </c>
      <c r="W22" s="3">
        <f t="shared" si="3"/>
        <v>2.2928046142754144</v>
      </c>
      <c r="X22" s="3">
        <f t="shared" si="3"/>
        <v>2.2928046142754144</v>
      </c>
      <c r="Y22" s="3">
        <f t="shared" si="3"/>
        <v>2.2928046142754144</v>
      </c>
      <c r="Z22" s="3">
        <f t="shared" si="3"/>
        <v>2.2928046142754144</v>
      </c>
      <c r="AA22" s="3">
        <f t="shared" si="3"/>
        <v>2.2928046142754144</v>
      </c>
      <c r="AB22" s="3"/>
    </row>
    <row r="23" spans="1:28" x14ac:dyDescent="0.35">
      <c r="A23" t="s">
        <v>56</v>
      </c>
      <c r="B23" t="s">
        <v>54</v>
      </c>
      <c r="C23" s="3">
        <f t="shared" ref="C23:AA23" si="4">C15*100000/C$7</f>
        <v>7.0545838322051306</v>
      </c>
      <c r="D23" s="3">
        <f t="shared" si="4"/>
        <v>6.8500236509185788</v>
      </c>
      <c r="E23" s="3">
        <f t="shared" si="4"/>
        <v>6.6392140100734593</v>
      </c>
      <c r="F23" s="3">
        <f t="shared" si="4"/>
        <v>6.4299041332650688</v>
      </c>
      <c r="G23" s="3">
        <f t="shared" si="4"/>
        <v>6.2221798069963112</v>
      </c>
      <c r="H23" s="3">
        <f t="shared" si="4"/>
        <v>6.0161317247580532</v>
      </c>
      <c r="I23" s="3">
        <f t="shared" si="4"/>
        <v>5.8118557677088356</v>
      </c>
      <c r="J23" s="3">
        <f t="shared" si="4"/>
        <v>5.6094533014094763</v>
      </c>
      <c r="K23" s="3">
        <f t="shared" si="4"/>
        <v>5.4090314895308609</v>
      </c>
      <c r="L23" s="3">
        <f t="shared" si="4"/>
        <v>5.210703625505861</v>
      </c>
      <c r="M23" s="3">
        <f t="shared" si="4"/>
        <v>5.0145894831517008</v>
      </c>
      <c r="N23" s="3">
        <f t="shared" si="4"/>
        <v>4.8208156873479542</v>
      </c>
      <c r="O23" s="3">
        <f t="shared" si="4"/>
        <v>3.7541592177160235</v>
      </c>
      <c r="P23" s="3">
        <f t="shared" si="4"/>
        <v>3.8025046675575074</v>
      </c>
      <c r="Q23" s="3">
        <f t="shared" si="4"/>
        <v>3.8536154771299245</v>
      </c>
      <c r="R23" s="3">
        <f t="shared" si="4"/>
        <v>3.9076498250098846</v>
      </c>
      <c r="S23" s="3">
        <f t="shared" si="4"/>
        <v>3.9647749375885781</v>
      </c>
      <c r="T23" s="3">
        <f t="shared" si="4"/>
        <v>4.0251676066067734</v>
      </c>
      <c r="U23" s="3">
        <f t="shared" si="4"/>
        <v>4.0890147362928078</v>
      </c>
      <c r="V23" s="3">
        <f t="shared" si="4"/>
        <v>4.1565139217968836</v>
      </c>
      <c r="W23" s="3">
        <f t="shared" si="4"/>
        <v>4.2278740607117937</v>
      </c>
      <c r="X23" s="3">
        <f t="shared" si="4"/>
        <v>4.3033159995726358</v>
      </c>
      <c r="Y23" s="3">
        <f t="shared" si="4"/>
        <v>4.3830732173363192</v>
      </c>
      <c r="Z23" s="3">
        <f t="shared" si="4"/>
        <v>4.4673925479560834</v>
      </c>
      <c r="AA23" s="3">
        <f t="shared" si="4"/>
        <v>4.5565349442873</v>
      </c>
      <c r="AB23" s="3"/>
    </row>
    <row r="24" spans="1:28" x14ac:dyDescent="0.35">
      <c r="AB24" s="3"/>
    </row>
    <row r="25" spans="1:28" s="2" customFormat="1" x14ac:dyDescent="0.35">
      <c r="A25" s="2" t="s">
        <v>70</v>
      </c>
      <c r="AB25" s="5"/>
    </row>
    <row r="26" spans="1:28" x14ac:dyDescent="0.35">
      <c r="A26" t="s">
        <v>57</v>
      </c>
      <c r="C26" s="3">
        <f>1/(1+Assumptions!$F$22/100)^Calculations!C1</f>
        <v>0.90334236675700097</v>
      </c>
      <c r="D26" s="3">
        <f>1/(1+Assumptions!$F$22/100)^Calculations!D1</f>
        <v>0.81602743157813995</v>
      </c>
      <c r="E26" s="3">
        <f>1/(1+Assumptions!$F$22/100)^Calculations!E1</f>
        <v>0.73715215138043355</v>
      </c>
      <c r="F26" s="3">
        <f>1/(1+Assumptions!$F$22/100)^Calculations!F1</f>
        <v>0.66590076908801588</v>
      </c>
      <c r="G26" s="3">
        <f>1/(1+Assumptions!$F$22/100)^Calculations!G1</f>
        <v>0.60153637677327532</v>
      </c>
      <c r="H26" s="3">
        <f>1/(1+Assumptions!$F$22/100)^Calculations!H1</f>
        <v>0.54339329428480154</v>
      </c>
      <c r="I26" s="3">
        <f>1/(1+Assumptions!$F$22/100)^Calculations!I1</f>
        <v>0.49087018453911618</v>
      </c>
      <c r="J26" s="3">
        <f>1/(1+Assumptions!$F$22/100)^Calculations!J1</f>
        <v>0.44342383427201099</v>
      </c>
      <c r="K26" s="3">
        <f>1/(1+Assumptions!$F$22/100)^Calculations!K1</f>
        <v>0.40056353592774258</v>
      </c>
      <c r="L26" s="3">
        <f>1/(1+Assumptions!$F$22/100)^Calculations!L1</f>
        <v>0.36184601258151988</v>
      </c>
      <c r="M26" s="3">
        <f>1/(1+Assumptions!$F$22/100)^Calculations!M1</f>
        <v>0.32687083340697376</v>
      </c>
      <c r="N26" s="3">
        <f>1/(1+Assumptions!$F$22/100)^Calculations!N1</f>
        <v>0.29527627227368902</v>
      </c>
      <c r="O26" s="3">
        <f>1/(1+Assumptions!$F$22/100)^Calculations!O1</f>
        <v>0.26673556664289882</v>
      </c>
      <c r="P26" s="3">
        <f>1/(1+Assumptions!$F$22/100)^Calculations!P1</f>
        <v>0.24095353806946596</v>
      </c>
      <c r="Q26" s="3">
        <f>1/(1+Assumptions!$F$22/100)^Calculations!Q1</f>
        <v>0.2176635393581445</v>
      </c>
      <c r="R26" s="3">
        <f>1/(1+Assumptions!$F$22/100)^Calculations!R1</f>
        <v>0.19662469680049188</v>
      </c>
      <c r="S26" s="3">
        <f>1/(1+Assumptions!$F$22/100)^Calculations!S1</f>
        <v>0.17761941897063405</v>
      </c>
      <c r="T26" s="3">
        <f>1/(1+Assumptions!$F$22/100)^Calculations!T1</f>
        <v>0.1604511463149359</v>
      </c>
      <c r="U26" s="3">
        <f>1/(1+Assumptions!$F$22/100)^Calculations!U1</f>
        <v>0.14494231826100806</v>
      </c>
      <c r="V26" s="3">
        <f>1/(1+Assumptions!$F$22/100)^Calculations!V1</f>
        <v>0.13093253682114547</v>
      </c>
      <c r="W26" s="3">
        <f>1/(1+Assumptions!$F$22/100)^Calculations!W1</f>
        <v>0.11827690769751172</v>
      </c>
      <c r="X26" s="3">
        <f>1/(1+Assumptions!$F$22/100)^Calculations!X1</f>
        <v>0.10684454173216958</v>
      </c>
      <c r="Y26" s="3">
        <f>1/(1+Assumptions!$F$22/100)^Calculations!Y1</f>
        <v>9.651720120340522E-2</v>
      </c>
      <c r="Z26" s="3">
        <f>1/(1+Assumptions!$F$22/100)^Calculations!Z1</f>
        <v>8.7188076967845723E-2</v>
      </c>
      <c r="AA26" s="3">
        <f>1/(1+Assumptions!$F$22/100)^Calculations!AA1</f>
        <v>7.8760683801125317E-2</v>
      </c>
    </row>
    <row r="27" spans="1:28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M46"/>
  <sheetViews>
    <sheetView workbookViewId="0">
      <selection activeCell="E37" sqref="E37"/>
    </sheetView>
  </sheetViews>
  <sheetFormatPr defaultRowHeight="14.5" x14ac:dyDescent="0.35"/>
  <sheetData>
    <row r="1" spans="1:13" x14ac:dyDescent="0.35">
      <c r="B1" s="9" t="s">
        <v>3</v>
      </c>
    </row>
    <row r="2" spans="1:13" s="2" customFormat="1" x14ac:dyDescent="0.35">
      <c r="A2" s="2" t="s">
        <v>58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5">
      <c r="A3">
        <v>1</v>
      </c>
      <c r="B3">
        <f>Assumptions!F14</f>
        <v>371.01399999999995</v>
      </c>
      <c r="C3">
        <f>B14-$B$3/(12*12)</f>
        <v>340.09616666666631</v>
      </c>
      <c r="D3">
        <f t="shared" ref="D3:M3" si="0">C14-$B$3/(12*12)</f>
        <v>309.17833333333266</v>
      </c>
      <c r="E3">
        <f t="shared" si="0"/>
        <v>278.26049999999901</v>
      </c>
      <c r="F3">
        <f t="shared" si="0"/>
        <v>247.34266666666548</v>
      </c>
      <c r="G3">
        <f t="shared" si="0"/>
        <v>216.42483333333217</v>
      </c>
      <c r="H3">
        <f t="shared" si="0"/>
        <v>185.50699999999887</v>
      </c>
      <c r="I3">
        <f t="shared" si="0"/>
        <v>154.58916666666556</v>
      </c>
      <c r="J3">
        <f t="shared" si="0"/>
        <v>123.67133333333226</v>
      </c>
      <c r="K3">
        <f t="shared" si="0"/>
        <v>92.753499999998951</v>
      </c>
      <c r="L3">
        <f t="shared" si="0"/>
        <v>61.835666666665645</v>
      </c>
      <c r="M3">
        <f t="shared" si="0"/>
        <v>30.917833333332339</v>
      </c>
    </row>
    <row r="4" spans="1:13" x14ac:dyDescent="0.35">
      <c r="A4">
        <v>2</v>
      </c>
      <c r="B4">
        <f>B3-$B$3/(12*12)</f>
        <v>368.43751388888882</v>
      </c>
      <c r="C4">
        <f t="shared" ref="C4:M14" si="1">C3-$B$3/(12*12)</f>
        <v>337.51968055555517</v>
      </c>
      <c r="D4">
        <f t="shared" si="1"/>
        <v>306.60184722222152</v>
      </c>
      <c r="E4">
        <f t="shared" si="1"/>
        <v>275.68401388888788</v>
      </c>
      <c r="F4">
        <f t="shared" si="1"/>
        <v>244.76618055555437</v>
      </c>
      <c r="G4">
        <f t="shared" si="1"/>
        <v>213.84834722222107</v>
      </c>
      <c r="H4">
        <f t="shared" si="1"/>
        <v>182.93051388888776</v>
      </c>
      <c r="I4">
        <f t="shared" si="1"/>
        <v>152.01268055555445</v>
      </c>
      <c r="J4">
        <f t="shared" si="1"/>
        <v>121.09484722222115</v>
      </c>
      <c r="K4">
        <f t="shared" si="1"/>
        <v>90.177013888887842</v>
      </c>
      <c r="L4">
        <f t="shared" si="1"/>
        <v>59.259180555554536</v>
      </c>
      <c r="M4">
        <f t="shared" si="1"/>
        <v>28.341347222221231</v>
      </c>
    </row>
    <row r="5" spans="1:13" x14ac:dyDescent="0.35">
      <c r="A5">
        <v>3</v>
      </c>
      <c r="B5">
        <f>B4-$B$3/(12*12)</f>
        <v>365.86102777777768</v>
      </c>
      <c r="C5">
        <f t="shared" si="1"/>
        <v>334.94319444444403</v>
      </c>
      <c r="D5">
        <f t="shared" si="1"/>
        <v>304.02536111111039</v>
      </c>
      <c r="E5">
        <f t="shared" si="1"/>
        <v>273.10752777777674</v>
      </c>
      <c r="F5">
        <f t="shared" si="1"/>
        <v>242.18969444444326</v>
      </c>
      <c r="G5">
        <f t="shared" si="1"/>
        <v>211.27186111110996</v>
      </c>
      <c r="H5">
        <f t="shared" si="1"/>
        <v>180.35402777777665</v>
      </c>
      <c r="I5">
        <f t="shared" si="1"/>
        <v>149.43619444444334</v>
      </c>
      <c r="J5">
        <f t="shared" si="1"/>
        <v>118.51836111111004</v>
      </c>
      <c r="K5">
        <f t="shared" si="1"/>
        <v>87.600527777776733</v>
      </c>
      <c r="L5">
        <f t="shared" si="1"/>
        <v>56.682694444443428</v>
      </c>
      <c r="M5">
        <f t="shared" si="1"/>
        <v>25.764861111110122</v>
      </c>
    </row>
    <row r="6" spans="1:13" x14ac:dyDescent="0.35">
      <c r="A6">
        <v>4</v>
      </c>
      <c r="B6">
        <f>B5-$B$3/(12*12)</f>
        <v>363.28454166666654</v>
      </c>
      <c r="C6">
        <f t="shared" si="1"/>
        <v>332.36670833333289</v>
      </c>
      <c r="D6">
        <f t="shared" si="1"/>
        <v>301.44887499999925</v>
      </c>
      <c r="E6">
        <f t="shared" si="1"/>
        <v>270.5310416666656</v>
      </c>
      <c r="F6">
        <f t="shared" si="1"/>
        <v>239.61320833333215</v>
      </c>
      <c r="G6">
        <f t="shared" si="1"/>
        <v>208.69537499999885</v>
      </c>
      <c r="H6">
        <f t="shared" si="1"/>
        <v>177.77754166666554</v>
      </c>
      <c r="I6">
        <f t="shared" si="1"/>
        <v>146.85970833333224</v>
      </c>
      <c r="J6">
        <f t="shared" si="1"/>
        <v>115.94187499999893</v>
      </c>
      <c r="K6">
        <f t="shared" si="1"/>
        <v>85.024041666665624</v>
      </c>
      <c r="L6">
        <f t="shared" si="1"/>
        <v>54.106208333332319</v>
      </c>
      <c r="M6">
        <f t="shared" si="1"/>
        <v>23.188374999999013</v>
      </c>
    </row>
    <row r="7" spans="1:13" x14ac:dyDescent="0.35">
      <c r="A7">
        <v>5</v>
      </c>
      <c r="B7">
        <f t="shared" ref="B7:B14" si="2">B6-$B$3/(12*12)</f>
        <v>360.7080555555554</v>
      </c>
      <c r="C7">
        <f t="shared" si="1"/>
        <v>329.79022222222176</v>
      </c>
      <c r="D7">
        <f t="shared" si="1"/>
        <v>298.87238888888811</v>
      </c>
      <c r="E7">
        <f t="shared" si="1"/>
        <v>267.95455555555446</v>
      </c>
      <c r="F7">
        <f t="shared" si="1"/>
        <v>237.03672222222104</v>
      </c>
      <c r="G7">
        <f t="shared" si="1"/>
        <v>206.11888888888774</v>
      </c>
      <c r="H7">
        <f t="shared" si="1"/>
        <v>175.20105555555443</v>
      </c>
      <c r="I7">
        <f t="shared" si="1"/>
        <v>144.28322222222113</v>
      </c>
      <c r="J7">
        <f t="shared" si="1"/>
        <v>113.36538888888782</v>
      </c>
      <c r="K7">
        <f t="shared" si="1"/>
        <v>82.447555555554516</v>
      </c>
      <c r="L7">
        <f t="shared" si="1"/>
        <v>51.52972222222121</v>
      </c>
      <c r="M7">
        <f t="shared" si="1"/>
        <v>20.611888888887904</v>
      </c>
    </row>
    <row r="8" spans="1:13" x14ac:dyDescent="0.35">
      <c r="A8">
        <v>6</v>
      </c>
      <c r="B8">
        <f t="shared" si="2"/>
        <v>358.13156944444427</v>
      </c>
      <c r="C8">
        <f t="shared" si="1"/>
        <v>327.21373611111062</v>
      </c>
      <c r="D8">
        <f t="shared" si="1"/>
        <v>296.29590277777697</v>
      </c>
      <c r="E8">
        <f t="shared" si="1"/>
        <v>265.37806944444333</v>
      </c>
      <c r="F8">
        <f t="shared" si="1"/>
        <v>234.46023611110994</v>
      </c>
      <c r="G8">
        <f t="shared" si="1"/>
        <v>203.54240277777663</v>
      </c>
      <c r="H8">
        <f t="shared" si="1"/>
        <v>172.62456944444332</v>
      </c>
      <c r="I8">
        <f t="shared" si="1"/>
        <v>141.70673611111002</v>
      </c>
      <c r="J8">
        <f t="shared" si="1"/>
        <v>110.78890277777671</v>
      </c>
      <c r="K8">
        <f t="shared" si="1"/>
        <v>79.871069444443407</v>
      </c>
      <c r="L8">
        <f t="shared" si="1"/>
        <v>48.953236111110101</v>
      </c>
      <c r="M8">
        <f t="shared" si="1"/>
        <v>18.035402777776795</v>
      </c>
    </row>
    <row r="9" spans="1:13" x14ac:dyDescent="0.35">
      <c r="A9">
        <v>7</v>
      </c>
      <c r="B9">
        <f t="shared" si="2"/>
        <v>355.55508333333313</v>
      </c>
      <c r="C9">
        <f t="shared" si="1"/>
        <v>324.63724999999948</v>
      </c>
      <c r="D9">
        <f t="shared" si="1"/>
        <v>293.71941666666584</v>
      </c>
      <c r="E9">
        <f t="shared" si="1"/>
        <v>262.80158333333219</v>
      </c>
      <c r="F9">
        <f t="shared" si="1"/>
        <v>231.88374999999883</v>
      </c>
      <c r="G9">
        <f t="shared" si="1"/>
        <v>200.96591666666552</v>
      </c>
      <c r="H9">
        <f t="shared" si="1"/>
        <v>170.04808333333222</v>
      </c>
      <c r="I9">
        <f t="shared" si="1"/>
        <v>139.13024999999891</v>
      </c>
      <c r="J9">
        <f t="shared" si="1"/>
        <v>108.2124166666656</v>
      </c>
      <c r="K9">
        <f t="shared" si="1"/>
        <v>77.294583333332298</v>
      </c>
      <c r="L9">
        <f t="shared" si="1"/>
        <v>46.376749999998992</v>
      </c>
      <c r="M9">
        <f t="shared" si="1"/>
        <v>15.458916666665685</v>
      </c>
    </row>
    <row r="10" spans="1:13" x14ac:dyDescent="0.35">
      <c r="A10">
        <v>8</v>
      </c>
      <c r="B10">
        <f t="shared" si="2"/>
        <v>352.97859722222199</v>
      </c>
      <c r="C10">
        <f t="shared" si="1"/>
        <v>322.06076388888835</v>
      </c>
      <c r="D10">
        <f t="shared" si="1"/>
        <v>291.1429305555547</v>
      </c>
      <c r="E10">
        <f t="shared" si="1"/>
        <v>260.22509722222105</v>
      </c>
      <c r="F10">
        <f t="shared" si="1"/>
        <v>229.30726388888772</v>
      </c>
      <c r="G10">
        <f t="shared" si="1"/>
        <v>198.38943055555441</v>
      </c>
      <c r="H10">
        <f t="shared" si="1"/>
        <v>167.47159722222111</v>
      </c>
      <c r="I10">
        <f t="shared" si="1"/>
        <v>136.5537638888878</v>
      </c>
      <c r="J10">
        <f t="shared" si="1"/>
        <v>105.63593055555449</v>
      </c>
      <c r="K10">
        <f t="shared" si="1"/>
        <v>74.718097222221189</v>
      </c>
      <c r="L10">
        <f t="shared" si="1"/>
        <v>43.800263888887883</v>
      </c>
      <c r="M10">
        <f t="shared" si="1"/>
        <v>12.882430555554574</v>
      </c>
    </row>
    <row r="11" spans="1:13" x14ac:dyDescent="0.35">
      <c r="A11">
        <v>9</v>
      </c>
      <c r="B11">
        <f>B10-$B$3/(12*12)</f>
        <v>350.40211111111086</v>
      </c>
      <c r="C11">
        <f t="shared" si="1"/>
        <v>319.48427777777721</v>
      </c>
      <c r="D11">
        <f t="shared" si="1"/>
        <v>288.56644444444356</v>
      </c>
      <c r="E11">
        <f t="shared" si="1"/>
        <v>257.64861111110991</v>
      </c>
      <c r="F11">
        <f t="shared" si="1"/>
        <v>226.73077777777661</v>
      </c>
      <c r="G11">
        <f t="shared" si="1"/>
        <v>195.8129444444433</v>
      </c>
      <c r="H11">
        <f t="shared" si="1"/>
        <v>164.89511111111</v>
      </c>
      <c r="I11">
        <f t="shared" si="1"/>
        <v>133.97727777777669</v>
      </c>
      <c r="J11">
        <f t="shared" si="1"/>
        <v>103.05944444444339</v>
      </c>
      <c r="K11">
        <f t="shared" si="1"/>
        <v>72.14161111111008</v>
      </c>
      <c r="L11">
        <f t="shared" si="1"/>
        <v>41.223777777776775</v>
      </c>
      <c r="M11">
        <f t="shared" si="1"/>
        <v>10.305944444443464</v>
      </c>
    </row>
    <row r="12" spans="1:13" x14ac:dyDescent="0.35">
      <c r="A12">
        <v>10</v>
      </c>
      <c r="B12">
        <f t="shared" si="2"/>
        <v>347.82562499999972</v>
      </c>
      <c r="C12">
        <f t="shared" si="1"/>
        <v>316.90779166666607</v>
      </c>
      <c r="D12">
        <f t="shared" si="1"/>
        <v>285.98995833333242</v>
      </c>
      <c r="E12">
        <f t="shared" si="1"/>
        <v>255.07212499999881</v>
      </c>
      <c r="F12">
        <f t="shared" si="1"/>
        <v>224.1542916666655</v>
      </c>
      <c r="G12">
        <f t="shared" si="1"/>
        <v>193.23645833333219</v>
      </c>
      <c r="H12">
        <f t="shared" si="1"/>
        <v>162.31862499999889</v>
      </c>
      <c r="I12">
        <f t="shared" si="1"/>
        <v>131.40079166666558</v>
      </c>
      <c r="J12">
        <f t="shared" si="1"/>
        <v>100.48295833333228</v>
      </c>
      <c r="K12">
        <f t="shared" si="1"/>
        <v>69.565124999998972</v>
      </c>
      <c r="L12">
        <f t="shared" si="1"/>
        <v>38.647291666665666</v>
      </c>
      <c r="M12">
        <f t="shared" si="1"/>
        <v>7.729458333332353</v>
      </c>
    </row>
    <row r="13" spans="1:13" x14ac:dyDescent="0.35">
      <c r="A13">
        <v>11</v>
      </c>
      <c r="B13">
        <f t="shared" si="2"/>
        <v>345.24913888888858</v>
      </c>
      <c r="C13">
        <f t="shared" si="1"/>
        <v>314.33130555555493</v>
      </c>
      <c r="D13">
        <f t="shared" si="1"/>
        <v>283.41347222222129</v>
      </c>
      <c r="E13">
        <f t="shared" si="1"/>
        <v>252.4956388888877</v>
      </c>
      <c r="F13">
        <f t="shared" si="1"/>
        <v>221.57780555555439</v>
      </c>
      <c r="G13">
        <f t="shared" si="1"/>
        <v>190.65997222222109</v>
      </c>
      <c r="H13">
        <f t="shared" si="1"/>
        <v>159.74213888888778</v>
      </c>
      <c r="I13">
        <f t="shared" si="1"/>
        <v>128.82430555555447</v>
      </c>
      <c r="J13">
        <f t="shared" si="1"/>
        <v>97.906472222221169</v>
      </c>
      <c r="K13">
        <f t="shared" si="1"/>
        <v>66.988638888887863</v>
      </c>
      <c r="L13">
        <f t="shared" si="1"/>
        <v>36.070805555554557</v>
      </c>
      <c r="M13">
        <f t="shared" si="1"/>
        <v>5.1529722222212424</v>
      </c>
    </row>
    <row r="14" spans="1:13" x14ac:dyDescent="0.35">
      <c r="A14">
        <v>12</v>
      </c>
      <c r="B14">
        <f t="shared" si="2"/>
        <v>342.67265277777744</v>
      </c>
      <c r="C14">
        <f t="shared" si="1"/>
        <v>311.7548194444438</v>
      </c>
      <c r="D14">
        <f t="shared" si="1"/>
        <v>280.83698611111015</v>
      </c>
      <c r="E14">
        <f t="shared" si="1"/>
        <v>249.91915277777659</v>
      </c>
      <c r="F14">
        <f t="shared" si="1"/>
        <v>219.00131944444328</v>
      </c>
      <c r="G14">
        <f t="shared" si="1"/>
        <v>188.08348611110998</v>
      </c>
      <c r="H14">
        <f t="shared" si="1"/>
        <v>157.16565277777667</v>
      </c>
      <c r="I14">
        <f t="shared" si="1"/>
        <v>126.24781944444337</v>
      </c>
      <c r="J14">
        <f t="shared" si="1"/>
        <v>95.32998611111006</v>
      </c>
      <c r="K14">
        <f t="shared" si="1"/>
        <v>64.412152777776754</v>
      </c>
      <c r="L14">
        <f t="shared" si="1"/>
        <v>33.494319444443448</v>
      </c>
      <c r="M14">
        <f t="shared" si="1"/>
        <v>2.5764861111101318</v>
      </c>
    </row>
    <row r="16" spans="1:13" x14ac:dyDescent="0.35">
      <c r="B16" s="9" t="s">
        <v>59</v>
      </c>
    </row>
    <row r="17" spans="1:13" x14ac:dyDescent="0.35">
      <c r="A17">
        <v>1</v>
      </c>
      <c r="B17">
        <f>B3*(Assumptions!$F$17/(100*12))</f>
        <v>3.945115533333333</v>
      </c>
      <c r="C17">
        <f>C3*(Assumptions!$F$17/(100*12))</f>
        <v>3.6163559055555519</v>
      </c>
      <c r="D17">
        <f>D3*(Assumptions!$F$17/(100*12))</f>
        <v>3.2875962777777707</v>
      </c>
      <c r="E17">
        <f>E3*(Assumptions!$F$17/(100*12))</f>
        <v>2.9588366499999896</v>
      </c>
      <c r="F17">
        <f>F3*(Assumptions!$F$17/(100*12))</f>
        <v>2.6300770222222094</v>
      </c>
      <c r="G17">
        <f>G3*(Assumptions!$F$17/(100*12))</f>
        <v>2.3013173944444323</v>
      </c>
      <c r="H17">
        <f>H3*(Assumptions!$F$17/(100*12))</f>
        <v>1.9725577666666545</v>
      </c>
      <c r="I17">
        <f>I3*(Assumptions!$F$17/(100*12))</f>
        <v>1.6437981388888772</v>
      </c>
      <c r="J17">
        <f>J3*(Assumptions!$F$17/(100*12))</f>
        <v>1.3150385111110996</v>
      </c>
      <c r="K17">
        <f>K3*(Assumptions!$F$17/(100*12))</f>
        <v>0.98627888333332214</v>
      </c>
      <c r="L17">
        <f>L3*(Assumptions!$F$17/(100*12))</f>
        <v>0.65751925555554469</v>
      </c>
      <c r="M17">
        <f>M3*(Assumptions!$F$17/(100*12))</f>
        <v>0.32875962777776718</v>
      </c>
    </row>
    <row r="18" spans="1:13" x14ac:dyDescent="0.35">
      <c r="A18">
        <v>2</v>
      </c>
      <c r="B18">
        <f>B4*(Assumptions!$F$17/(100*12))</f>
        <v>3.9177188976851842</v>
      </c>
      <c r="C18">
        <f>C4*(Assumptions!$F$17/(100*12))</f>
        <v>3.5889592699074031</v>
      </c>
      <c r="D18">
        <f>D4*(Assumptions!$F$17/(100*12))</f>
        <v>3.260199642129622</v>
      </c>
      <c r="E18">
        <f>E4*(Assumptions!$F$17/(100*12))</f>
        <v>2.9314400143518409</v>
      </c>
      <c r="F18">
        <f>F4*(Assumptions!$F$17/(100*12))</f>
        <v>2.6026803865740615</v>
      </c>
      <c r="G18">
        <f>G4*(Assumptions!$F$17/(100*12))</f>
        <v>2.273920758796284</v>
      </c>
      <c r="H18">
        <f>H4*(Assumptions!$F$17/(100*12))</f>
        <v>1.9451611310185064</v>
      </c>
      <c r="I18">
        <f>I4*(Assumptions!$F$17/(100*12))</f>
        <v>1.6164015032407291</v>
      </c>
      <c r="J18">
        <f>J4*(Assumptions!$F$17/(100*12))</f>
        <v>1.2876418754629515</v>
      </c>
      <c r="K18">
        <f>K4*(Assumptions!$F$17/(100*12))</f>
        <v>0.95888224768517405</v>
      </c>
      <c r="L18">
        <f>L4*(Assumptions!$F$17/(100*12))</f>
        <v>0.6301226199073966</v>
      </c>
      <c r="M18">
        <f>M4*(Assumptions!$F$17/(100*12))</f>
        <v>0.30136299212961909</v>
      </c>
    </row>
    <row r="19" spans="1:13" x14ac:dyDescent="0.35">
      <c r="A19">
        <v>3</v>
      </c>
      <c r="B19">
        <f>B5*(Assumptions!$F$17/(100*12))</f>
        <v>3.8903222620370359</v>
      </c>
      <c r="C19">
        <f>C5*(Assumptions!$F$17/(100*12))</f>
        <v>3.5615626342592548</v>
      </c>
      <c r="D19">
        <f>D5*(Assumptions!$F$17/(100*12))</f>
        <v>3.2328030064814737</v>
      </c>
      <c r="E19">
        <f>E5*(Assumptions!$F$17/(100*12))</f>
        <v>2.9040433787036926</v>
      </c>
      <c r="F19">
        <f>F5*(Assumptions!$F$17/(100*12))</f>
        <v>2.5752837509259132</v>
      </c>
      <c r="G19">
        <f>G5*(Assumptions!$F$17/(100*12))</f>
        <v>2.2465241231481357</v>
      </c>
      <c r="H19">
        <f>H5*(Assumptions!$F$17/(100*12))</f>
        <v>1.9177644953703583</v>
      </c>
      <c r="I19">
        <f>I5*(Assumptions!$F$17/(100*12))</f>
        <v>1.589004867592581</v>
      </c>
      <c r="J19">
        <f>J5*(Assumptions!$F$17/(100*12))</f>
        <v>1.2602452398148034</v>
      </c>
      <c r="K19">
        <f>K5*(Assumptions!$F$17/(100*12))</f>
        <v>0.93148561203702596</v>
      </c>
      <c r="L19">
        <f>L5*(Assumptions!$F$17/(100*12))</f>
        <v>0.60272598425924839</v>
      </c>
      <c r="M19">
        <f>M5*(Assumptions!$F$17/(100*12))</f>
        <v>0.27396635648147094</v>
      </c>
    </row>
    <row r="20" spans="1:13" x14ac:dyDescent="0.35">
      <c r="A20">
        <v>4</v>
      </c>
      <c r="B20">
        <f>B6*(Assumptions!$F$17/(100*12))</f>
        <v>3.8629256263888876</v>
      </c>
      <c r="C20">
        <f>C6*(Assumptions!$F$17/(100*12))</f>
        <v>3.5341659986111065</v>
      </c>
      <c r="D20">
        <f>D6*(Assumptions!$F$17/(100*12))</f>
        <v>3.2054063708333254</v>
      </c>
      <c r="E20">
        <f>E6*(Assumptions!$F$17/(100*12))</f>
        <v>2.8766467430555442</v>
      </c>
      <c r="F20">
        <f>F6*(Assumptions!$F$17/(100*12))</f>
        <v>2.5478871152777653</v>
      </c>
      <c r="G20">
        <f>G6*(Assumptions!$F$17/(100*12))</f>
        <v>2.2191274874999878</v>
      </c>
      <c r="H20">
        <f>H6*(Assumptions!$F$17/(100*12))</f>
        <v>1.8903678597222102</v>
      </c>
      <c r="I20">
        <f>I6*(Assumptions!$F$17/(100*12))</f>
        <v>1.5616082319444327</v>
      </c>
      <c r="J20">
        <f>J6*(Assumptions!$F$17/(100*12))</f>
        <v>1.2328486041666553</v>
      </c>
      <c r="K20">
        <f>K6*(Assumptions!$F$17/(100*12))</f>
        <v>0.90408897638887775</v>
      </c>
      <c r="L20">
        <f>L6*(Assumptions!$F$17/(100*12))</f>
        <v>0.5753293486111003</v>
      </c>
      <c r="M20">
        <f>M6*(Assumptions!$F$17/(100*12))</f>
        <v>0.24656972083332285</v>
      </c>
    </row>
    <row r="21" spans="1:13" x14ac:dyDescent="0.35">
      <c r="A21">
        <v>5</v>
      </c>
      <c r="B21">
        <f>B7*(Assumptions!$F$17/(100*12))</f>
        <v>3.8355289907407393</v>
      </c>
      <c r="C21">
        <f>C7*(Assumptions!$F$17/(100*12))</f>
        <v>3.5067693629629582</v>
      </c>
      <c r="D21">
        <f>D7*(Assumptions!$F$17/(100*12))</f>
        <v>3.178009735185177</v>
      </c>
      <c r="E21">
        <f>E7*(Assumptions!$F$17/(100*12))</f>
        <v>2.8492501074073959</v>
      </c>
      <c r="F21">
        <f>F7*(Assumptions!$F$17/(100*12))</f>
        <v>2.520490479629617</v>
      </c>
      <c r="G21">
        <f>G7*(Assumptions!$F$17/(100*12))</f>
        <v>2.1917308518518395</v>
      </c>
      <c r="H21">
        <f>H7*(Assumptions!$F$17/(100*12))</f>
        <v>1.8629712240740621</v>
      </c>
      <c r="I21">
        <f>I7*(Assumptions!$F$17/(100*12))</f>
        <v>1.5342115962962846</v>
      </c>
      <c r="J21">
        <f>J7*(Assumptions!$F$17/(100*12))</f>
        <v>1.2054519685185072</v>
      </c>
      <c r="K21">
        <f>K7*(Assumptions!$F$17/(100*12))</f>
        <v>0.87669234074072966</v>
      </c>
      <c r="L21">
        <f>L7*(Assumptions!$F$17/(100*12))</f>
        <v>0.54793271296295221</v>
      </c>
      <c r="M21">
        <f>M7*(Assumptions!$F$17/(100*12))</f>
        <v>0.2191730851851747</v>
      </c>
    </row>
    <row r="22" spans="1:13" x14ac:dyDescent="0.35">
      <c r="A22">
        <v>6</v>
      </c>
      <c r="B22">
        <f>B8*(Assumptions!$F$17/(100*12))</f>
        <v>3.8081323550925905</v>
      </c>
      <c r="C22">
        <f>C8*(Assumptions!$F$17/(100*12))</f>
        <v>3.4793727273148094</v>
      </c>
      <c r="D22">
        <f>D8*(Assumptions!$F$17/(100*12))</f>
        <v>3.1506130995370283</v>
      </c>
      <c r="E22">
        <f>E8*(Assumptions!$F$17/(100*12))</f>
        <v>2.8218534717592472</v>
      </c>
      <c r="F22">
        <f>F8*(Assumptions!$F$17/(100*12))</f>
        <v>2.4930938439814692</v>
      </c>
      <c r="G22">
        <f>G8*(Assumptions!$F$17/(100*12))</f>
        <v>2.1643342162036916</v>
      </c>
      <c r="H22">
        <f>H8*(Assumptions!$F$17/(100*12))</f>
        <v>1.835574588425914</v>
      </c>
      <c r="I22">
        <f>I8*(Assumptions!$F$17/(100*12))</f>
        <v>1.5068149606481365</v>
      </c>
      <c r="J22">
        <f>J8*(Assumptions!$F$17/(100*12))</f>
        <v>1.1780553328703591</v>
      </c>
      <c r="K22">
        <f>K8*(Assumptions!$F$17/(100*12))</f>
        <v>0.84929570509258157</v>
      </c>
      <c r="L22">
        <f>L8*(Assumptions!$F$17/(100*12))</f>
        <v>0.52053607731480411</v>
      </c>
      <c r="M22">
        <f>M8*(Assumptions!$F$17/(100*12))</f>
        <v>0.19177644953702658</v>
      </c>
    </row>
    <row r="23" spans="1:13" x14ac:dyDescent="0.35">
      <c r="A23">
        <v>7</v>
      </c>
      <c r="B23">
        <f>B9*(Assumptions!$F$17/(100*12))</f>
        <v>3.7807357194444422</v>
      </c>
      <c r="C23">
        <f>C9*(Assumptions!$F$17/(100*12))</f>
        <v>3.4519760916666611</v>
      </c>
      <c r="D23">
        <f>D9*(Assumptions!$F$17/(100*12))</f>
        <v>3.12321646388888</v>
      </c>
      <c r="E23">
        <f>E9*(Assumptions!$F$17/(100*12))</f>
        <v>2.7944568361110989</v>
      </c>
      <c r="F23">
        <f>F9*(Assumptions!$F$17/(100*12))</f>
        <v>2.4656972083333208</v>
      </c>
      <c r="G23">
        <f>G9*(Assumptions!$F$17/(100*12))</f>
        <v>2.1369375805555433</v>
      </c>
      <c r="H23">
        <f>H9*(Assumptions!$F$17/(100*12))</f>
        <v>1.8081779527777659</v>
      </c>
      <c r="I23">
        <f>I9*(Assumptions!$F$17/(100*12))</f>
        <v>1.4794183249999884</v>
      </c>
      <c r="J23">
        <f>J9*(Assumptions!$F$17/(100*12))</f>
        <v>1.1506586972222108</v>
      </c>
      <c r="K23">
        <f>K9*(Assumptions!$F$17/(100*12))</f>
        <v>0.82189906944443347</v>
      </c>
      <c r="L23">
        <f>L9*(Assumptions!$F$17/(100*12))</f>
        <v>0.49313944166665596</v>
      </c>
      <c r="M23">
        <f>M9*(Assumptions!$F$17/(100*12))</f>
        <v>0.16437981388887846</v>
      </c>
    </row>
    <row r="24" spans="1:13" x14ac:dyDescent="0.35">
      <c r="A24">
        <v>8</v>
      </c>
      <c r="B24">
        <f>B10*(Assumptions!$F$17/(100*12))</f>
        <v>3.7533390837962939</v>
      </c>
      <c r="C24">
        <f>C10*(Assumptions!$F$17/(100*12))</f>
        <v>3.4245794560185128</v>
      </c>
      <c r="D24">
        <f>D10*(Assumptions!$F$17/(100*12))</f>
        <v>3.0958198282407317</v>
      </c>
      <c r="E24">
        <f>E10*(Assumptions!$F$17/(100*12))</f>
        <v>2.7670602004629505</v>
      </c>
      <c r="F24">
        <f>F10*(Assumptions!$F$17/(100*12))</f>
        <v>2.4383005726851725</v>
      </c>
      <c r="G24">
        <f>G10*(Assumptions!$F$17/(100*12))</f>
        <v>2.1095409449073954</v>
      </c>
      <c r="H24">
        <f>H10*(Assumptions!$F$17/(100*12))</f>
        <v>1.7807813171296178</v>
      </c>
      <c r="I24">
        <f>I10*(Assumptions!$F$17/(100*12))</f>
        <v>1.4520216893518403</v>
      </c>
      <c r="J24">
        <f>J10*(Assumptions!$F$17/(100*12))</f>
        <v>1.1232620615740627</v>
      </c>
      <c r="K24">
        <f>K10*(Assumptions!$F$17/(100*12))</f>
        <v>0.79450243379628527</v>
      </c>
      <c r="L24">
        <f>L10*(Assumptions!$F$17/(100*12))</f>
        <v>0.46574280601850782</v>
      </c>
      <c r="M24">
        <f>M10*(Assumptions!$F$17/(100*12))</f>
        <v>0.13698317824073031</v>
      </c>
    </row>
    <row r="25" spans="1:13" x14ac:dyDescent="0.35">
      <c r="A25">
        <v>9</v>
      </c>
      <c r="B25">
        <f>B11*(Assumptions!$F$17/(100*12))</f>
        <v>3.7259424481481456</v>
      </c>
      <c r="C25">
        <f>C11*(Assumptions!$F$17/(100*12))</f>
        <v>3.3971828203703645</v>
      </c>
      <c r="D25">
        <f>D11*(Assumptions!$F$17/(100*12))</f>
        <v>3.0684231925925833</v>
      </c>
      <c r="E25">
        <f>E11*(Assumptions!$F$17/(100*12))</f>
        <v>2.7396635648148022</v>
      </c>
      <c r="F25">
        <f>F11*(Assumptions!$F$17/(100*12))</f>
        <v>2.4109039370370247</v>
      </c>
      <c r="G25">
        <f>G11*(Assumptions!$F$17/(100*12))</f>
        <v>2.0821443092592471</v>
      </c>
      <c r="H25">
        <f>H11*(Assumptions!$F$17/(100*12))</f>
        <v>1.7533846814814695</v>
      </c>
      <c r="I25">
        <f>I11*(Assumptions!$F$17/(100*12))</f>
        <v>1.4246250537036922</v>
      </c>
      <c r="J25">
        <f>J11*(Assumptions!$F$17/(100*12))</f>
        <v>1.0958654259259146</v>
      </c>
      <c r="K25">
        <f>K11*(Assumptions!$F$17/(100*12))</f>
        <v>0.76710579814813717</v>
      </c>
      <c r="L25">
        <f>L11*(Assumptions!$F$17/(100*12))</f>
        <v>0.43834617037035972</v>
      </c>
      <c r="M25">
        <f>M11*(Assumptions!$F$17/(100*12))</f>
        <v>0.10958654259258216</v>
      </c>
    </row>
    <row r="26" spans="1:13" x14ac:dyDescent="0.35">
      <c r="A26">
        <v>10</v>
      </c>
      <c r="B26">
        <f>B12*(Assumptions!$F$17/(100*12))</f>
        <v>3.6985458124999968</v>
      </c>
      <c r="C26">
        <f>C12*(Assumptions!$F$17/(100*12))</f>
        <v>3.3697861847222157</v>
      </c>
      <c r="D26">
        <f>D12*(Assumptions!$F$17/(100*12))</f>
        <v>3.0410265569444346</v>
      </c>
      <c r="E26">
        <f>E12*(Assumptions!$F$17/(100*12))</f>
        <v>2.7122669291666539</v>
      </c>
      <c r="F26">
        <f>F12*(Assumptions!$F$17/(100*12))</f>
        <v>2.3835073013888763</v>
      </c>
      <c r="G26">
        <f>G12*(Assumptions!$F$17/(100*12))</f>
        <v>2.0547476736110988</v>
      </c>
      <c r="H26">
        <f>H12*(Assumptions!$F$17/(100*12))</f>
        <v>1.7259880458333214</v>
      </c>
      <c r="I26">
        <f>I12*(Assumptions!$F$17/(100*12))</f>
        <v>1.3972284180555441</v>
      </c>
      <c r="J26">
        <f>J12*(Assumptions!$F$17/(100*12))</f>
        <v>1.0684687902777665</v>
      </c>
      <c r="K26">
        <f>K12*(Assumptions!$F$17/(100*12))</f>
        <v>0.73970916249998908</v>
      </c>
      <c r="L26">
        <f>L12*(Assumptions!$F$17/(100*12))</f>
        <v>0.41094953472221157</v>
      </c>
      <c r="M26">
        <f>M12*(Assumptions!$F$17/(100*12))</f>
        <v>8.2189906944434024E-2</v>
      </c>
    </row>
    <row r="27" spans="1:13" x14ac:dyDescent="0.35">
      <c r="A27">
        <v>11</v>
      </c>
      <c r="B27">
        <f>B13*(Assumptions!$F$17/(100*12))</f>
        <v>3.6711491768518485</v>
      </c>
      <c r="C27">
        <f>C13*(Assumptions!$F$17/(100*12))</f>
        <v>3.3423895490740674</v>
      </c>
      <c r="D27">
        <f>D13*(Assumptions!$F$17/(100*12))</f>
        <v>3.0136299212962863</v>
      </c>
      <c r="E27">
        <f>E13*(Assumptions!$F$17/(100*12))</f>
        <v>2.6848702935185056</v>
      </c>
      <c r="F27">
        <f>F13*(Assumptions!$F$17/(100*12))</f>
        <v>2.3561106657407285</v>
      </c>
      <c r="G27">
        <f>G13*(Assumptions!$F$17/(100*12))</f>
        <v>2.0273510379629509</v>
      </c>
      <c r="H27">
        <f>H13*(Assumptions!$F$17/(100*12))</f>
        <v>1.6985914101851733</v>
      </c>
      <c r="I27">
        <f>I13*(Assumptions!$F$17/(100*12))</f>
        <v>1.3698317824073958</v>
      </c>
      <c r="J27">
        <f>J13*(Assumptions!$F$17/(100*12))</f>
        <v>1.0410721546296184</v>
      </c>
      <c r="K27">
        <f>K13*(Assumptions!$F$17/(100*12))</f>
        <v>0.71231252685184088</v>
      </c>
      <c r="L27">
        <f>L13*(Assumptions!$F$17/(100*12))</f>
        <v>0.38355289907406342</v>
      </c>
      <c r="M27">
        <f>M13*(Assumptions!$F$17/(100*12))</f>
        <v>5.4793271296285875E-2</v>
      </c>
    </row>
    <row r="28" spans="1:13" x14ac:dyDescent="0.35">
      <c r="A28">
        <v>12</v>
      </c>
      <c r="B28">
        <f>B14*(Assumptions!$F$17/(100*12))</f>
        <v>3.6437525412037002</v>
      </c>
      <c r="C28">
        <f>C14*(Assumptions!$F$17/(100*12))</f>
        <v>3.3149929134259191</v>
      </c>
      <c r="D28">
        <f>D14*(Assumptions!$F$17/(100*12))</f>
        <v>2.9862332856481379</v>
      </c>
      <c r="E28">
        <f>E14*(Assumptions!$F$17/(100*12))</f>
        <v>2.6574736578703577</v>
      </c>
      <c r="F28">
        <f>F14*(Assumptions!$F$17/(100*12))</f>
        <v>2.3287140300925802</v>
      </c>
      <c r="G28">
        <f>G14*(Assumptions!$F$17/(100*12))</f>
        <v>1.9999544023148028</v>
      </c>
      <c r="H28">
        <f>H14*(Assumptions!$F$17/(100*12))</f>
        <v>1.6711947745370253</v>
      </c>
      <c r="I28">
        <f>I14*(Assumptions!$F$17/(100*12))</f>
        <v>1.3424351467592477</v>
      </c>
      <c r="J28">
        <f>J14*(Assumptions!$F$17/(100*12))</f>
        <v>1.0136755189814703</v>
      </c>
      <c r="K28">
        <f>K14*(Assumptions!$F$17/(100*12))</f>
        <v>0.68491589120369278</v>
      </c>
      <c r="L28">
        <f>L14*(Assumptions!$F$17/(100*12))</f>
        <v>0.35615626342591533</v>
      </c>
      <c r="M28">
        <f>M14*(Assumptions!$F$17/(100*12))</f>
        <v>2.7396635648137733E-2</v>
      </c>
    </row>
    <row r="30" spans="1:13" s="2" customFormat="1" x14ac:dyDescent="0.35">
      <c r="A30" s="2" t="s">
        <v>60</v>
      </c>
      <c r="B30" s="2">
        <f>SUM(B17:B28)</f>
        <v>45.533208447222194</v>
      </c>
      <c r="C30" s="2">
        <f t="shared" ref="C30:M30" si="3">SUM(C17:C28)</f>
        <v>41.588092913888829</v>
      </c>
      <c r="D30" s="2">
        <f t="shared" si="3"/>
        <v>37.64297738055545</v>
      </c>
      <c r="E30" s="2">
        <f t="shared" si="3"/>
        <v>33.697861847222072</v>
      </c>
      <c r="F30" s="2">
        <f t="shared" si="3"/>
        <v>29.752746313888739</v>
      </c>
      <c r="G30" s="2">
        <f t="shared" si="3"/>
        <v>25.807630780555407</v>
      </c>
      <c r="H30" s="2">
        <f t="shared" si="3"/>
        <v>21.862515247222078</v>
      </c>
      <c r="I30" s="2">
        <f t="shared" si="3"/>
        <v>17.917399713888749</v>
      </c>
      <c r="J30" s="2">
        <f t="shared" si="3"/>
        <v>13.97228418055542</v>
      </c>
      <c r="K30" s="2">
        <f t="shared" si="3"/>
        <v>10.027168647222089</v>
      </c>
      <c r="L30" s="2">
        <f t="shared" si="3"/>
        <v>6.0820531138887599</v>
      </c>
      <c r="M30" s="2">
        <f t="shared" si="3"/>
        <v>2.13693758055543</v>
      </c>
    </row>
    <row r="32" spans="1:13" x14ac:dyDescent="0.35">
      <c r="B32" s="9" t="s">
        <v>67</v>
      </c>
    </row>
    <row r="33" spans="1:13" x14ac:dyDescent="0.35">
      <c r="A33">
        <v>1</v>
      </c>
      <c r="B33">
        <f>B17+$B$3/(12*12)</f>
        <v>6.5216016444444431</v>
      </c>
      <c r="C33">
        <f t="shared" ref="C33:M33" si="4">C17+$B$3/(12*12)</f>
        <v>6.1928420166666625</v>
      </c>
      <c r="D33">
        <f t="shared" si="4"/>
        <v>5.8640823888888818</v>
      </c>
      <c r="E33">
        <f t="shared" si="4"/>
        <v>5.5353227611111002</v>
      </c>
      <c r="F33">
        <f t="shared" si="4"/>
        <v>5.2065631333333204</v>
      </c>
      <c r="G33">
        <f t="shared" si="4"/>
        <v>4.8778035055555424</v>
      </c>
      <c r="H33">
        <f t="shared" si="4"/>
        <v>4.5490438777777653</v>
      </c>
      <c r="I33">
        <f t="shared" si="4"/>
        <v>4.2202842499999882</v>
      </c>
      <c r="J33">
        <f t="shared" si="4"/>
        <v>3.8915246222222102</v>
      </c>
      <c r="K33">
        <f t="shared" si="4"/>
        <v>3.5627649944444326</v>
      </c>
      <c r="L33">
        <f t="shared" si="4"/>
        <v>3.2340053666666551</v>
      </c>
      <c r="M33">
        <f t="shared" si="4"/>
        <v>2.9052457388888779</v>
      </c>
    </row>
    <row r="34" spans="1:13" x14ac:dyDescent="0.35">
      <c r="A34">
        <v>2</v>
      </c>
      <c r="B34">
        <f t="shared" ref="B34:M44" si="5">B18+$B$3/(12*12)</f>
        <v>6.4942050087962944</v>
      </c>
      <c r="C34">
        <f t="shared" si="5"/>
        <v>6.1654453810185137</v>
      </c>
      <c r="D34">
        <f t="shared" si="5"/>
        <v>5.836685753240733</v>
      </c>
      <c r="E34">
        <f t="shared" si="5"/>
        <v>5.5079261254629515</v>
      </c>
      <c r="F34">
        <f t="shared" si="5"/>
        <v>5.1791664976851717</v>
      </c>
      <c r="G34">
        <f t="shared" si="5"/>
        <v>4.8504068699073946</v>
      </c>
      <c r="H34">
        <f t="shared" si="5"/>
        <v>4.5216472421296174</v>
      </c>
      <c r="I34">
        <f t="shared" si="5"/>
        <v>4.1928876143518394</v>
      </c>
      <c r="J34">
        <f t="shared" si="5"/>
        <v>3.8641279865740623</v>
      </c>
      <c r="K34">
        <f t="shared" si="5"/>
        <v>3.5353683587962847</v>
      </c>
      <c r="L34">
        <f t="shared" si="5"/>
        <v>3.2066087310185072</v>
      </c>
      <c r="M34">
        <f t="shared" si="5"/>
        <v>2.8778491032407296</v>
      </c>
    </row>
    <row r="35" spans="1:13" x14ac:dyDescent="0.35">
      <c r="A35">
        <v>3</v>
      </c>
      <c r="B35">
        <f t="shared" si="5"/>
        <v>6.4668083731481465</v>
      </c>
      <c r="C35">
        <f t="shared" si="5"/>
        <v>6.1380487453703658</v>
      </c>
      <c r="D35">
        <f t="shared" si="5"/>
        <v>5.8092891175925843</v>
      </c>
      <c r="E35">
        <f t="shared" si="5"/>
        <v>5.4805294898148027</v>
      </c>
      <c r="F35">
        <f t="shared" si="5"/>
        <v>5.1517698620370238</v>
      </c>
      <c r="G35">
        <f t="shared" si="5"/>
        <v>4.8230102342592467</v>
      </c>
      <c r="H35">
        <f t="shared" si="5"/>
        <v>4.4942506064814687</v>
      </c>
      <c r="I35">
        <f t="shared" si="5"/>
        <v>4.1654909787036916</v>
      </c>
      <c r="J35">
        <f t="shared" si="5"/>
        <v>3.836731350925914</v>
      </c>
      <c r="K35">
        <f t="shared" si="5"/>
        <v>3.5079717231481364</v>
      </c>
      <c r="L35">
        <f t="shared" si="5"/>
        <v>3.1792120953703589</v>
      </c>
      <c r="M35">
        <f t="shared" si="5"/>
        <v>2.8504524675925813</v>
      </c>
    </row>
    <row r="36" spans="1:13" x14ac:dyDescent="0.35">
      <c r="A36">
        <v>4</v>
      </c>
      <c r="B36">
        <f t="shared" si="5"/>
        <v>6.4394117374999986</v>
      </c>
      <c r="C36">
        <f t="shared" si="5"/>
        <v>6.1106521097222171</v>
      </c>
      <c r="D36">
        <f t="shared" si="5"/>
        <v>5.7818924819444355</v>
      </c>
      <c r="E36">
        <f t="shared" si="5"/>
        <v>5.4531328541666548</v>
      </c>
      <c r="F36">
        <f t="shared" si="5"/>
        <v>5.1243732263888759</v>
      </c>
      <c r="G36">
        <f t="shared" si="5"/>
        <v>4.7956135986110979</v>
      </c>
      <c r="H36">
        <f t="shared" si="5"/>
        <v>4.4668539708333208</v>
      </c>
      <c r="I36">
        <f t="shared" si="5"/>
        <v>4.1380943430555437</v>
      </c>
      <c r="J36">
        <f t="shared" si="5"/>
        <v>3.8093347152777657</v>
      </c>
      <c r="K36">
        <f t="shared" si="5"/>
        <v>3.4805750874999886</v>
      </c>
      <c r="L36">
        <f t="shared" si="5"/>
        <v>3.151815459722211</v>
      </c>
      <c r="M36">
        <f t="shared" si="5"/>
        <v>2.8230558319444334</v>
      </c>
    </row>
    <row r="37" spans="1:13" x14ac:dyDescent="0.35">
      <c r="A37">
        <v>5</v>
      </c>
      <c r="B37">
        <f t="shared" si="5"/>
        <v>6.4120151018518499</v>
      </c>
      <c r="C37">
        <f t="shared" si="5"/>
        <v>6.0832554740740683</v>
      </c>
      <c r="D37">
        <f t="shared" si="5"/>
        <v>5.7544958462962876</v>
      </c>
      <c r="E37">
        <f t="shared" si="5"/>
        <v>5.425736218518507</v>
      </c>
      <c r="F37">
        <f t="shared" si="5"/>
        <v>5.0969765907407272</v>
      </c>
      <c r="G37">
        <f t="shared" si="5"/>
        <v>4.7682169629629501</v>
      </c>
      <c r="H37">
        <f t="shared" si="5"/>
        <v>4.4394573351851729</v>
      </c>
      <c r="I37">
        <f t="shared" si="5"/>
        <v>4.1106977074073949</v>
      </c>
      <c r="J37">
        <f t="shared" si="5"/>
        <v>3.7819380796296178</v>
      </c>
      <c r="K37">
        <f t="shared" si="5"/>
        <v>3.4531784518518402</v>
      </c>
      <c r="L37">
        <f t="shared" si="5"/>
        <v>3.1244188240740627</v>
      </c>
      <c r="M37">
        <f t="shared" si="5"/>
        <v>2.7956591962962851</v>
      </c>
    </row>
    <row r="38" spans="1:13" x14ac:dyDescent="0.35">
      <c r="A38">
        <v>6</v>
      </c>
      <c r="B38">
        <f t="shared" si="5"/>
        <v>6.3846184662037011</v>
      </c>
      <c r="C38">
        <f t="shared" si="5"/>
        <v>6.0558588384259195</v>
      </c>
      <c r="D38">
        <f t="shared" si="5"/>
        <v>5.7270992106481389</v>
      </c>
      <c r="E38">
        <f t="shared" si="5"/>
        <v>5.3983395828703582</v>
      </c>
      <c r="F38">
        <f t="shared" si="5"/>
        <v>5.0695799550925802</v>
      </c>
      <c r="G38">
        <f t="shared" si="5"/>
        <v>4.7408203273148022</v>
      </c>
      <c r="H38">
        <f t="shared" si="5"/>
        <v>4.4120606995370242</v>
      </c>
      <c r="I38">
        <f t="shared" si="5"/>
        <v>4.0833010717592471</v>
      </c>
      <c r="J38">
        <f t="shared" si="5"/>
        <v>3.7545414439814699</v>
      </c>
      <c r="K38">
        <f t="shared" si="5"/>
        <v>3.4257818162036919</v>
      </c>
      <c r="L38">
        <f t="shared" si="5"/>
        <v>3.0970221884259148</v>
      </c>
      <c r="M38">
        <f t="shared" si="5"/>
        <v>2.7682625606481372</v>
      </c>
    </row>
    <row r="39" spans="1:13" x14ac:dyDescent="0.35">
      <c r="A39">
        <v>7</v>
      </c>
      <c r="B39">
        <f t="shared" si="5"/>
        <v>6.3572218305555523</v>
      </c>
      <c r="C39">
        <f t="shared" si="5"/>
        <v>6.0284622027777717</v>
      </c>
      <c r="D39">
        <f t="shared" si="5"/>
        <v>5.699702574999991</v>
      </c>
      <c r="E39">
        <f t="shared" si="5"/>
        <v>5.3709429472222094</v>
      </c>
      <c r="F39">
        <f t="shared" si="5"/>
        <v>5.0421833194444314</v>
      </c>
      <c r="G39">
        <f t="shared" si="5"/>
        <v>4.7134236916666534</v>
      </c>
      <c r="H39">
        <f t="shared" si="5"/>
        <v>4.3846640638888763</v>
      </c>
      <c r="I39">
        <f t="shared" si="5"/>
        <v>4.0559044361110992</v>
      </c>
      <c r="J39">
        <f t="shared" si="5"/>
        <v>3.7271448083333212</v>
      </c>
      <c r="K39">
        <f t="shared" si="5"/>
        <v>3.3983851805555441</v>
      </c>
      <c r="L39">
        <f t="shared" si="5"/>
        <v>3.0696255527777665</v>
      </c>
      <c r="M39">
        <f t="shared" si="5"/>
        <v>2.7408659249999889</v>
      </c>
    </row>
    <row r="40" spans="1:13" x14ac:dyDescent="0.35">
      <c r="A40">
        <v>8</v>
      </c>
      <c r="B40">
        <f t="shared" si="5"/>
        <v>6.3298251949074045</v>
      </c>
      <c r="C40">
        <f t="shared" si="5"/>
        <v>6.0010655671296238</v>
      </c>
      <c r="D40">
        <f t="shared" si="5"/>
        <v>5.6723059393518422</v>
      </c>
      <c r="E40">
        <f t="shared" si="5"/>
        <v>5.3435463115740607</v>
      </c>
      <c r="F40">
        <f t="shared" si="5"/>
        <v>5.0147866837962827</v>
      </c>
      <c r="G40">
        <f t="shared" si="5"/>
        <v>4.6860270560185064</v>
      </c>
      <c r="H40">
        <f t="shared" si="5"/>
        <v>4.3572674282407284</v>
      </c>
      <c r="I40">
        <f t="shared" si="5"/>
        <v>4.0285078004629504</v>
      </c>
      <c r="J40">
        <f t="shared" si="5"/>
        <v>3.6997481726851733</v>
      </c>
      <c r="K40">
        <f t="shared" si="5"/>
        <v>3.3709885449073957</v>
      </c>
      <c r="L40">
        <f t="shared" si="5"/>
        <v>3.0422289171296182</v>
      </c>
      <c r="M40">
        <f t="shared" si="5"/>
        <v>2.7134692893518411</v>
      </c>
    </row>
    <row r="41" spans="1:13" x14ac:dyDescent="0.35">
      <c r="A41">
        <v>9</v>
      </c>
      <c r="B41">
        <f t="shared" si="5"/>
        <v>6.3024285592592566</v>
      </c>
      <c r="C41">
        <f t="shared" si="5"/>
        <v>5.973668931481475</v>
      </c>
      <c r="D41">
        <f t="shared" si="5"/>
        <v>5.6449093037036935</v>
      </c>
      <c r="E41">
        <f t="shared" si="5"/>
        <v>5.3161496759259128</v>
      </c>
      <c r="F41">
        <f t="shared" si="5"/>
        <v>4.9873900481481357</v>
      </c>
      <c r="G41">
        <f t="shared" si="5"/>
        <v>4.6586304203703577</v>
      </c>
      <c r="H41">
        <f t="shared" si="5"/>
        <v>4.3298707925925797</v>
      </c>
      <c r="I41">
        <f t="shared" si="5"/>
        <v>4.0011111648148026</v>
      </c>
      <c r="J41">
        <f t="shared" si="5"/>
        <v>3.6723515370370254</v>
      </c>
      <c r="K41">
        <f t="shared" si="5"/>
        <v>3.3435919092592479</v>
      </c>
      <c r="L41">
        <f t="shared" si="5"/>
        <v>3.0148322814814703</v>
      </c>
      <c r="M41">
        <f t="shared" si="5"/>
        <v>2.6860726537036927</v>
      </c>
    </row>
    <row r="42" spans="1:13" x14ac:dyDescent="0.35">
      <c r="A42">
        <v>10</v>
      </c>
      <c r="B42">
        <f t="shared" si="5"/>
        <v>6.2750319236111078</v>
      </c>
      <c r="C42">
        <f t="shared" si="5"/>
        <v>5.9462722958333263</v>
      </c>
      <c r="D42">
        <f t="shared" si="5"/>
        <v>5.6175126680555447</v>
      </c>
      <c r="E42">
        <f t="shared" si="5"/>
        <v>5.2887530402777649</v>
      </c>
      <c r="F42">
        <f t="shared" si="5"/>
        <v>4.9599934124999869</v>
      </c>
      <c r="G42">
        <f t="shared" si="5"/>
        <v>4.6312337847222089</v>
      </c>
      <c r="H42">
        <f t="shared" si="5"/>
        <v>4.3024741569444318</v>
      </c>
      <c r="I42">
        <f t="shared" si="5"/>
        <v>3.9737145291666547</v>
      </c>
      <c r="J42">
        <f t="shared" si="5"/>
        <v>3.6449549013888771</v>
      </c>
      <c r="K42">
        <f t="shared" si="5"/>
        <v>3.3161952736110996</v>
      </c>
      <c r="L42">
        <f t="shared" si="5"/>
        <v>2.987435645833322</v>
      </c>
      <c r="M42">
        <f t="shared" si="5"/>
        <v>2.6586760180555444</v>
      </c>
    </row>
    <row r="43" spans="1:13" x14ac:dyDescent="0.35">
      <c r="A43">
        <v>11</v>
      </c>
      <c r="B43">
        <f t="shared" si="5"/>
        <v>6.2476352879629591</v>
      </c>
      <c r="C43">
        <f t="shared" si="5"/>
        <v>5.9188756601851775</v>
      </c>
      <c r="D43">
        <f t="shared" si="5"/>
        <v>5.5901160324073969</v>
      </c>
      <c r="E43">
        <f t="shared" si="5"/>
        <v>5.2613564046296162</v>
      </c>
      <c r="F43">
        <f t="shared" si="5"/>
        <v>4.9325967768518391</v>
      </c>
      <c r="G43">
        <f t="shared" si="5"/>
        <v>4.6038371490740619</v>
      </c>
      <c r="H43">
        <f t="shared" si="5"/>
        <v>4.2750775212962839</v>
      </c>
      <c r="I43">
        <f t="shared" si="5"/>
        <v>3.9463178935185064</v>
      </c>
      <c r="J43">
        <f t="shared" si="5"/>
        <v>3.6175582657407288</v>
      </c>
      <c r="K43">
        <f t="shared" si="5"/>
        <v>3.2887986379629517</v>
      </c>
      <c r="L43">
        <f t="shared" si="5"/>
        <v>2.9600390101851741</v>
      </c>
      <c r="M43">
        <f t="shared" si="5"/>
        <v>2.6312793824073966</v>
      </c>
    </row>
    <row r="44" spans="1:13" x14ac:dyDescent="0.35">
      <c r="A44">
        <v>12</v>
      </c>
      <c r="B44">
        <f t="shared" si="5"/>
        <v>6.2202386523148103</v>
      </c>
      <c r="C44">
        <f t="shared" si="5"/>
        <v>5.8914790245370297</v>
      </c>
      <c r="D44">
        <f t="shared" si="5"/>
        <v>5.562719396759249</v>
      </c>
      <c r="E44">
        <f t="shared" si="5"/>
        <v>5.2339597689814683</v>
      </c>
      <c r="F44">
        <f t="shared" si="5"/>
        <v>4.9052001412036912</v>
      </c>
      <c r="G44">
        <f t="shared" si="5"/>
        <v>4.5764405134259132</v>
      </c>
      <c r="H44">
        <f t="shared" si="5"/>
        <v>4.2476808856481361</v>
      </c>
      <c r="I44">
        <f t="shared" si="5"/>
        <v>3.9189212578703581</v>
      </c>
      <c r="J44">
        <f t="shared" si="5"/>
        <v>3.5901616300925809</v>
      </c>
      <c r="K44">
        <f t="shared" si="5"/>
        <v>3.2614020023148034</v>
      </c>
      <c r="L44">
        <f t="shared" si="5"/>
        <v>2.9326423745370258</v>
      </c>
      <c r="M44">
        <f t="shared" si="5"/>
        <v>2.6038827467592482</v>
      </c>
    </row>
    <row r="46" spans="1:13" x14ac:dyDescent="0.35">
      <c r="C4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AA8"/>
  <sheetViews>
    <sheetView workbookViewId="0">
      <selection activeCell="A5" sqref="A5"/>
    </sheetView>
  </sheetViews>
  <sheetFormatPr defaultRowHeight="14.5" x14ac:dyDescent="0.35"/>
  <cols>
    <col min="1" max="1" width="33.7265625" customWidth="1"/>
    <col min="2" max="2" width="10.7265625" customWidth="1"/>
  </cols>
  <sheetData>
    <row r="2" spans="1:27" s="10" customFormat="1" x14ac:dyDescent="0.35">
      <c r="A2" s="10" t="s">
        <v>61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</row>
    <row r="3" spans="1:27" x14ac:dyDescent="0.35">
      <c r="A3" s="9" t="s">
        <v>62</v>
      </c>
      <c r="B3" s="9" t="s">
        <v>63</v>
      </c>
      <c r="C3">
        <f>Calculations!$C10/12</f>
        <v>0.58333333333333337</v>
      </c>
      <c r="D3">
        <f>Calculations!D10/12</f>
        <v>0.61670000000000003</v>
      </c>
      <c r="E3">
        <f>Calculations!E10/12</f>
        <v>0.65197524000000007</v>
      </c>
      <c r="F3">
        <f>Calculations!F10/12</f>
        <v>0.68926822372800001</v>
      </c>
      <c r="G3">
        <f>Calculations!G10/12</f>
        <v>0.72869436612524163</v>
      </c>
      <c r="H3">
        <f>Calculations!H10/12</f>
        <v>0.77037568386760535</v>
      </c>
      <c r="I3">
        <f>Calculations!I10/12</f>
        <v>0.81444117298483232</v>
      </c>
      <c r="J3">
        <f>Calculations!J10/12</f>
        <v>0.86102720807956479</v>
      </c>
      <c r="K3">
        <f>Calculations!K10/12</f>
        <v>0.91027796438171593</v>
      </c>
      <c r="L3">
        <f>Calculations!L10/12</f>
        <v>0.96234586394434996</v>
      </c>
      <c r="M3">
        <f>Calculations!M10/12</f>
        <v>1.0173920473619669</v>
      </c>
      <c r="N3">
        <f>Calculations!N10/12</f>
        <v>1.0755868724710713</v>
      </c>
      <c r="O3">
        <f>Calculations!O10/12</f>
        <v>1.1371104415764166</v>
      </c>
      <c r="P3">
        <f>Calculations!P10/12</f>
        <v>1.2021531588345875</v>
      </c>
      <c r="Q3">
        <f>Calculations!Q10/12</f>
        <v>1.270916319519926</v>
      </c>
      <c r="R3">
        <f>Calculations!R10/12</f>
        <v>1.3436127329964656</v>
      </c>
      <c r="S3">
        <f>Calculations!S10/12</f>
        <v>1.4204673813238635</v>
      </c>
      <c r="T3">
        <f>Calculations!T10/12</f>
        <v>1.5017181155355885</v>
      </c>
      <c r="U3">
        <f>Calculations!U10/12</f>
        <v>1.5876163917442243</v>
      </c>
      <c r="V3">
        <f>Calculations!V10/12</f>
        <v>1.6784280493519939</v>
      </c>
      <c r="W3">
        <f>Calculations!W10/12</f>
        <v>1.7744341337749281</v>
      </c>
      <c r="X3">
        <f>Calculations!X10/12</f>
        <v>1.875931766226854</v>
      </c>
      <c r="Y3">
        <f>Calculations!Y10/12</f>
        <v>1.9832350632550302</v>
      </c>
      <c r="Z3">
        <f>Calculations!Z10/12</f>
        <v>2.096676108873218</v>
      </c>
      <c r="AA3">
        <f>Calculations!AA10/12</f>
        <v>2.216605982300766</v>
      </c>
    </row>
    <row r="4" spans="1:27" x14ac:dyDescent="0.35">
      <c r="A4" s="9" t="s">
        <v>64</v>
      </c>
      <c r="B4" s="9" t="s">
        <v>63</v>
      </c>
      <c r="C4">
        <f>Calculations!C7/(6*100000)*Assumptions!$F$34</f>
        <v>15.784060000000002</v>
      </c>
      <c r="D4">
        <f>Calculations!D7/(6*100000)*Assumptions!$F$34</f>
        <v>15.784060000000002</v>
      </c>
      <c r="E4">
        <f>Calculations!E7/(6*100000)*Assumptions!$F$34</f>
        <v>15.784060000000002</v>
      </c>
      <c r="F4">
        <f>Calculations!F7/(6*100000)*Assumptions!$F$34</f>
        <v>15.784060000000002</v>
      </c>
      <c r="G4">
        <f>Calculations!G7/(6*100000)*Assumptions!$F$34</f>
        <v>15.784060000000002</v>
      </c>
      <c r="H4">
        <f>Calculations!H7/(6*100000)*Assumptions!$F$34</f>
        <v>15.784060000000002</v>
      </c>
      <c r="I4">
        <f>Calculations!I7/(6*100000)*Assumptions!$F$34</f>
        <v>15.784060000000002</v>
      </c>
      <c r="J4">
        <f>Calculations!J7/(6*100000)*Assumptions!$F$34</f>
        <v>15.784060000000002</v>
      </c>
      <c r="K4">
        <f>Calculations!K7/(6*100000)*Assumptions!$F$34</f>
        <v>15.784060000000002</v>
      </c>
      <c r="L4">
        <f>Calculations!L7/(6*100000)*Assumptions!$F$34</f>
        <v>15.784060000000002</v>
      </c>
      <c r="M4">
        <f>Calculations!M7/(6*100000)*Assumptions!$F$34</f>
        <v>15.784060000000002</v>
      </c>
      <c r="N4">
        <f>Calculations!N7/(6*100000)*Assumptions!$F$34</f>
        <v>15.784060000000002</v>
      </c>
      <c r="O4">
        <f>Calculations!O7/(6*100000)*Assumptions!$F$34</f>
        <v>15.784060000000002</v>
      </c>
      <c r="P4">
        <f>Calculations!P7/(6*100000)*Assumptions!$F$34</f>
        <v>15.784060000000002</v>
      </c>
      <c r="Q4">
        <f>Calculations!Q7/(6*100000)*Assumptions!$F$34</f>
        <v>15.784060000000002</v>
      </c>
      <c r="R4">
        <f>Calculations!R7/(6*100000)*Assumptions!$F$34</f>
        <v>15.784060000000002</v>
      </c>
      <c r="S4">
        <f>Calculations!S7/(6*100000)*Assumptions!$F$34</f>
        <v>15.784060000000002</v>
      </c>
      <c r="T4">
        <f>Calculations!T7/(6*100000)*Assumptions!$F$34</f>
        <v>15.784060000000002</v>
      </c>
      <c r="U4">
        <f>Calculations!U7/(6*100000)*Assumptions!$F$34</f>
        <v>15.784060000000002</v>
      </c>
      <c r="V4">
        <f>Calculations!V7/(6*100000)*Assumptions!$F$34</f>
        <v>15.784060000000002</v>
      </c>
      <c r="W4">
        <f>Calculations!W7/(6*100000)*Assumptions!$F$34</f>
        <v>15.784060000000002</v>
      </c>
      <c r="X4">
        <f>Calculations!X7/(6*100000)*Assumptions!$F$34</f>
        <v>15.784060000000002</v>
      </c>
      <c r="Y4">
        <f>Calculations!Y7/(6*100000)*Assumptions!$F$34</f>
        <v>15.784060000000002</v>
      </c>
      <c r="Z4">
        <f>Calculations!Z7/(6*100000)*Assumptions!$F$34</f>
        <v>15.784060000000002</v>
      </c>
      <c r="AA4">
        <f>Calculations!AA7/(6*100000)*Assumptions!$F$34</f>
        <v>15.784060000000002</v>
      </c>
    </row>
    <row r="5" spans="1:27" ht="15.75" customHeight="1" x14ac:dyDescent="0.35">
      <c r="A5" s="9" t="s">
        <v>65</v>
      </c>
      <c r="B5" s="9" t="s">
        <v>63</v>
      </c>
      <c r="C5">
        <f>Calculations!C10*0.15/12</f>
        <v>8.7500000000000008E-2</v>
      </c>
      <c r="D5">
        <f>Calculations!D10*0.15</f>
        <v>1.11006</v>
      </c>
      <c r="E5">
        <f>Calculations!E10*0.15</f>
        <v>1.1735554320000001</v>
      </c>
      <c r="F5">
        <f>Calculations!F10*0.15</f>
        <v>1.2406828027104</v>
      </c>
      <c r="G5">
        <f>Calculations!G10*0.15</f>
        <v>1.3116498590254348</v>
      </c>
      <c r="H5">
        <f>Calculations!H10*0.15</f>
        <v>1.3866762309616896</v>
      </c>
      <c r="I5">
        <f>Calculations!I10*0.15</f>
        <v>1.4659941113726982</v>
      </c>
      <c r="J5">
        <f>Calculations!J10*0.15</f>
        <v>1.5498489745432167</v>
      </c>
      <c r="K5">
        <f>Calculations!K10*0.15</f>
        <v>1.6385003358870887</v>
      </c>
      <c r="L5">
        <f>Calculations!L10*0.15</f>
        <v>1.73222255509983</v>
      </c>
      <c r="M5">
        <f>Calculations!M10*0.15</f>
        <v>1.8313056852515404</v>
      </c>
      <c r="N5">
        <f>Calculations!N10*0.15</f>
        <v>1.9360563704479283</v>
      </c>
      <c r="O5">
        <f>Calculations!O10*0.15</f>
        <v>2.0467987948375499</v>
      </c>
      <c r="P5">
        <f>Calculations!P10*0.15</f>
        <v>2.1638756859022577</v>
      </c>
      <c r="Q5">
        <f>Calculations!Q10*0.15</f>
        <v>2.2876493751358664</v>
      </c>
      <c r="R5">
        <f>Calculations!R10*0.15</f>
        <v>2.4185029193936378</v>
      </c>
      <c r="S5">
        <f>Calculations!S10*0.15</f>
        <v>2.5568412863829542</v>
      </c>
      <c r="T5">
        <f>Calculations!T10*0.15</f>
        <v>2.7030926079640594</v>
      </c>
      <c r="U5">
        <f>Calculations!U10*0.15</f>
        <v>2.8577095051396038</v>
      </c>
      <c r="V5">
        <f>Calculations!V10*0.15</f>
        <v>3.0211704888335889</v>
      </c>
      <c r="W5">
        <f>Calculations!W10*0.15</f>
        <v>3.1939814407948703</v>
      </c>
      <c r="X5">
        <f>Calculations!X10*0.15</f>
        <v>3.376677179208337</v>
      </c>
      <c r="Y5">
        <f>Calculations!Y10*0.15</f>
        <v>3.5698231138590542</v>
      </c>
      <c r="Z5">
        <f>Calculations!Z10*0.15</f>
        <v>3.7740169959717917</v>
      </c>
      <c r="AA5">
        <f>Calculations!AA10*0.15</f>
        <v>3.9898907681413784</v>
      </c>
    </row>
    <row r="6" spans="1:27" x14ac:dyDescent="0.35">
      <c r="A6" s="9"/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9" t="s">
        <v>66</v>
      </c>
      <c r="B7" s="9" t="s">
        <v>63</v>
      </c>
      <c r="C7">
        <f>SUM(C3:C5)</f>
        <v>16.454893333333334</v>
      </c>
      <c r="D7">
        <f t="shared" ref="D7:AA7" si="0">SUM(D3:D6)</f>
        <v>17.510820000000002</v>
      </c>
      <c r="E7">
        <f t="shared" si="0"/>
        <v>17.609590672000003</v>
      </c>
      <c r="F7">
        <f t="shared" si="0"/>
        <v>17.714011026438403</v>
      </c>
      <c r="G7">
        <f t="shared" si="0"/>
        <v>17.82440422515068</v>
      </c>
      <c r="H7">
        <f t="shared" si="0"/>
        <v>17.941111914829296</v>
      </c>
      <c r="I7">
        <f t="shared" si="0"/>
        <v>18.064495284357534</v>
      </c>
      <c r="J7">
        <f t="shared" si="0"/>
        <v>18.194936182622783</v>
      </c>
      <c r="K7">
        <f t="shared" si="0"/>
        <v>18.332838300268804</v>
      </c>
      <c r="L7">
        <f t="shared" si="0"/>
        <v>18.478628419044185</v>
      </c>
      <c r="M7">
        <f t="shared" si="0"/>
        <v>18.632757732613509</v>
      </c>
      <c r="N7">
        <f t="shared" si="0"/>
        <v>18.795703242919004</v>
      </c>
      <c r="O7">
        <f t="shared" si="0"/>
        <v>18.967969236413968</v>
      </c>
      <c r="P7">
        <f t="shared" si="0"/>
        <v>19.15008884473685</v>
      </c>
      <c r="Q7">
        <f t="shared" si="0"/>
        <v>19.342625694655794</v>
      </c>
      <c r="R7">
        <f t="shared" si="0"/>
        <v>19.546175652390104</v>
      </c>
      <c r="S7">
        <f t="shared" si="0"/>
        <v>19.761368667706819</v>
      </c>
      <c r="T7">
        <f t="shared" si="0"/>
        <v>19.988870723499652</v>
      </c>
      <c r="U7">
        <f t="shared" si="0"/>
        <v>20.22938589688383</v>
      </c>
      <c r="V7">
        <f t="shared" si="0"/>
        <v>20.483658538185587</v>
      </c>
      <c r="W7">
        <f t="shared" si="0"/>
        <v>20.7524755745698</v>
      </c>
      <c r="X7">
        <f t="shared" si="0"/>
        <v>21.036668945435192</v>
      </c>
      <c r="Y7">
        <f t="shared" si="0"/>
        <v>21.337118177114089</v>
      </c>
      <c r="Z7">
        <f t="shared" si="0"/>
        <v>21.65475310484501</v>
      </c>
      <c r="AA7">
        <f t="shared" si="0"/>
        <v>21.990556750442146</v>
      </c>
    </row>
    <row r="8" spans="1:27" s="2" customFormat="1" x14ac:dyDescent="0.35">
      <c r="A8" s="1" t="s">
        <v>18</v>
      </c>
      <c r="B8" s="1" t="s">
        <v>63</v>
      </c>
      <c r="C8" s="2">
        <f>Assumptions!$F$31/100*'Working Capital'!C7</f>
        <v>2.1819188560000002</v>
      </c>
      <c r="D8" s="2">
        <f>Assumptions!$F$31/100*'Working Capital'!D7</f>
        <v>2.3219347320000003</v>
      </c>
      <c r="E8" s="2">
        <f>Assumptions!$F$31/100*'Working Capital'!E7</f>
        <v>2.3350317231072002</v>
      </c>
      <c r="F8" s="2">
        <f>Assumptions!$F$31/100*'Working Capital'!F7</f>
        <v>2.348877862105732</v>
      </c>
      <c r="G8" s="2">
        <f>Assumptions!$F$31/100*'Working Capital'!G7</f>
        <v>2.3635160002549802</v>
      </c>
      <c r="H8" s="2">
        <f>Assumptions!$F$31/100*'Working Capital'!H7</f>
        <v>2.3789914399063647</v>
      </c>
      <c r="I8" s="2">
        <f>Assumptions!$F$31/100*'Working Capital'!I7</f>
        <v>2.395352074705809</v>
      </c>
      <c r="J8" s="2">
        <f>Assumptions!$F$31/100*'Working Capital'!J7</f>
        <v>2.4126485378157811</v>
      </c>
      <c r="K8" s="2">
        <f>Assumptions!$F$31/100*'Working Capital'!K7</f>
        <v>2.4309343586156436</v>
      </c>
      <c r="L8" s="2">
        <f>Assumptions!$F$31/100*'Working Capital'!L7</f>
        <v>2.4502661283652589</v>
      </c>
      <c r="M8" s="2">
        <f>Assumptions!$F$31/100*'Working Capital'!M7</f>
        <v>2.4707036753445513</v>
      </c>
      <c r="N8" s="2">
        <f>Assumptions!$F$31/100*'Working Capital'!N7</f>
        <v>2.4923102500110597</v>
      </c>
      <c r="O8" s="2">
        <f>Assumptions!$F$31/100*'Working Capital'!O7</f>
        <v>2.5151527207484921</v>
      </c>
      <c r="P8" s="2">
        <f>Assumptions!$F$31/100*'Working Capital'!P7</f>
        <v>2.5393017808121061</v>
      </c>
      <c r="Q8" s="2">
        <f>Assumptions!$F$31/100*'Working Capital'!Q7</f>
        <v>2.5648321671113581</v>
      </c>
      <c r="R8" s="2">
        <f>Assumptions!$F$31/100*'Working Capital'!R7</f>
        <v>2.5918228915069279</v>
      </c>
      <c r="S8" s="2">
        <f>Assumptions!$F$31/100*'Working Capital'!S7</f>
        <v>2.6203574853379239</v>
      </c>
      <c r="T8" s="2">
        <f>Assumptions!$F$31/100*'Working Capital'!T7</f>
        <v>2.6505242579360537</v>
      </c>
      <c r="U8" s="2">
        <f>Assumptions!$F$31/100*'Working Capital'!U7</f>
        <v>2.6824165699267959</v>
      </c>
      <c r="V8" s="2">
        <f>Assumptions!$F$31/100*'Working Capital'!V7</f>
        <v>2.7161331221634089</v>
      </c>
      <c r="W8" s="2">
        <f>Assumptions!$F$31/100*'Working Capital'!W7</f>
        <v>2.7517782611879555</v>
      </c>
      <c r="X8" s="2">
        <f>Assumptions!$F$31/100*'Working Capital'!X7</f>
        <v>2.7894623021647065</v>
      </c>
      <c r="Y8" s="2">
        <f>Assumptions!$F$31/100*'Working Capital'!Y7</f>
        <v>2.8293018702853283</v>
      </c>
      <c r="Z8" s="2">
        <f>Assumptions!$F$31/100*'Working Capital'!Z7</f>
        <v>2.8714202617024482</v>
      </c>
      <c r="AA8" s="2">
        <f>Assumptions!$F$31/100*'Working Capital'!AA7</f>
        <v>2.9159478251086286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General Notes</vt:lpstr>
      <vt:lpstr>Assumptions</vt:lpstr>
      <vt:lpstr>Calculations</vt:lpstr>
      <vt:lpstr>Term Loan</vt:lpstr>
      <vt:lpstr>Working Capital</vt:lpstr>
      <vt:lpstr>analysis_period</vt:lpstr>
      <vt:lpstr>capacity_factor</vt:lpstr>
      <vt:lpstr>capacity_mw</vt:lpstr>
      <vt:lpstr>cost_per_mw</vt:lpstr>
      <vt:lpstr>debt_percent</vt:lpstr>
      <vt:lpstr>depr_12</vt:lpstr>
      <vt:lpstr>depr_13</vt:lpstr>
      <vt:lpstr>equity</vt:lpstr>
      <vt:lpstr>equity_wo_receivables</vt:lpstr>
      <vt:lpstr>installed_capacity</vt:lpstr>
      <vt:lpstr>loan_moratorium</vt:lpstr>
      <vt:lpstr>months_receivables_reserve</vt:lpstr>
      <vt:lpstr>nominal_discount_rate</vt:lpstr>
      <vt:lpstr>om_acceleration</vt:lpstr>
      <vt:lpstr>om_mw</vt:lpstr>
      <vt:lpstr>ppa_price</vt:lpstr>
      <vt:lpstr>reserves_interest</vt:lpstr>
      <vt:lpstr>roe_10</vt:lpstr>
      <vt:lpstr>roe_11</vt:lpstr>
      <vt:lpstr>tax_rate</vt:lpstr>
      <vt:lpstr>term_int_rate</vt:lpstr>
      <vt:lpstr>term_tenor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2014-09-26T22:58:18Z</dcterms:created>
  <dcterms:modified xsi:type="dcterms:W3CDTF">2017-04-11T11:00:28Z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_assessed_decline" linkTarget="prop_tax_assessed_decline">
    <vt:lpwstr>#REF!</vt:lpwstr>
  </property>
  <property fmtid="{D5CDD505-2E9C-101B-9397-08002B2CF9AE}" pid="3" name="tax_cost_assessed_percent" linkTarget="prop_tax_cost_assessed_percent">
    <vt:lpwstr>#REF!</vt:lpwstr>
  </property>
</Properties>
</file>